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EDMGTSRV\Website Documents\"/>
    </mc:Choice>
  </mc:AlternateContent>
  <bookViews>
    <workbookView xWindow="0" yWindow="0" windowWidth="23040" windowHeight="9675"/>
  </bookViews>
  <sheets>
    <sheet name="Final 5-3-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0" i="1" l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5" i="1"/>
  <c r="A4" i="1"/>
  <c r="A3" i="1"/>
  <c r="A2" i="1"/>
</calcChain>
</file>

<file path=xl/sharedStrings.xml><?xml version="1.0" encoding="utf-8"?>
<sst xmlns="http://schemas.openxmlformats.org/spreadsheetml/2006/main" count="716" uniqueCount="703">
  <si>
    <t>BEDSCODE</t>
  </si>
  <si>
    <t>District Name</t>
  </si>
  <si>
    <t>Total Proposed Spending 2016-17</t>
  </si>
  <si>
    <t>Total Proposed Spending 2017-18</t>
  </si>
  <si>
    <t>Spending Percent Change</t>
  </si>
  <si>
    <t>Proposed Tax Levy to Support Budget 
2016-17</t>
  </si>
  <si>
    <t>Proposed Tax Levy to Support Budget 
2017-18</t>
  </si>
  <si>
    <t>Levy for Library Debt 2016-17</t>
  </si>
  <si>
    <t>Levy for Library Debt 2017-18</t>
  </si>
  <si>
    <t>Levy for Non-Excl Props 
2016-17</t>
  </si>
  <si>
    <t>Levy for Non-Excl Props 
2017-18</t>
  </si>
  <si>
    <t>Tax Cap Reserve Used for
2016-17</t>
  </si>
  <si>
    <t>Tax Cap Reserve Used for
2017-18</t>
  </si>
  <si>
    <t>Total Proposed Tax Levy 2016-17</t>
  </si>
  <si>
    <t>Total Proposed Tax Levy  2017-18</t>
  </si>
  <si>
    <t>Proposed Tax Levy Percent Change</t>
  </si>
  <si>
    <t>Permissible Exclusions 2016-17</t>
  </si>
  <si>
    <t>Permissible Exclusions 2017-18</t>
  </si>
  <si>
    <t>Tax Levy Limit w/o Exclusions 2016-17</t>
  </si>
  <si>
    <t>Tax Levy Limit w/o Exclusions 2017-18</t>
  </si>
  <si>
    <t>Proposed Tax Levy w/o Excl. 2016-17</t>
  </si>
  <si>
    <t>Proposed Tax Levy w/o Excl. 2017-18</t>
  </si>
  <si>
    <t>(w/o Exc.)
Tax Levy vs. Tax Levy Limit 2016-17</t>
  </si>
  <si>
    <t>(w/o Exc.) 
Tax Levy vs. Tax Levy Limit 2017-18</t>
  </si>
  <si>
    <t>Enrollment 2016-17</t>
  </si>
  <si>
    <t>Enrollment 2017-18</t>
  </si>
  <si>
    <t>Enrollment Percent Change</t>
  </si>
  <si>
    <t>FB - Adj Restricted 2016-17</t>
  </si>
  <si>
    <t>FB - Adj Restricted 2017-18</t>
  </si>
  <si>
    <t>Assigned Approp FB 2016-17</t>
  </si>
  <si>
    <t>Assigned Approp FB 2017-18</t>
  </si>
  <si>
    <t>Adjusted Unrestricted 2016-17</t>
  </si>
  <si>
    <t>Adjusted Unrestricted 2017-18</t>
  </si>
  <si>
    <t>Adjusted Unrestricted Fund Balance as a Percent of Total Budget 2016-17</t>
  </si>
  <si>
    <t>Adjusted Unrestricted Fund Balance as a Percent of Total Budget 2017-18</t>
  </si>
  <si>
    <t xml:space="preserve">ADDISON CSD   </t>
  </si>
  <si>
    <t>ADIRONDACK CSD</t>
  </si>
  <si>
    <t xml:space="preserve">AFTON CSD     </t>
  </si>
  <si>
    <t xml:space="preserve">AKRON CSD     </t>
  </si>
  <si>
    <t>010100</t>
  </si>
  <si>
    <t>ALBANY CITY SD</t>
  </si>
  <si>
    <t xml:space="preserve"> </t>
  </si>
  <si>
    <t xml:space="preserve">ALBION CSD    </t>
  </si>
  <si>
    <t xml:space="preserve">ALDEN CSD     </t>
  </si>
  <si>
    <t xml:space="preserve">ALEXANDER CSD </t>
  </si>
  <si>
    <t>ALEXANDRIA CSD</t>
  </si>
  <si>
    <t xml:space="preserve">ALFRED-ALMOND </t>
  </si>
  <si>
    <t>ALLEGANY-LIMES</t>
  </si>
  <si>
    <t>ALTMAR-PARISH-</t>
  </si>
  <si>
    <t>AMAGANSETT UFS</t>
  </si>
  <si>
    <t xml:space="preserve">AMHERST CSD   </t>
  </si>
  <si>
    <t>AMITYVILLE UFS</t>
  </si>
  <si>
    <t>AMSTERDAM CITY</t>
  </si>
  <si>
    <t xml:space="preserve">ANDES CSD     </t>
  </si>
  <si>
    <t xml:space="preserve">ANDOVER CSD   </t>
  </si>
  <si>
    <t xml:space="preserve">ARDSLEY UFSD  </t>
  </si>
  <si>
    <t xml:space="preserve">ARGYLE CSD    </t>
  </si>
  <si>
    <t xml:space="preserve">ARKPORT CSD   </t>
  </si>
  <si>
    <t xml:space="preserve">ARLINGTON CSD </t>
  </si>
  <si>
    <t xml:space="preserve">ATTICA CSD    </t>
  </si>
  <si>
    <t>AUBURN CITY SD</t>
  </si>
  <si>
    <t>AUSABLE VALLEY</t>
  </si>
  <si>
    <t>AVERILL PARK C</t>
  </si>
  <si>
    <t xml:space="preserve">AVOCA CSD     </t>
  </si>
  <si>
    <t xml:space="preserve">AVON CSD      </t>
  </si>
  <si>
    <t xml:space="preserve">BABYLON UFSD  </t>
  </si>
  <si>
    <t>BAINBRIDGE-GUI</t>
  </si>
  <si>
    <t xml:space="preserve">BALDWIN UFSD  </t>
  </si>
  <si>
    <t xml:space="preserve">BALDWINSVILLE </t>
  </si>
  <si>
    <t>BALLSTON SPA C</t>
  </si>
  <si>
    <t xml:space="preserve">BARKER CSD    </t>
  </si>
  <si>
    <t>BATAVIA CITY S</t>
  </si>
  <si>
    <t xml:space="preserve">BATH CSD      </t>
  </si>
  <si>
    <t>BAY SHORE UFSD</t>
  </si>
  <si>
    <t>BAYPORT-BLUE P</t>
  </si>
  <si>
    <t>BEACON CITY SD</t>
  </si>
  <si>
    <t>BEAVER RIVER C</t>
  </si>
  <si>
    <t xml:space="preserve">BEDFORD CSD   </t>
  </si>
  <si>
    <t>BEEKMANTOWN CS</t>
  </si>
  <si>
    <t xml:space="preserve">BELFAST CSD   </t>
  </si>
  <si>
    <t>BELLEVILLE-HEN</t>
  </si>
  <si>
    <t xml:space="preserve">BELLMORE UFSD </t>
  </si>
  <si>
    <t>BELLMORE-MERRI</t>
  </si>
  <si>
    <t>BEMUS POINT CS</t>
  </si>
  <si>
    <t xml:space="preserve">BERLIN CSD    </t>
  </si>
  <si>
    <t>BERNE-KNOX-WES</t>
  </si>
  <si>
    <t xml:space="preserve">BETHLEHEM CSD </t>
  </si>
  <si>
    <t xml:space="preserve">BETHPAGE UFSD </t>
  </si>
  <si>
    <t>BINGHAMTON CIT</t>
  </si>
  <si>
    <t>BLIND BROOK-RY</t>
  </si>
  <si>
    <t>BOLIVAR-RICHBU</t>
  </si>
  <si>
    <t xml:space="preserve">BOLTON CSD    </t>
  </si>
  <si>
    <t xml:space="preserve">BRADFORD CSD  </t>
  </si>
  <si>
    <t xml:space="preserve">BRASHER FALLS </t>
  </si>
  <si>
    <t>BRENTWOOD UFSD</t>
  </si>
  <si>
    <t xml:space="preserve">BREWSTER CSD  </t>
  </si>
  <si>
    <t>BRIARCLIFF MAN</t>
  </si>
  <si>
    <t xml:space="preserve">BRIDGEHAMPTON </t>
  </si>
  <si>
    <t xml:space="preserve">BRIGHTON CSD  </t>
  </si>
  <si>
    <t>BROADALBIN-PER</t>
  </si>
  <si>
    <t xml:space="preserve">BROCKPORT CSD </t>
  </si>
  <si>
    <t xml:space="preserve">BROCTON CSD   </t>
  </si>
  <si>
    <t>BRONXVILLE UFS</t>
  </si>
  <si>
    <t>BROOKFIELD CSD</t>
  </si>
  <si>
    <t>BROOKHAVEN-COM</t>
  </si>
  <si>
    <t xml:space="preserve">BRUNSWICK CSD </t>
  </si>
  <si>
    <t>BRUSHTON-MOIRA</t>
  </si>
  <si>
    <t>BURNT HILLS-BA</t>
  </si>
  <si>
    <t>BYRAM HILLS CS</t>
  </si>
  <si>
    <t>BYRON-BERGEN C</t>
  </si>
  <si>
    <t>CAIRO-DURHAM C</t>
  </si>
  <si>
    <t>CALEDONIA-MUMF</t>
  </si>
  <si>
    <t xml:space="preserve">CAMBRIDGE CSD </t>
  </si>
  <si>
    <t xml:space="preserve">CAMDEN CSD    </t>
  </si>
  <si>
    <t>CAMPBELL-SAVON</t>
  </si>
  <si>
    <t>CANAJOHARIE CS</t>
  </si>
  <si>
    <t>CANANDAIGUA CI</t>
  </si>
  <si>
    <t>CANASERAGA CSD</t>
  </si>
  <si>
    <t xml:space="preserve">CANASTOTA CSD </t>
  </si>
  <si>
    <t xml:space="preserve">CANDOR CSD    </t>
  </si>
  <si>
    <t>CANISTEO-GREEN</t>
  </si>
  <si>
    <t xml:space="preserve">CANTON CSD    </t>
  </si>
  <si>
    <t>CARLE PLACE UF</t>
  </si>
  <si>
    <t xml:space="preserve">CARMEL CSD    </t>
  </si>
  <si>
    <t xml:space="preserve">CARTHAGE CSD  </t>
  </si>
  <si>
    <t>CASSADAGA VALL</t>
  </si>
  <si>
    <t xml:space="preserve">CATO-MERIDIAN </t>
  </si>
  <si>
    <t xml:space="preserve">CATSKILL CSD  </t>
  </si>
  <si>
    <t>CATTARAUGUS-LI</t>
  </si>
  <si>
    <t xml:space="preserve">CAZENOVIA CSD </t>
  </si>
  <si>
    <t>CENTER MORICHE</t>
  </si>
  <si>
    <t xml:space="preserve">CENTRAL ISLIP </t>
  </si>
  <si>
    <t>CENTRAL SQUARE</t>
  </si>
  <si>
    <t>CENTRAL VALLEY</t>
  </si>
  <si>
    <t xml:space="preserve">CHAPPAQUA CSD </t>
  </si>
  <si>
    <t>CHARLOTTE VALL</t>
  </si>
  <si>
    <t>CHATEAUGAY CSD</t>
  </si>
  <si>
    <t xml:space="preserve">CHATHAM CSD   </t>
  </si>
  <si>
    <t>CHAUTAUQUA LAK</t>
  </si>
  <si>
    <t xml:space="preserve">CHAZY UFSD    </t>
  </si>
  <si>
    <t>CHEEKTOWAGA CS</t>
  </si>
  <si>
    <t>CHEEKTOWAGA-MA</t>
  </si>
  <si>
    <t>CHEEKTOWAGA-SL</t>
  </si>
  <si>
    <t>CHENANGO FORKS</t>
  </si>
  <si>
    <t>CHENANGO VALLE</t>
  </si>
  <si>
    <t>CHERRY VALLEY-</t>
  </si>
  <si>
    <t xml:space="preserve">CHESTER UFSD  </t>
  </si>
  <si>
    <t>CHITTENANGO CS</t>
  </si>
  <si>
    <t>CHURCHVILLE-CH</t>
  </si>
  <si>
    <t>CINCINNATUS CS</t>
  </si>
  <si>
    <t xml:space="preserve">CLARENCE CSD  </t>
  </si>
  <si>
    <t>CLARKSTOWN CSD</t>
  </si>
  <si>
    <t>CLEVELAND HILL</t>
  </si>
  <si>
    <t>CLIFTON-FINE C</t>
  </si>
  <si>
    <t xml:space="preserve">CLINTON CSD   </t>
  </si>
  <si>
    <t>CLYDE-SAVANNAH</t>
  </si>
  <si>
    <t xml:space="preserve">CLYMER CSD    </t>
  </si>
  <si>
    <t>COBLESKILL-RIC</t>
  </si>
  <si>
    <t>COHOES CITY SD</t>
  </si>
  <si>
    <t>COLD SPRING HA</t>
  </si>
  <si>
    <t>COLTON-PIERREP</t>
  </si>
  <si>
    <t xml:space="preserve">COMMACK UFSD  </t>
  </si>
  <si>
    <t>CONNETQUOT CSD</t>
  </si>
  <si>
    <t>COOPERSTOWN CS</t>
  </si>
  <si>
    <t>COPENHAGEN CSD</t>
  </si>
  <si>
    <t xml:space="preserve">COPIAGUE UFSD </t>
  </si>
  <si>
    <t xml:space="preserve">CORINTH CSD   </t>
  </si>
  <si>
    <t>CORNING CITY S</t>
  </si>
  <si>
    <t xml:space="preserve">CORNWALL CSD  </t>
  </si>
  <si>
    <t xml:space="preserve">CORTLAND CITY </t>
  </si>
  <si>
    <t>COXSACKIE-ATHE</t>
  </si>
  <si>
    <t xml:space="preserve">CROTON-HARMON </t>
  </si>
  <si>
    <t>CROWN POINT CS</t>
  </si>
  <si>
    <t xml:space="preserve">CUBA-RUSHFORD </t>
  </si>
  <si>
    <t>DALTON-NUNDA C</t>
  </si>
  <si>
    <t xml:space="preserve">DANSVILLE CSD </t>
  </si>
  <si>
    <t>DEER PARK UFSD</t>
  </si>
  <si>
    <t>DELAWARE ACADE</t>
  </si>
  <si>
    <t xml:space="preserve">DEPEW UFSD    </t>
  </si>
  <si>
    <t xml:space="preserve">DEPOSIT CSD   </t>
  </si>
  <si>
    <t xml:space="preserve">DERUYTER CSD  </t>
  </si>
  <si>
    <t>DOBBS FERRY UF</t>
  </si>
  <si>
    <t>DOLGEVILLE CSD</t>
  </si>
  <si>
    <t xml:space="preserve">DOVER UFSD    </t>
  </si>
  <si>
    <t>DOWNSVILLE CSD</t>
  </si>
  <si>
    <t xml:space="preserve">DRYDEN CSD    </t>
  </si>
  <si>
    <t>DUANESBURG CSD</t>
  </si>
  <si>
    <t xml:space="preserve">DUNDEE CSD    </t>
  </si>
  <si>
    <t>DUNKIRK CITY S</t>
  </si>
  <si>
    <t>EAST AURORA UF</t>
  </si>
  <si>
    <t>EAST BLOOMFIEL</t>
  </si>
  <si>
    <t>EAST GREENBUSH</t>
  </si>
  <si>
    <t>EAST HAMPTON U</t>
  </si>
  <si>
    <t>EAST IRONDEQUO</t>
  </si>
  <si>
    <t>EAST ISLIP UFS</t>
  </si>
  <si>
    <t>EAST MEADOW UF</t>
  </si>
  <si>
    <t xml:space="preserve">EAST MORICHES </t>
  </si>
  <si>
    <t>EAST QUOGUE UF</t>
  </si>
  <si>
    <t>EAST RAMAPO CS</t>
  </si>
  <si>
    <t>EAST ROCHESTER</t>
  </si>
  <si>
    <t xml:space="preserve">EAST ROCKAWAY </t>
  </si>
  <si>
    <t xml:space="preserve">EAST SYRACUSE </t>
  </si>
  <si>
    <t>EAST WILLISTON</t>
  </si>
  <si>
    <t>EASTCHESTER UF</t>
  </si>
  <si>
    <t>EASTPORT-SOUTH</t>
  </si>
  <si>
    <t xml:space="preserve">EDEN CSD      </t>
  </si>
  <si>
    <t xml:space="preserve">EDGEMONT UFSD </t>
  </si>
  <si>
    <t>EDINBURG COMMO</t>
  </si>
  <si>
    <t xml:space="preserve">EDMESTON CSD  </t>
  </si>
  <si>
    <t>EDWARDS-KNOX C</t>
  </si>
  <si>
    <t xml:space="preserve">ELBA CSD      </t>
  </si>
  <si>
    <t xml:space="preserve">ELDRED CSD    </t>
  </si>
  <si>
    <t>ELIZABETHTOWN-</t>
  </si>
  <si>
    <t>ELLENVILLE CSD</t>
  </si>
  <si>
    <t xml:space="preserve">ELLICOTTVILLE </t>
  </si>
  <si>
    <t>ELMIRA CITY SD</t>
  </si>
  <si>
    <t>ELMIRA HEIGHTS</t>
  </si>
  <si>
    <t xml:space="preserve">ELMONT UFSD   </t>
  </si>
  <si>
    <t xml:space="preserve">ELMSFORD UFSD </t>
  </si>
  <si>
    <t xml:space="preserve">ELWOOD UFSD   </t>
  </si>
  <si>
    <t>EVANS-BRANT CS</t>
  </si>
  <si>
    <t xml:space="preserve">FABIUS-POMPEY </t>
  </si>
  <si>
    <t xml:space="preserve">FAIRPORT CSD  </t>
  </si>
  <si>
    <t xml:space="preserve">FALCONER CSD  </t>
  </si>
  <si>
    <t xml:space="preserve">FALLSBURG CSD </t>
  </si>
  <si>
    <t>FARMINGDALE UF</t>
  </si>
  <si>
    <t>FAYETTEVILLE-M</t>
  </si>
  <si>
    <t xml:space="preserve">FILLMORE CSD  </t>
  </si>
  <si>
    <t>FIRE ISLAND UF</t>
  </si>
  <si>
    <t>FISHERS ISLAND</t>
  </si>
  <si>
    <t>FLORAL PARK-BE</t>
  </si>
  <si>
    <t xml:space="preserve">FLORIDA UFSD  </t>
  </si>
  <si>
    <t>FONDA-FULTONVI</t>
  </si>
  <si>
    <t>FORESTVILLE CS</t>
  </si>
  <si>
    <t xml:space="preserve">FORT ANN CSD  </t>
  </si>
  <si>
    <t>FORT EDWARD UF</t>
  </si>
  <si>
    <t>FORT PLAIN CSD</t>
  </si>
  <si>
    <t>FRANKFORT-SCHU</t>
  </si>
  <si>
    <t xml:space="preserve">FRANKLIN CSD  </t>
  </si>
  <si>
    <t>FRANKLIN SQUAR</t>
  </si>
  <si>
    <t xml:space="preserve">FRANKLINVILLE </t>
  </si>
  <si>
    <t xml:space="preserve">FREDONIA CSD  </t>
  </si>
  <si>
    <t xml:space="preserve">FREEPORT UFSD </t>
  </si>
  <si>
    <t xml:space="preserve">FREWSBURG CSD </t>
  </si>
  <si>
    <t>FRIENDSHIP CSD</t>
  </si>
  <si>
    <t xml:space="preserve">FRONTIER CSD  </t>
  </si>
  <si>
    <t>FULTON CITY SD</t>
  </si>
  <si>
    <t xml:space="preserve">GALWAY CSD    </t>
  </si>
  <si>
    <t xml:space="preserve">GANANDA CSD   </t>
  </si>
  <si>
    <t>GARDEN CITY UF</t>
  </si>
  <si>
    <t xml:space="preserve">GARRISON UFSD </t>
  </si>
  <si>
    <t>GATES-CHILI CS</t>
  </si>
  <si>
    <t xml:space="preserve">GENERAL BROWN </t>
  </si>
  <si>
    <t>GENESEE VALLEY</t>
  </si>
  <si>
    <t xml:space="preserve">GENESEO CSD   </t>
  </si>
  <si>
    <t>GENEVA CITY SD</t>
  </si>
  <si>
    <t>GEORGETOWN-SOU</t>
  </si>
  <si>
    <t>GERMANTOWN CSD</t>
  </si>
  <si>
    <t>GILBERTSVILLE-</t>
  </si>
  <si>
    <t>GILBOA-CONESVI</t>
  </si>
  <si>
    <t>GLEN COVE CITY</t>
  </si>
  <si>
    <t>GLENS FALLS CI</t>
  </si>
  <si>
    <t>GLENS FALLS CO</t>
  </si>
  <si>
    <t>GLOVERSVILLE C</t>
  </si>
  <si>
    <t>GORHAM-MIDDLES</t>
  </si>
  <si>
    <t xml:space="preserve">GOSHEN CSD    </t>
  </si>
  <si>
    <t>GOUVERNEUR CSD</t>
  </si>
  <si>
    <t xml:space="preserve">GOWANDA CSD   </t>
  </si>
  <si>
    <t>GRAND ISLAND C</t>
  </si>
  <si>
    <t xml:space="preserve">GRANVILLE CSD </t>
  </si>
  <si>
    <t>GREAT NECK UFS</t>
  </si>
  <si>
    <t xml:space="preserve">GREECE CSD    </t>
  </si>
  <si>
    <t>GREEN ISLAND U</t>
  </si>
  <si>
    <t>GREENBURGH CSD</t>
  </si>
  <si>
    <t xml:space="preserve">GREENE CSD    </t>
  </si>
  <si>
    <t>GREENPORT UFSD</t>
  </si>
  <si>
    <t>GREENVILLE CSD</t>
  </si>
  <si>
    <t xml:space="preserve">GREENWICH CSD </t>
  </si>
  <si>
    <t>GREENWOOD LAKE</t>
  </si>
  <si>
    <t xml:space="preserve">GROTON CSD    </t>
  </si>
  <si>
    <t>GUILDERLAND CS</t>
  </si>
  <si>
    <t>HADLEY-LUZERNE</t>
  </si>
  <si>
    <t xml:space="preserve">HALDANE CSD   </t>
  </si>
  <si>
    <t>HALF HOLLOW HI</t>
  </si>
  <si>
    <t xml:space="preserve">HAMBURG CSD   </t>
  </si>
  <si>
    <t xml:space="preserve">HAMILTON CSD  </t>
  </si>
  <si>
    <t xml:space="preserve">HAMMOND CSD   </t>
  </si>
  <si>
    <t>HAMMONDSPORT C</t>
  </si>
  <si>
    <t>HAMPTON BAYS U</t>
  </si>
  <si>
    <t xml:space="preserve">HANCOCK CSD   </t>
  </si>
  <si>
    <t xml:space="preserve">HANNIBAL CSD  </t>
  </si>
  <si>
    <t>HARBORFIELDS C</t>
  </si>
  <si>
    <t>HARPURSVILLE C</t>
  </si>
  <si>
    <t xml:space="preserve">HARRISON CSD  </t>
  </si>
  <si>
    <t>HARRISVILLE CS</t>
  </si>
  <si>
    <t xml:space="preserve">HARTFORD CSD  </t>
  </si>
  <si>
    <t>HASTINGS-ON-HU</t>
  </si>
  <si>
    <t>HAUPPAUGE UFSD</t>
  </si>
  <si>
    <t>HAVERSTRAW-STO</t>
  </si>
  <si>
    <t>HEMPSTEAD UFSD</t>
  </si>
  <si>
    <t>HENDRICK HUDSO</t>
  </si>
  <si>
    <t xml:space="preserve">HERKIMER CSD  </t>
  </si>
  <si>
    <t xml:space="preserve">HERMON-DEKALB </t>
  </si>
  <si>
    <t xml:space="preserve">HERRICKS UFSD </t>
  </si>
  <si>
    <t xml:space="preserve">HEUVELTON CSD </t>
  </si>
  <si>
    <t>HEWLETT-WOODME</t>
  </si>
  <si>
    <t>HICKSVILLE UFS</t>
  </si>
  <si>
    <t xml:space="preserve">HIGHLAND CSD  </t>
  </si>
  <si>
    <t>HIGHLAND FALLS</t>
  </si>
  <si>
    <t xml:space="preserve">HILTON CSD    </t>
  </si>
  <si>
    <t xml:space="preserve">HINSDALE CSD  </t>
  </si>
  <si>
    <t xml:space="preserve">HOLLAND CSD   </t>
  </si>
  <si>
    <t>HOLLAND PATENT</t>
  </si>
  <si>
    <t xml:space="preserve">HOLLEY CSD    </t>
  </si>
  <si>
    <t xml:space="preserve">HOMER CSD     </t>
  </si>
  <si>
    <t xml:space="preserve">HONEOYE CSD   </t>
  </si>
  <si>
    <t>HONEOYE FALLS-</t>
  </si>
  <si>
    <t xml:space="preserve">HOOSIC VALLEY </t>
  </si>
  <si>
    <t xml:space="preserve">HOOSICK FALLS </t>
  </si>
  <si>
    <t>HORNELL CITY S</t>
  </si>
  <si>
    <t>HORSEHEADS CSD</t>
  </si>
  <si>
    <t>HUDSON CITY SD</t>
  </si>
  <si>
    <t>HUDSON FALLS C</t>
  </si>
  <si>
    <t>HUNTER-TANNERS</t>
  </si>
  <si>
    <t>HUNTINGTON UFS</t>
  </si>
  <si>
    <t xml:space="preserve">HYDE PARK CSD </t>
  </si>
  <si>
    <t>INDIAN LAKE CS</t>
  </si>
  <si>
    <t>INDIAN RIVER C</t>
  </si>
  <si>
    <t xml:space="preserve">IROQUOIS CSD  </t>
  </si>
  <si>
    <t>IRVINGTON UFSD</t>
  </si>
  <si>
    <t>ISLAND PARK UF</t>
  </si>
  <si>
    <t>ISLAND TREES U</t>
  </si>
  <si>
    <t xml:space="preserve">ISLIP UFSD    </t>
  </si>
  <si>
    <t>ITHACA CITY SD</t>
  </si>
  <si>
    <t>JAMESTOWN CITY</t>
  </si>
  <si>
    <t>JAMESVILLE-DEW</t>
  </si>
  <si>
    <t>JASPER-TROUPSB</t>
  </si>
  <si>
    <t xml:space="preserve">JEFFERSON CSD </t>
  </si>
  <si>
    <t xml:space="preserve">JERICHO UFSD  </t>
  </si>
  <si>
    <t xml:space="preserve">JOHNSBURG CSD </t>
  </si>
  <si>
    <t>JOHNSON CITY C</t>
  </si>
  <si>
    <t>JOHNSTOWN CITY</t>
  </si>
  <si>
    <t>JORDAN-ELBRIDG</t>
  </si>
  <si>
    <t>KATONAH-LEWISB</t>
  </si>
  <si>
    <t xml:space="preserve">KEENE CSD     </t>
  </si>
  <si>
    <t xml:space="preserve">KENDALL CSD   </t>
  </si>
  <si>
    <t>KENMORE-TONAWA</t>
  </si>
  <si>
    <t>KINDERHOOK CSD</t>
  </si>
  <si>
    <t>KINGS PARK CSD</t>
  </si>
  <si>
    <t xml:space="preserve">KINGSTON CITY </t>
  </si>
  <si>
    <t>KIRYAS JOEL VI</t>
  </si>
  <si>
    <t xml:space="preserve">LA FARGEVILLE </t>
  </si>
  <si>
    <t>LACKAWANNA CIT</t>
  </si>
  <si>
    <t xml:space="preserve">LAFAYETTE CSD </t>
  </si>
  <si>
    <t>LAKE GEORGE CS</t>
  </si>
  <si>
    <t>LAKE PLACID CS</t>
  </si>
  <si>
    <t xml:space="preserve">LAKE PLEASANT </t>
  </si>
  <si>
    <t xml:space="preserve">LAKELAND CSD  </t>
  </si>
  <si>
    <t xml:space="preserve">LANCASTER CSD </t>
  </si>
  <si>
    <t xml:space="preserve">LANSING CSD   </t>
  </si>
  <si>
    <t>LANSINGBURGH C</t>
  </si>
  <si>
    <t xml:space="preserve">LAURENS CSD   </t>
  </si>
  <si>
    <t xml:space="preserve">LAWRENCE UFSD </t>
  </si>
  <si>
    <t xml:space="preserve">LE ROY CSD    </t>
  </si>
  <si>
    <t>LETCHWORTH CSD</t>
  </si>
  <si>
    <t>LEVITTOWN UFSD</t>
  </si>
  <si>
    <t>LEWISTON-PORTE</t>
  </si>
  <si>
    <t xml:space="preserve">LIBERTY CSD   </t>
  </si>
  <si>
    <t>LINDENHURST UF</t>
  </si>
  <si>
    <t xml:space="preserve">LISBON CSD    </t>
  </si>
  <si>
    <t>LITTLE FALLS C</t>
  </si>
  <si>
    <t xml:space="preserve">LIVERPOOL CSD </t>
  </si>
  <si>
    <t>LIVINGSTON MAN</t>
  </si>
  <si>
    <t xml:space="preserve">LIVONIA CSD   </t>
  </si>
  <si>
    <t xml:space="preserve">LOCKPORT CITY </t>
  </si>
  <si>
    <t xml:space="preserve">LOCUST VALLEY </t>
  </si>
  <si>
    <t>LONG BEACH CIT</t>
  </si>
  <si>
    <t xml:space="preserve">LONG LAKE CSD </t>
  </si>
  <si>
    <t xml:space="preserve">LONGWOOD CSD  </t>
  </si>
  <si>
    <t>LOWVILLE ACADE</t>
  </si>
  <si>
    <t xml:space="preserve">LYME CSD      </t>
  </si>
  <si>
    <t xml:space="preserve">LYNBROOK UFSD </t>
  </si>
  <si>
    <t xml:space="preserve">LYNCOURT UFSD </t>
  </si>
  <si>
    <t>LYNDONVILLE CS</t>
  </si>
  <si>
    <t xml:space="preserve">LYONS CSD     </t>
  </si>
  <si>
    <t xml:space="preserve">MADISON CSD   </t>
  </si>
  <si>
    <t>MADRID-WADDING</t>
  </si>
  <si>
    <t xml:space="preserve">MAHOPAC CSD   </t>
  </si>
  <si>
    <t xml:space="preserve">MAINE-ENDWELL </t>
  </si>
  <si>
    <t xml:space="preserve">MALONE CSD    </t>
  </si>
  <si>
    <t xml:space="preserve">MALVERNE UFSD </t>
  </si>
  <si>
    <t>MAMARONECK UFS</t>
  </si>
  <si>
    <t>MANCHESTER-SHO</t>
  </si>
  <si>
    <t>MANHASSET UFSD</t>
  </si>
  <si>
    <t xml:space="preserve">MARATHON CSD  </t>
  </si>
  <si>
    <t xml:space="preserve">MARCELLUS CSD </t>
  </si>
  <si>
    <t xml:space="preserve">MARGARETVILLE </t>
  </si>
  <si>
    <t xml:space="preserve">MARION CSD    </t>
  </si>
  <si>
    <t xml:space="preserve">MARLBORO CSD  </t>
  </si>
  <si>
    <t>MASSAPEQUA UFS</t>
  </si>
  <si>
    <t xml:space="preserve">MASSENA CSD   </t>
  </si>
  <si>
    <t>MATTITUCK-CUTC</t>
  </si>
  <si>
    <t xml:space="preserve">MAYFIELD CSD  </t>
  </si>
  <si>
    <t xml:space="preserve">MCGRAW CSD    </t>
  </si>
  <si>
    <t xml:space="preserve">MECHANICVILLE </t>
  </si>
  <si>
    <t xml:space="preserve">MEDINA CSD    </t>
  </si>
  <si>
    <t xml:space="preserve">MENANDS UFSD  </t>
  </si>
  <si>
    <t xml:space="preserve">MERRICK UFSD  </t>
  </si>
  <si>
    <t xml:space="preserve">MEXICO CSD    </t>
  </si>
  <si>
    <t>MIDDLE COUNTRY</t>
  </si>
  <si>
    <t>MIDDLEBURGH CS</t>
  </si>
  <si>
    <t>MIDDLETOWN CIT</t>
  </si>
  <si>
    <t xml:space="preserve">MILFORD CSD   </t>
  </si>
  <si>
    <t xml:space="preserve">MILLBROOK CSD </t>
  </si>
  <si>
    <t>MILLER PLACE U</t>
  </si>
  <si>
    <t xml:space="preserve">MINEOLA UFSD  </t>
  </si>
  <si>
    <t xml:space="preserve">MINERVA CSD   </t>
  </si>
  <si>
    <t>MINISINK VALLE</t>
  </si>
  <si>
    <t>MONROE-WOODBUR</t>
  </si>
  <si>
    <t xml:space="preserve">MONTAUK UFSD  </t>
  </si>
  <si>
    <t>MONTICELLO CSD</t>
  </si>
  <si>
    <t xml:space="preserve">MORAVIA CSD   </t>
  </si>
  <si>
    <t xml:space="preserve">MORIAH CSD    </t>
  </si>
  <si>
    <t xml:space="preserve">MORRIS CSD    </t>
  </si>
  <si>
    <t>MORRISTOWN CSD</t>
  </si>
  <si>
    <t>MORRISVILLE-EA</t>
  </si>
  <si>
    <t xml:space="preserve">MOUNT MARKHAM </t>
  </si>
  <si>
    <t xml:space="preserve">MT MORRIS CSD </t>
  </si>
  <si>
    <t>MT PLEASANT CS</t>
  </si>
  <si>
    <t xml:space="preserve">MT SINAI UFSD </t>
  </si>
  <si>
    <t>MT VERNON SCHO</t>
  </si>
  <si>
    <t xml:space="preserve">NANUET UFSD   </t>
  </si>
  <si>
    <t xml:space="preserve">NAPLES CSD    </t>
  </si>
  <si>
    <t>NEW HARTFORD C</t>
  </si>
  <si>
    <t>NEW HYDE PARK-</t>
  </si>
  <si>
    <t>NEW LEBANON CS</t>
  </si>
  <si>
    <t xml:space="preserve">NEW PALTZ CSD </t>
  </si>
  <si>
    <t>NEW ROCHELLE C</t>
  </si>
  <si>
    <t xml:space="preserve">NEWARK CSD    </t>
  </si>
  <si>
    <t xml:space="preserve">NEWARK VALLEY </t>
  </si>
  <si>
    <t xml:space="preserve">NEWBURGH CITY </t>
  </si>
  <si>
    <t xml:space="preserve">NEWCOMB CSD   </t>
  </si>
  <si>
    <t xml:space="preserve">NEWFANE CSD   </t>
  </si>
  <si>
    <t xml:space="preserve">NEWFIELD CSD  </t>
  </si>
  <si>
    <t xml:space="preserve">NIAGARA FALLS </t>
  </si>
  <si>
    <t>NIAGARA-WHEATF</t>
  </si>
  <si>
    <t xml:space="preserve">NISKAYUNA CSD </t>
  </si>
  <si>
    <t xml:space="preserve">NORTH BABYLON </t>
  </si>
  <si>
    <t>NORTH BELLMORE</t>
  </si>
  <si>
    <t xml:space="preserve">NORTH COLLINS </t>
  </si>
  <si>
    <t xml:space="preserve">NORTH COLONIE </t>
  </si>
  <si>
    <t xml:space="preserve">NORTH MERRICK </t>
  </si>
  <si>
    <t>NORTH ROSE-WOL</t>
  </si>
  <si>
    <t>NORTH SALEM CS</t>
  </si>
  <si>
    <t>NORTH SHORE CS</t>
  </si>
  <si>
    <t>NORTH SYRACUSE</t>
  </si>
  <si>
    <t>NORTH TONAWAND</t>
  </si>
  <si>
    <t>NORTH WARREN C</t>
  </si>
  <si>
    <t xml:space="preserve">NORTHEAST CSD </t>
  </si>
  <si>
    <t>NORTHEASTERN C</t>
  </si>
  <si>
    <t>NORTHERN ADIRO</t>
  </si>
  <si>
    <t>NORTHPORT-EAST</t>
  </si>
  <si>
    <t>NORTHVILLE CSD</t>
  </si>
  <si>
    <t>NORWICH CITY S</t>
  </si>
  <si>
    <t>NORWOOD-NORFOL</t>
  </si>
  <si>
    <t xml:space="preserve">NY MILLS UFSD </t>
  </si>
  <si>
    <t xml:space="preserve">NYACK UFSD    </t>
  </si>
  <si>
    <t>OAKFIELD-ALABA</t>
  </si>
  <si>
    <t>OCEANSIDE UFSD</t>
  </si>
  <si>
    <t>ODESSA-MONTOUR</t>
  </si>
  <si>
    <t>OGDENSBURG CIT</t>
  </si>
  <si>
    <t xml:space="preserve">OLEAN CITY SD </t>
  </si>
  <si>
    <t>ONEIDA CITY SD</t>
  </si>
  <si>
    <t>ONEONTA CITY S</t>
  </si>
  <si>
    <t xml:space="preserve">ONONDAGA CSD  </t>
  </si>
  <si>
    <t xml:space="preserve">ONTEORA CSD   </t>
  </si>
  <si>
    <t>OPPENHEIM-EPHR</t>
  </si>
  <si>
    <t>ORCHARD PARK C</t>
  </si>
  <si>
    <t xml:space="preserve">ORISKANY CSD  </t>
  </si>
  <si>
    <t xml:space="preserve">OSSINING UFSD </t>
  </si>
  <si>
    <t>OSWEGO CITY SD</t>
  </si>
  <si>
    <t>OTEGO-UNADILLA</t>
  </si>
  <si>
    <t>OWEGO-APALACHI</t>
  </si>
  <si>
    <t>OXFORD ACADEMY</t>
  </si>
  <si>
    <t>OYSTER BAY-EAS</t>
  </si>
  <si>
    <t>OYSTERPONDS UF</t>
  </si>
  <si>
    <t>PALMYRA-MACEDO</t>
  </si>
  <si>
    <t xml:space="preserve">PANAMA CSD    </t>
  </si>
  <si>
    <t>PARISHVILLE-HO</t>
  </si>
  <si>
    <t>PATCHOGUE-MEDF</t>
  </si>
  <si>
    <t xml:space="preserve">PAVILION CSD  </t>
  </si>
  <si>
    <t xml:space="preserve">PAWLING CSD   </t>
  </si>
  <si>
    <t>PEARL RIVER UF</t>
  </si>
  <si>
    <t>PEEKSKILL CITY</t>
  </si>
  <si>
    <t xml:space="preserve">PELHAM UFSD   </t>
  </si>
  <si>
    <t xml:space="preserve">PEMBROKE CSD  </t>
  </si>
  <si>
    <t xml:space="preserve">PENFIELD CSD  </t>
  </si>
  <si>
    <t xml:space="preserve">PENN YAN CSD  </t>
  </si>
  <si>
    <t xml:space="preserve">PERRY CSD     </t>
  </si>
  <si>
    <t xml:space="preserve">PERU CSD      </t>
  </si>
  <si>
    <t>PHELPS-CLIFTON</t>
  </si>
  <si>
    <t xml:space="preserve">PHOENIX CSD   </t>
  </si>
  <si>
    <t xml:space="preserve">PINE BUSH CSD </t>
  </si>
  <si>
    <t>PINE PLAINS CS</t>
  </si>
  <si>
    <t>PINE VALLEY CS</t>
  </si>
  <si>
    <t xml:space="preserve">PITTSFORD CSD </t>
  </si>
  <si>
    <t>PLAINEDGE UFSD</t>
  </si>
  <si>
    <t xml:space="preserve">PLAINVIEW-OLD </t>
  </si>
  <si>
    <t>PLATTSBURGH CI</t>
  </si>
  <si>
    <t xml:space="preserve">PLEASANTVILLE </t>
  </si>
  <si>
    <t>POCANTICO HILL</t>
  </si>
  <si>
    <t xml:space="preserve">POLAND CSD    </t>
  </si>
  <si>
    <t>PORT BYRON CSD</t>
  </si>
  <si>
    <t>PORT CHESTER-R</t>
  </si>
  <si>
    <t>PORT JEFFERSON</t>
  </si>
  <si>
    <t>PORT JERVIS CI</t>
  </si>
  <si>
    <t>PORT WASHINGTO</t>
  </si>
  <si>
    <t xml:space="preserve">PORTVILLE CSD </t>
  </si>
  <si>
    <t xml:space="preserve">POTSDAM CSD   </t>
  </si>
  <si>
    <t>POUGHKEEPSIE C</t>
  </si>
  <si>
    <t>PRATTSBURGH CS</t>
  </si>
  <si>
    <t xml:space="preserve">PULASKI CSD   </t>
  </si>
  <si>
    <t xml:space="preserve">PUTNAM CSD    </t>
  </si>
  <si>
    <t xml:space="preserve">PUTNAM VALLEY </t>
  </si>
  <si>
    <t>QUEENSBURY UFS</t>
  </si>
  <si>
    <t xml:space="preserve">QUOGUE UFSD   </t>
  </si>
  <si>
    <t>RAMAPO CSD (SU</t>
  </si>
  <si>
    <t xml:space="preserve">RANDOLPH CSD  </t>
  </si>
  <si>
    <t>RAVENA-COEYMAN</t>
  </si>
  <si>
    <t xml:space="preserve">RED CREEK CSD </t>
  </si>
  <si>
    <t xml:space="preserve">RED HOOK CSD  </t>
  </si>
  <si>
    <t xml:space="preserve">REMSEN CSD    </t>
  </si>
  <si>
    <t>REMSENBURG-SPE</t>
  </si>
  <si>
    <t>RENSSELAER CIT</t>
  </si>
  <si>
    <t xml:space="preserve">RHINEBECK CSD </t>
  </si>
  <si>
    <t>RICHFIELD SPRI</t>
  </si>
  <si>
    <t xml:space="preserve">RIPLEY CSD    </t>
  </si>
  <si>
    <t xml:space="preserve">RIVERHEAD CSD </t>
  </si>
  <si>
    <t>ROCKVILLE CENT</t>
  </si>
  <si>
    <t>ROCKY POINT UF</t>
  </si>
  <si>
    <t xml:space="preserve">ROME CITY SD  </t>
  </si>
  <si>
    <t xml:space="preserve">ROMULUS CSD   </t>
  </si>
  <si>
    <t>RONDOUT VALLEY</t>
  </si>
  <si>
    <t>ROOSEVELT UFSD</t>
  </si>
  <si>
    <t xml:space="preserve">ROSCOE CSD    </t>
  </si>
  <si>
    <t xml:space="preserve">ROSLYN UFSD   </t>
  </si>
  <si>
    <t>ROTTERDAM-MOHO</t>
  </si>
  <si>
    <t xml:space="preserve">ROXBURY CSD   </t>
  </si>
  <si>
    <t>ROYALTON-HARTL</t>
  </si>
  <si>
    <t>RUSH-HENRIETTA</t>
  </si>
  <si>
    <t xml:space="preserve">RYE CITY SD   </t>
  </si>
  <si>
    <t xml:space="preserve">RYE NECK UFSD </t>
  </si>
  <si>
    <t xml:space="preserve">SACHEM CSD    </t>
  </si>
  <si>
    <t>SACKETS HARBOR</t>
  </si>
  <si>
    <t>SAG HARBOR UFS</t>
  </si>
  <si>
    <t>SALAMANCA CITY</t>
  </si>
  <si>
    <t xml:space="preserve">SALEM CSD     </t>
  </si>
  <si>
    <t>SALMON RIVER C</t>
  </si>
  <si>
    <t>SANDY CREEK CS</t>
  </si>
  <si>
    <t xml:space="preserve">SARANAC CSD   </t>
  </si>
  <si>
    <t>SARANAC LAKE C</t>
  </si>
  <si>
    <t>SARATOGA SPRIN</t>
  </si>
  <si>
    <t>SAUGERTIES CSD</t>
  </si>
  <si>
    <t>SAUQUOIT VALLE</t>
  </si>
  <si>
    <t xml:space="preserve">SAYVILLE UFSD </t>
  </si>
  <si>
    <t>SCARSDALE UFSD</t>
  </si>
  <si>
    <t xml:space="preserve">SCHALMONT CSD </t>
  </si>
  <si>
    <t>SCHENECTADY CI</t>
  </si>
  <si>
    <t xml:space="preserve">SCHENEVUS CSD </t>
  </si>
  <si>
    <t xml:space="preserve">SCHODACK CSD  </t>
  </si>
  <si>
    <t xml:space="preserve">SCHOHARIE CSD </t>
  </si>
  <si>
    <t>SCHROON LAKE C</t>
  </si>
  <si>
    <t xml:space="preserve">SCHUYLERVILLE </t>
  </si>
  <si>
    <t xml:space="preserve">SCIO CSD      </t>
  </si>
  <si>
    <t>SCOTIA-GLENVIL</t>
  </si>
  <si>
    <t xml:space="preserve">SEAFORD UFSD  </t>
  </si>
  <si>
    <t>SENECA FALLS C</t>
  </si>
  <si>
    <t>SEWANHAKA CENT</t>
  </si>
  <si>
    <t>SHARON SPRINGS</t>
  </si>
  <si>
    <t>SHELTER ISLAND</t>
  </si>
  <si>
    <t>SHENENDEHOWA C</t>
  </si>
  <si>
    <t>SHERBURNE-EARL</t>
  </si>
  <si>
    <t xml:space="preserve">SHERMAN CSD   </t>
  </si>
  <si>
    <t xml:space="preserve">SHERRILL CITY </t>
  </si>
  <si>
    <t>SHOREHAM-WADIN</t>
  </si>
  <si>
    <t xml:space="preserve">SIDNEY CSD    </t>
  </si>
  <si>
    <t>SILVER CREEK C</t>
  </si>
  <si>
    <t>SKANEATELES CS</t>
  </si>
  <si>
    <t xml:space="preserve">SMITHTOWN CSD </t>
  </si>
  <si>
    <t xml:space="preserve">SODUS CSD     </t>
  </si>
  <si>
    <t xml:space="preserve">SOLVAY UFSD   </t>
  </si>
  <si>
    <t xml:space="preserve">SOMERS CSD    </t>
  </si>
  <si>
    <t xml:space="preserve">SOUTH COLONIE </t>
  </si>
  <si>
    <t xml:space="preserve">SOUTH COUNTRY </t>
  </si>
  <si>
    <t>SOUTH GLENS FA</t>
  </si>
  <si>
    <t>SOUTH HUNTINGT</t>
  </si>
  <si>
    <t>SOUTH JEFFERSO</t>
  </si>
  <si>
    <t>SOUTH KORTRIGH</t>
  </si>
  <si>
    <t>SOUTH LEWIS CS</t>
  </si>
  <si>
    <t>SOUTH ORANGETO</t>
  </si>
  <si>
    <t>SOUTH SENECA C</t>
  </si>
  <si>
    <t>SOUTHAMPTON UF</t>
  </si>
  <si>
    <t>SOUTHERN CAYUG</t>
  </si>
  <si>
    <t xml:space="preserve">SOUTHOLD UFSD </t>
  </si>
  <si>
    <t>SOUTHWESTERN C</t>
  </si>
  <si>
    <t>SPACKENKILL UF</t>
  </si>
  <si>
    <t>SPENCERPORT CS</t>
  </si>
  <si>
    <t>SPENCER-VAN ET</t>
  </si>
  <si>
    <t xml:space="preserve">SPRINGS UFSD  </t>
  </si>
  <si>
    <t>SPRINGVILLE-GR</t>
  </si>
  <si>
    <t>ST REGIS FALLS</t>
  </si>
  <si>
    <t xml:space="preserve">STAMFORD CSD  </t>
  </si>
  <si>
    <t xml:space="preserve">STARPOINT CSD </t>
  </si>
  <si>
    <t>STILLWATER CSD</t>
  </si>
  <si>
    <t>STOCKBRIDGE VA</t>
  </si>
  <si>
    <t xml:space="preserve">SULLIVAN WEST </t>
  </si>
  <si>
    <t>SUSQUEHANNA VA</t>
  </si>
  <si>
    <t>SWEET HOME CSD</t>
  </si>
  <si>
    <t xml:space="preserve">SYOSSET CSD   </t>
  </si>
  <si>
    <t xml:space="preserve">TACONIC HILLS </t>
  </si>
  <si>
    <t>THOUSAND ISLAN</t>
  </si>
  <si>
    <t xml:space="preserve">THREE VILLAGE </t>
  </si>
  <si>
    <t>TICONDEROGA CS</t>
  </si>
  <si>
    <t xml:space="preserve">TIOGA CSD     </t>
  </si>
  <si>
    <t>TONAWANDA CITY</t>
  </si>
  <si>
    <t>TOWN OF WEBB U</t>
  </si>
  <si>
    <t>TRI-VALLEY CSD</t>
  </si>
  <si>
    <t xml:space="preserve">TROY CITY SD  </t>
  </si>
  <si>
    <t>TRUMANSBURG CS</t>
  </si>
  <si>
    <t xml:space="preserve">TUCKAHOE COMN </t>
  </si>
  <si>
    <t xml:space="preserve">TUCKAHOE UFSD </t>
  </si>
  <si>
    <t xml:space="preserve">TULLY CSD     </t>
  </si>
  <si>
    <t>TUPPER LAKE CS</t>
  </si>
  <si>
    <t xml:space="preserve">TUXEDO UFSD   </t>
  </si>
  <si>
    <t>UFSD-TARRYTOWN</t>
  </si>
  <si>
    <t>UNADILLA VALLE</t>
  </si>
  <si>
    <t xml:space="preserve">UNION SPRINGS </t>
  </si>
  <si>
    <t>UNIONDALE UFSD</t>
  </si>
  <si>
    <t>UNION-ENDICOTT</t>
  </si>
  <si>
    <t xml:space="preserve">UTICA CITY SD </t>
  </si>
  <si>
    <t xml:space="preserve">VALHALLA UFSD </t>
  </si>
  <si>
    <t>VALLEY CSD (MO</t>
  </si>
  <si>
    <t xml:space="preserve">VALLEY STREAM </t>
  </si>
  <si>
    <t>VAN HORNESVILL</t>
  </si>
  <si>
    <t xml:space="preserve">VESTAL CSD    </t>
  </si>
  <si>
    <t xml:space="preserve">VICTOR CSD    </t>
  </si>
  <si>
    <t xml:space="preserve">VOORHEESVILLE </t>
  </si>
  <si>
    <t xml:space="preserve">WALLKILL CSD  </t>
  </si>
  <si>
    <t xml:space="preserve">WALTON CSD    </t>
  </si>
  <si>
    <t xml:space="preserve">WANTAGH UFSD  </t>
  </si>
  <si>
    <t>WAPPINGERS CSD</t>
  </si>
  <si>
    <t>WARRENSBURG CS</t>
  </si>
  <si>
    <t xml:space="preserve">WARSAW CSD    </t>
  </si>
  <si>
    <t>WARWICK VALLEY</t>
  </si>
  <si>
    <t>WASHINGTONVILL</t>
  </si>
  <si>
    <t>WATERFORD-HALF</t>
  </si>
  <si>
    <t xml:space="preserve">WATERLOO CSD  </t>
  </si>
  <si>
    <t>WATERTOWN CITY</t>
  </si>
  <si>
    <t>WATERVILLE CSD</t>
  </si>
  <si>
    <t>WATERVLIET CIT</t>
  </si>
  <si>
    <t>WATKINS GLEN C</t>
  </si>
  <si>
    <t xml:space="preserve">WAVERLY CSD   </t>
  </si>
  <si>
    <t>WAYLAND-COHOCT</t>
  </si>
  <si>
    <t xml:space="preserve">WAYNE CSD     </t>
  </si>
  <si>
    <t xml:space="preserve">WEBSTER CSD   </t>
  </si>
  <si>
    <t xml:space="preserve">WEEDSPORT CSD </t>
  </si>
  <si>
    <t xml:space="preserve">WELLS CSD     </t>
  </si>
  <si>
    <t>WELLSVILLE CSD</t>
  </si>
  <si>
    <t>WEST BABYLON U</t>
  </si>
  <si>
    <t>WEST CANADA VA</t>
  </si>
  <si>
    <t>WEST GENESEE C</t>
  </si>
  <si>
    <t>WEST HEMPSTEAD</t>
  </si>
  <si>
    <t>WEST IRONDEQUO</t>
  </si>
  <si>
    <t>WEST ISLIP UFS</t>
  </si>
  <si>
    <t>WEST SENECA CS</t>
  </si>
  <si>
    <t>WEST VALLEY CS</t>
  </si>
  <si>
    <t xml:space="preserve">WESTBURY UFSD </t>
  </si>
  <si>
    <t xml:space="preserve">WESTFIELD CSD </t>
  </si>
  <si>
    <t>WESTHAMPTON BE</t>
  </si>
  <si>
    <t xml:space="preserve">WESTHILL CSD  </t>
  </si>
  <si>
    <t>WESTMORELAND C</t>
  </si>
  <si>
    <t xml:space="preserve">WESTPORT CSD  </t>
  </si>
  <si>
    <t>WHEATLAND-CHIL</t>
  </si>
  <si>
    <t>WHEELERVILLE U</t>
  </si>
  <si>
    <t>WHITE PLAINS C</t>
  </si>
  <si>
    <t xml:space="preserve">WHITEHALL CSD </t>
  </si>
  <si>
    <t>WHITESBORO CSD</t>
  </si>
  <si>
    <t>WHITESVILLE CS</t>
  </si>
  <si>
    <t xml:space="preserve">WHITNEY POINT </t>
  </si>
  <si>
    <t xml:space="preserve">WILLIAM FLOYD </t>
  </si>
  <si>
    <t>WILLIAMSON CSD</t>
  </si>
  <si>
    <t xml:space="preserve">WILLIAMSVILLE </t>
  </si>
  <si>
    <t xml:space="preserve">WILLSBORO CSD </t>
  </si>
  <si>
    <t xml:space="preserve">WILSON CSD    </t>
  </si>
  <si>
    <t>WINDHAM-ASHLAN</t>
  </si>
  <si>
    <t xml:space="preserve">WINDSOR CSD   </t>
  </si>
  <si>
    <t xml:space="preserve">WORCESTER CSD </t>
  </si>
  <si>
    <t>WYANDANCH UFSD</t>
  </si>
  <si>
    <t>WYNANTSKILL UF</t>
  </si>
  <si>
    <t xml:space="preserve">WYOMING CSD   </t>
  </si>
  <si>
    <t xml:space="preserve">YORK CSD      </t>
  </si>
  <si>
    <t>YORKSHIRE-PION</t>
  </si>
  <si>
    <t xml:space="preserve">YORKTOWN CSD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</si>
</sst>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0" fontId="3" fillId="0" borderId="0" xfId="0" applyFont="1" applyFill="1"/>
    <xf numFmtId="3" fontId="3" fillId="0" borderId="0" xfId="1" applyNumberFormat="1" applyFont="1" applyFill="1"/>
    <xf numFmtId="2" fontId="3" fillId="0" borderId="0" xfId="0" applyNumberFormat="1" applyFont="1" applyFill="1"/>
    <xf numFmtId="0" fontId="3" fillId="0" borderId="0" xfId="0" applyFont="1" applyFill="1" applyBorder="1"/>
    <xf numFmtId="2" fontId="3" fillId="0" borderId="0" xfId="1" applyNumberFormat="1" applyFont="1" applyFill="1"/>
    <xf numFmtId="3" fontId="2" fillId="0" borderId="0" xfId="1" applyNumberFormat="1" applyFont="1" applyFill="1"/>
    <xf numFmtId="3" fontId="2" fillId="0" borderId="0" xfId="1" applyNumberFormat="1" applyFont="1"/>
    <xf numFmtId="3" fontId="0" fillId="0" borderId="0" xfId="1" applyNumberFormat="1" applyFont="1"/>
    <xf numFmtId="2" fontId="0" fillId="0" borderId="0" xfId="0" applyNumberFormat="1"/>
    <xf numFmtId="2" fontId="2" fillId="0" borderId="0" xfId="0" applyNumberFormat="1" applyFont="1"/>
    <xf numFmtId="0" fontId="2" fillId="0" borderId="0" xfId="0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/>
    <xf numFmtId="3" fontId="2" fillId="2" borderId="0" xfId="1" applyNumberFormat="1" applyFont="1" applyFill="1"/>
    <xf numFmtId="2" fontId="2" fillId="2" borderId="0" xfId="0" applyNumberFormat="1" applyFont="1" applyFill="1"/>
  </cellXfs>
  <cellStyles count="3">
    <cellStyle name="Comma" xfId="1" builtinId="3"/>
    <cellStyle name="Normal" xfId="0" builtinId="0"/>
    <cellStyle name="Normal_2010-11 PTRC 4_27_10_post_acces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0"/>
  <sheetViews>
    <sheetView tabSelected="1" workbookViewId="0">
      <pane xSplit="2" ySplit="1" topLeftCell="AA380" activePane="bottomRight" state="frozen"/>
      <selection pane="topRight" activeCell="C1" sqref="C1"/>
      <selection pane="bottomLeft" activeCell="A2" sqref="A2"/>
      <selection pane="bottomRight" activeCell="AI679" sqref="AI679:AJ679"/>
    </sheetView>
  </sheetViews>
  <sheetFormatPr defaultColWidth="13" defaultRowHeight="15" x14ac:dyDescent="0.25"/>
  <cols>
    <col min="1" max="1" width="11.28515625" style="6" customWidth="1"/>
    <col min="2" max="2" width="18.85546875" style="6" customWidth="1"/>
    <col min="3" max="4" width="15.7109375" style="6" customWidth="1"/>
    <col min="5" max="5" width="13.140625" style="6" customWidth="1"/>
    <col min="6" max="7" width="14.7109375" style="6" customWidth="1"/>
    <col min="8" max="13" width="13.140625" style="6" customWidth="1"/>
    <col min="14" max="15" width="14.7109375" style="6" customWidth="1"/>
    <col min="16" max="17" width="13.140625" style="6" customWidth="1"/>
    <col min="18" max="18" width="13.7109375" style="6" customWidth="1"/>
    <col min="19" max="22" width="14.7109375" style="6" customWidth="1"/>
    <col min="23" max="24" width="14.28515625" style="6" customWidth="1"/>
    <col min="25" max="26" width="13.28515625" style="6" customWidth="1"/>
    <col min="27" max="27" width="13.140625" style="6" customWidth="1"/>
    <col min="28" max="33" width="13.7109375" style="6" customWidth="1"/>
    <col min="34" max="16384" width="13" style="6"/>
  </cols>
  <sheetData>
    <row r="1" spans="1:35" ht="9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5" t="s">
        <v>22</v>
      </c>
      <c r="X1" s="5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</row>
    <row r="2" spans="1:35" x14ac:dyDescent="0.25">
      <c r="A2" s="6" t="str">
        <f>"570101"</f>
        <v>570101</v>
      </c>
      <c r="B2" s="6" t="s">
        <v>35</v>
      </c>
      <c r="C2" s="7">
        <v>28809630</v>
      </c>
      <c r="D2" s="7">
        <v>29431522</v>
      </c>
      <c r="E2" s="8">
        <v>2.16</v>
      </c>
      <c r="F2" s="7">
        <v>7057593</v>
      </c>
      <c r="G2" s="7">
        <v>7128169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7057593</v>
      </c>
      <c r="O2" s="7">
        <v>7128169</v>
      </c>
      <c r="P2" s="8">
        <v>1</v>
      </c>
      <c r="Q2" s="7">
        <v>12355</v>
      </c>
      <c r="R2" s="7">
        <v>0</v>
      </c>
      <c r="S2" s="7">
        <v>7087726</v>
      </c>
      <c r="T2" s="7">
        <v>7172203</v>
      </c>
      <c r="U2" s="7">
        <v>7045238</v>
      </c>
      <c r="V2" s="7">
        <v>7128169</v>
      </c>
      <c r="W2" s="7">
        <v>42488</v>
      </c>
      <c r="X2" s="7">
        <v>44034</v>
      </c>
      <c r="Y2" s="7">
        <v>1161</v>
      </c>
      <c r="Z2" s="7">
        <v>1055</v>
      </c>
      <c r="AA2" s="8">
        <v>-9.1300000000000008</v>
      </c>
      <c r="AB2" s="7">
        <v>6984397</v>
      </c>
      <c r="AC2" s="7">
        <v>2982097</v>
      </c>
      <c r="AD2" s="7">
        <v>474288</v>
      </c>
      <c r="AE2" s="7">
        <v>285000</v>
      </c>
      <c r="AF2" s="7">
        <v>1152385</v>
      </c>
      <c r="AG2" s="7">
        <v>1177261</v>
      </c>
      <c r="AH2" s="8">
        <v>4</v>
      </c>
      <c r="AI2" s="8">
        <v>4</v>
      </c>
    </row>
    <row r="3" spans="1:35" x14ac:dyDescent="0.25">
      <c r="A3" s="6" t="str">
        <f>"410401"</f>
        <v>410401</v>
      </c>
      <c r="B3" s="6" t="s">
        <v>36</v>
      </c>
      <c r="C3" s="7">
        <v>28667163</v>
      </c>
      <c r="D3" s="7">
        <v>28933590</v>
      </c>
      <c r="E3" s="8">
        <v>0.93</v>
      </c>
      <c r="F3" s="7">
        <v>9798554</v>
      </c>
      <c r="G3" s="7">
        <v>9752274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9798554</v>
      </c>
      <c r="O3" s="7">
        <v>9752274</v>
      </c>
      <c r="P3" s="8">
        <v>-0.47</v>
      </c>
      <c r="Q3" s="7">
        <v>301404</v>
      </c>
      <c r="R3" s="7">
        <v>146806</v>
      </c>
      <c r="S3" s="7">
        <v>9798554</v>
      </c>
      <c r="T3" s="7">
        <v>9752274</v>
      </c>
      <c r="U3" s="7">
        <v>9497150</v>
      </c>
      <c r="V3" s="7">
        <v>9605468</v>
      </c>
      <c r="W3" s="7">
        <v>301404</v>
      </c>
      <c r="X3" s="7">
        <v>146806</v>
      </c>
      <c r="Y3" s="7">
        <v>1233</v>
      </c>
      <c r="Z3" s="7">
        <v>1218</v>
      </c>
      <c r="AA3" s="8">
        <v>-1.22</v>
      </c>
      <c r="AB3" s="7">
        <v>5232017</v>
      </c>
      <c r="AC3" s="7">
        <v>5232017</v>
      </c>
      <c r="AD3" s="7">
        <v>961151</v>
      </c>
      <c r="AE3" s="7">
        <v>861151</v>
      </c>
      <c r="AF3" s="7">
        <v>615177</v>
      </c>
      <c r="AG3" s="7">
        <v>615177</v>
      </c>
      <c r="AH3" s="8">
        <v>2.15</v>
      </c>
      <c r="AI3" s="8">
        <v>2.13</v>
      </c>
    </row>
    <row r="4" spans="1:35" x14ac:dyDescent="0.25">
      <c r="A4" s="6" t="str">
        <f>"080101"</f>
        <v>080101</v>
      </c>
      <c r="B4" s="6" t="s">
        <v>37</v>
      </c>
      <c r="C4" s="7">
        <v>15483979</v>
      </c>
      <c r="D4" s="7">
        <v>15617596</v>
      </c>
      <c r="E4" s="8">
        <v>0.86</v>
      </c>
      <c r="F4" s="7">
        <v>4413977</v>
      </c>
      <c r="G4" s="7">
        <v>4454136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4413977</v>
      </c>
      <c r="O4" s="7">
        <v>4454136</v>
      </c>
      <c r="P4" s="8">
        <v>0.91</v>
      </c>
      <c r="Q4" s="7">
        <v>0</v>
      </c>
      <c r="R4" s="7">
        <v>0</v>
      </c>
      <c r="S4" s="7">
        <v>4435275</v>
      </c>
      <c r="T4" s="7">
        <v>4456548</v>
      </c>
      <c r="U4" s="7">
        <v>4413977</v>
      </c>
      <c r="V4" s="7">
        <v>4454136</v>
      </c>
      <c r="W4" s="7">
        <v>21298</v>
      </c>
      <c r="X4" s="7">
        <v>2412</v>
      </c>
      <c r="Y4" s="7">
        <v>549</v>
      </c>
      <c r="Z4" s="7">
        <v>548</v>
      </c>
      <c r="AA4" s="8">
        <v>-0.18</v>
      </c>
      <c r="AB4" s="7">
        <v>2831754</v>
      </c>
      <c r="AC4" s="7">
        <v>2716884</v>
      </c>
      <c r="AD4" s="7">
        <v>784000</v>
      </c>
      <c r="AE4" s="7">
        <v>650000</v>
      </c>
      <c r="AF4" s="7">
        <v>1037200</v>
      </c>
      <c r="AG4" s="7">
        <v>374326</v>
      </c>
      <c r="AH4" s="8">
        <v>6.7</v>
      </c>
      <c r="AI4" s="8">
        <v>2.4</v>
      </c>
    </row>
    <row r="5" spans="1:35" x14ac:dyDescent="0.25">
      <c r="A5" s="6" t="str">
        <f>"142101"</f>
        <v>142101</v>
      </c>
      <c r="B5" s="6" t="s">
        <v>38</v>
      </c>
      <c r="C5" s="7">
        <v>30997862</v>
      </c>
      <c r="D5" s="7">
        <v>30930738</v>
      </c>
      <c r="E5" s="8">
        <v>-0.22</v>
      </c>
      <c r="F5" s="7">
        <v>9595000</v>
      </c>
      <c r="G5" s="7">
        <v>9690000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9595000</v>
      </c>
      <c r="O5" s="7">
        <v>9690000</v>
      </c>
      <c r="P5" s="8">
        <v>0.99</v>
      </c>
      <c r="Q5" s="7">
        <v>425531</v>
      </c>
      <c r="R5" s="7">
        <v>317891</v>
      </c>
      <c r="S5" s="7">
        <v>9172986</v>
      </c>
      <c r="T5" s="7">
        <v>9374109</v>
      </c>
      <c r="U5" s="7">
        <v>9169469</v>
      </c>
      <c r="V5" s="7">
        <v>9372109</v>
      </c>
      <c r="W5" s="7">
        <v>3517</v>
      </c>
      <c r="X5" s="7">
        <v>2000</v>
      </c>
      <c r="Y5" s="7">
        <v>1478</v>
      </c>
      <c r="Z5" s="7">
        <v>1462</v>
      </c>
      <c r="AA5" s="8">
        <v>-1.08</v>
      </c>
      <c r="AB5" s="7">
        <v>8000000</v>
      </c>
      <c r="AC5" s="7">
        <v>7950000</v>
      </c>
      <c r="AD5" s="7">
        <v>1760000</v>
      </c>
      <c r="AE5" s="7">
        <v>1760000</v>
      </c>
      <c r="AF5" s="7">
        <v>2400000</v>
      </c>
      <c r="AG5" s="7">
        <v>2400000</v>
      </c>
      <c r="AH5" s="8">
        <v>7.74</v>
      </c>
      <c r="AI5" s="8">
        <v>7.76</v>
      </c>
    </row>
    <row r="6" spans="1:35" x14ac:dyDescent="0.25">
      <c r="A6" s="9" t="s">
        <v>39</v>
      </c>
      <c r="B6" s="6" t="s">
        <v>40</v>
      </c>
      <c r="C6" s="7">
        <v>234053915</v>
      </c>
      <c r="D6" s="7">
        <v>240177508</v>
      </c>
      <c r="E6" s="10">
        <v>2.62</v>
      </c>
      <c r="F6" s="7">
        <v>113999102</v>
      </c>
      <c r="G6" s="7">
        <v>113999102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113999102</v>
      </c>
      <c r="O6" s="7">
        <v>113999102</v>
      </c>
      <c r="P6" s="10">
        <v>0</v>
      </c>
      <c r="Q6" s="7">
        <v>5600197</v>
      </c>
      <c r="R6" s="7">
        <v>4704432</v>
      </c>
      <c r="S6" s="7">
        <v>108501219</v>
      </c>
      <c r="T6" s="7">
        <v>110389560</v>
      </c>
      <c r="U6" s="7">
        <v>108398905</v>
      </c>
      <c r="V6" s="7">
        <v>109294670</v>
      </c>
      <c r="W6" s="7">
        <v>102314</v>
      </c>
      <c r="X6" s="7">
        <v>1094890</v>
      </c>
      <c r="Y6" s="7">
        <v>11210</v>
      </c>
      <c r="Z6" s="7">
        <v>11525</v>
      </c>
      <c r="AA6" s="10">
        <v>2.81</v>
      </c>
      <c r="AB6" s="7">
        <v>23191420</v>
      </c>
      <c r="AC6" s="7">
        <v>17786420</v>
      </c>
      <c r="AD6" s="7">
        <v>5700000</v>
      </c>
      <c r="AE6" s="7">
        <v>5850000</v>
      </c>
      <c r="AF6" s="7">
        <v>9846369</v>
      </c>
      <c r="AG6" s="7">
        <v>10645561</v>
      </c>
      <c r="AH6" s="8">
        <v>4.21</v>
      </c>
      <c r="AI6" s="8">
        <v>4.43</v>
      </c>
    </row>
    <row r="7" spans="1:35" x14ac:dyDescent="0.25">
      <c r="A7" s="6" t="str">
        <f>"450101"</f>
        <v>450101</v>
      </c>
      <c r="B7" s="6" t="s">
        <v>42</v>
      </c>
      <c r="C7" s="7">
        <v>33890990</v>
      </c>
      <c r="D7" s="7">
        <v>34796676</v>
      </c>
      <c r="E7" s="8">
        <v>2.67</v>
      </c>
      <c r="F7" s="7">
        <v>8355939</v>
      </c>
      <c r="G7" s="7">
        <v>8474939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8355939</v>
      </c>
      <c r="O7" s="7">
        <v>8474939</v>
      </c>
      <c r="P7" s="8">
        <v>1.42</v>
      </c>
      <c r="Q7" s="7">
        <v>0</v>
      </c>
      <c r="R7" s="7">
        <v>0</v>
      </c>
      <c r="S7" s="7">
        <v>8523282</v>
      </c>
      <c r="T7" s="7">
        <v>8708038</v>
      </c>
      <c r="U7" s="7">
        <v>8355939</v>
      </c>
      <c r="V7" s="7">
        <v>8474939</v>
      </c>
      <c r="W7" s="7">
        <v>167343</v>
      </c>
      <c r="X7" s="7">
        <v>233099</v>
      </c>
      <c r="Y7" s="7">
        <v>1834</v>
      </c>
      <c r="Z7" s="7">
        <v>1815</v>
      </c>
      <c r="AA7" s="8">
        <v>-1.04</v>
      </c>
      <c r="AB7" s="7">
        <v>16500609</v>
      </c>
      <c r="AC7" s="7">
        <v>16070000</v>
      </c>
      <c r="AD7" s="7">
        <v>625709</v>
      </c>
      <c r="AE7" s="7">
        <v>595224</v>
      </c>
      <c r="AF7" s="7">
        <v>1235426</v>
      </c>
      <c r="AG7" s="7">
        <v>1380000</v>
      </c>
      <c r="AH7" s="8">
        <v>3.65</v>
      </c>
      <c r="AI7" s="8">
        <v>3.97</v>
      </c>
    </row>
    <row r="8" spans="1:35" x14ac:dyDescent="0.25">
      <c r="A8" s="6" t="str">
        <f>"140101"</f>
        <v>140101</v>
      </c>
      <c r="B8" s="6" t="s">
        <v>43</v>
      </c>
      <c r="C8" s="7">
        <v>33911106</v>
      </c>
      <c r="D8" s="7">
        <v>34379776</v>
      </c>
      <c r="E8" s="8">
        <v>1.38</v>
      </c>
      <c r="F8" s="7">
        <v>14554604</v>
      </c>
      <c r="G8" s="7">
        <v>14554604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14554604</v>
      </c>
      <c r="O8" s="7">
        <v>14554604</v>
      </c>
      <c r="P8" s="8">
        <v>0</v>
      </c>
      <c r="Q8" s="7">
        <v>0</v>
      </c>
      <c r="R8" s="7">
        <v>0</v>
      </c>
      <c r="S8" s="7">
        <v>14882558</v>
      </c>
      <c r="T8" s="7">
        <v>15142157</v>
      </c>
      <c r="U8" s="7">
        <v>14554604</v>
      </c>
      <c r="V8" s="7">
        <v>14554604</v>
      </c>
      <c r="W8" s="7">
        <v>327954</v>
      </c>
      <c r="X8" s="7">
        <v>587553</v>
      </c>
      <c r="Y8" s="7">
        <v>1726</v>
      </c>
      <c r="Z8" s="7">
        <v>1693</v>
      </c>
      <c r="AA8" s="8">
        <v>-1.91</v>
      </c>
      <c r="AB8" s="7">
        <v>11629902</v>
      </c>
      <c r="AC8" s="7">
        <v>11500000</v>
      </c>
      <c r="AD8" s="7">
        <v>3474519</v>
      </c>
      <c r="AE8" s="7">
        <v>3000000</v>
      </c>
      <c r="AF8" s="7">
        <v>1356444</v>
      </c>
      <c r="AG8" s="7">
        <v>1375191</v>
      </c>
      <c r="AH8" s="8">
        <v>4</v>
      </c>
      <c r="AI8" s="8">
        <v>4</v>
      </c>
    </row>
    <row r="9" spans="1:35" x14ac:dyDescent="0.25">
      <c r="A9" s="6" t="str">
        <f>"180202"</f>
        <v>180202</v>
      </c>
      <c r="B9" s="6" t="s">
        <v>44</v>
      </c>
      <c r="C9" s="7">
        <v>17520684</v>
      </c>
      <c r="D9" s="7">
        <v>17998177</v>
      </c>
      <c r="E9" s="8">
        <v>2.73</v>
      </c>
      <c r="F9" s="7">
        <v>5970628</v>
      </c>
      <c r="G9" s="7">
        <v>6044664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5970628</v>
      </c>
      <c r="O9" s="7">
        <v>6044664</v>
      </c>
      <c r="P9" s="8">
        <v>1.24</v>
      </c>
      <c r="Q9" s="7">
        <v>0</v>
      </c>
      <c r="R9" s="7">
        <v>0</v>
      </c>
      <c r="S9" s="7">
        <v>5970628</v>
      </c>
      <c r="T9" s="7">
        <v>6044664</v>
      </c>
      <c r="U9" s="7">
        <v>5970628</v>
      </c>
      <c r="V9" s="7">
        <v>6044664</v>
      </c>
      <c r="W9" s="7">
        <v>0</v>
      </c>
      <c r="X9" s="7">
        <v>0</v>
      </c>
      <c r="Y9" s="7">
        <v>830</v>
      </c>
      <c r="Z9" s="7">
        <v>830</v>
      </c>
      <c r="AA9" s="8">
        <v>0</v>
      </c>
      <c r="AB9" s="7">
        <v>1745612</v>
      </c>
      <c r="AC9" s="7">
        <v>2001500</v>
      </c>
      <c r="AD9" s="7">
        <v>428062</v>
      </c>
      <c r="AE9" s="7">
        <v>300000</v>
      </c>
      <c r="AF9" s="7">
        <v>665785</v>
      </c>
      <c r="AG9" s="7">
        <v>705000</v>
      </c>
      <c r="AH9" s="8">
        <v>3.8</v>
      </c>
      <c r="AI9" s="8">
        <v>3.92</v>
      </c>
    </row>
    <row r="10" spans="1:35" x14ac:dyDescent="0.25">
      <c r="A10" s="6" t="str">
        <f>"220202"</f>
        <v>220202</v>
      </c>
      <c r="B10" s="6" t="s">
        <v>45</v>
      </c>
      <c r="C10" s="7">
        <v>12791917</v>
      </c>
      <c r="D10" s="7">
        <v>13128841</v>
      </c>
      <c r="E10" s="8">
        <v>2.63</v>
      </c>
      <c r="F10" s="7">
        <v>7047554</v>
      </c>
      <c r="G10" s="7">
        <v>7188449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7047554</v>
      </c>
      <c r="O10" s="7">
        <v>7188449</v>
      </c>
      <c r="P10" s="8">
        <v>2</v>
      </c>
      <c r="Q10" s="7">
        <v>474572</v>
      </c>
      <c r="R10" s="7">
        <v>565786</v>
      </c>
      <c r="S10" s="7">
        <v>6592305</v>
      </c>
      <c r="T10" s="7">
        <v>6655438</v>
      </c>
      <c r="U10" s="7">
        <v>6572982</v>
      </c>
      <c r="V10" s="7">
        <v>6622663</v>
      </c>
      <c r="W10" s="7">
        <v>19323</v>
      </c>
      <c r="X10" s="7">
        <v>32775</v>
      </c>
      <c r="Y10" s="7">
        <v>575</v>
      </c>
      <c r="Z10" s="7">
        <v>548</v>
      </c>
      <c r="AA10" s="8">
        <v>-4.7</v>
      </c>
      <c r="AB10" s="7">
        <v>563060</v>
      </c>
      <c r="AC10" s="7">
        <v>538462</v>
      </c>
      <c r="AD10" s="7">
        <v>752070</v>
      </c>
      <c r="AE10" s="7">
        <v>1000000</v>
      </c>
      <c r="AF10" s="7">
        <v>1603856</v>
      </c>
      <c r="AG10" s="7">
        <v>1226836</v>
      </c>
      <c r="AH10" s="8">
        <v>12.54</v>
      </c>
      <c r="AI10" s="8">
        <v>9.34</v>
      </c>
    </row>
    <row r="11" spans="1:35" x14ac:dyDescent="0.25">
      <c r="A11" s="6" t="str">
        <f>"020101"</f>
        <v>020101</v>
      </c>
      <c r="B11" s="6" t="s">
        <v>46</v>
      </c>
      <c r="C11" s="7">
        <v>13070964</v>
      </c>
      <c r="D11" s="7">
        <v>13273772</v>
      </c>
      <c r="E11" s="8">
        <v>1.55</v>
      </c>
      <c r="F11" s="7">
        <v>4927450</v>
      </c>
      <c r="G11" s="7">
        <v>4976725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4927450</v>
      </c>
      <c r="O11" s="7">
        <v>4976725</v>
      </c>
      <c r="P11" s="8">
        <v>1</v>
      </c>
      <c r="Q11" s="7">
        <v>183243</v>
      </c>
      <c r="R11" s="7">
        <v>172935</v>
      </c>
      <c r="S11" s="7">
        <v>4744207</v>
      </c>
      <c r="T11" s="7">
        <v>4807477</v>
      </c>
      <c r="U11" s="7">
        <v>4744207</v>
      </c>
      <c r="V11" s="7">
        <v>4803790</v>
      </c>
      <c r="W11" s="7">
        <v>0</v>
      </c>
      <c r="X11" s="7">
        <v>3687</v>
      </c>
      <c r="Y11" s="7">
        <v>643</v>
      </c>
      <c r="Z11" s="7">
        <v>638</v>
      </c>
      <c r="AA11" s="8">
        <v>-0.78</v>
      </c>
      <c r="AB11" s="7">
        <v>2906137</v>
      </c>
      <c r="AC11" s="7">
        <v>3768995</v>
      </c>
      <c r="AD11" s="7">
        <v>735103</v>
      </c>
      <c r="AE11" s="7">
        <v>671674</v>
      </c>
      <c r="AF11" s="7">
        <v>1299621</v>
      </c>
      <c r="AG11" s="7">
        <v>530951</v>
      </c>
      <c r="AH11" s="8">
        <v>9.94</v>
      </c>
      <c r="AI11" s="8">
        <v>4</v>
      </c>
    </row>
    <row r="12" spans="1:35" x14ac:dyDescent="0.25">
      <c r="A12" s="6" t="str">
        <f>"040302"</f>
        <v>040302</v>
      </c>
      <c r="B12" s="6" t="s">
        <v>47</v>
      </c>
      <c r="C12" s="7">
        <v>22819140</v>
      </c>
      <c r="D12" s="7">
        <v>23097230</v>
      </c>
      <c r="E12" s="8">
        <v>1.22</v>
      </c>
      <c r="F12" s="7">
        <v>7517932</v>
      </c>
      <c r="G12" s="7">
        <v>7391839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7517932</v>
      </c>
      <c r="O12" s="7">
        <v>7391839</v>
      </c>
      <c r="P12" s="8">
        <v>-1.68</v>
      </c>
      <c r="Q12" s="7">
        <v>98704</v>
      </c>
      <c r="R12" s="7">
        <v>82394</v>
      </c>
      <c r="S12" s="7">
        <v>7756670</v>
      </c>
      <c r="T12" s="7">
        <v>7676836</v>
      </c>
      <c r="U12" s="7">
        <v>7419228</v>
      </c>
      <c r="V12" s="7">
        <v>7309445</v>
      </c>
      <c r="W12" s="7">
        <v>337442</v>
      </c>
      <c r="X12" s="7">
        <v>367391</v>
      </c>
      <c r="Y12" s="7">
        <v>1192</v>
      </c>
      <c r="Z12" s="7">
        <v>1197</v>
      </c>
      <c r="AA12" s="8">
        <v>0.42</v>
      </c>
      <c r="AB12" s="7">
        <v>5082107</v>
      </c>
      <c r="AC12" s="7">
        <v>2882107</v>
      </c>
      <c r="AD12" s="7">
        <v>499700</v>
      </c>
      <c r="AE12" s="7">
        <v>430000</v>
      </c>
      <c r="AF12" s="7">
        <v>2276040</v>
      </c>
      <c r="AG12" s="7">
        <v>2445740</v>
      </c>
      <c r="AH12" s="8">
        <v>9.9700000000000006</v>
      </c>
      <c r="AI12" s="8">
        <v>10.59</v>
      </c>
    </row>
    <row r="13" spans="1:35" x14ac:dyDescent="0.25">
      <c r="A13" s="6" t="str">
        <f>"460102"</f>
        <v>460102</v>
      </c>
      <c r="B13" s="6" t="s">
        <v>48</v>
      </c>
      <c r="C13" s="7">
        <v>31413117</v>
      </c>
      <c r="D13" s="7">
        <v>31413117</v>
      </c>
      <c r="E13" s="8">
        <v>0</v>
      </c>
      <c r="F13" s="7">
        <v>6494300</v>
      </c>
      <c r="G13" s="7">
        <v>6204896</v>
      </c>
      <c r="H13" s="7">
        <v>65000</v>
      </c>
      <c r="I13" s="7">
        <v>65000</v>
      </c>
      <c r="J13" s="7">
        <v>0</v>
      </c>
      <c r="K13" s="7">
        <v>0</v>
      </c>
      <c r="L13" s="7">
        <v>0</v>
      </c>
      <c r="M13" s="7">
        <v>0</v>
      </c>
      <c r="N13" s="7">
        <v>6559300</v>
      </c>
      <c r="O13" s="7">
        <v>6269896</v>
      </c>
      <c r="P13" s="8">
        <v>-4.41</v>
      </c>
      <c r="Q13" s="7">
        <v>500000</v>
      </c>
      <c r="R13" s="7">
        <v>322484</v>
      </c>
      <c r="S13" s="7">
        <v>6165890</v>
      </c>
      <c r="T13" s="7">
        <v>6473780</v>
      </c>
      <c r="U13" s="7">
        <v>5994300</v>
      </c>
      <c r="V13" s="7">
        <v>5882412</v>
      </c>
      <c r="W13" s="7">
        <v>171590</v>
      </c>
      <c r="X13" s="7">
        <v>591368</v>
      </c>
      <c r="Y13" s="7">
        <v>1167</v>
      </c>
      <c r="Z13" s="7">
        <v>1161</v>
      </c>
      <c r="AA13" s="8">
        <v>-0.51</v>
      </c>
      <c r="AB13" s="7">
        <v>4079841</v>
      </c>
      <c r="AC13" s="7">
        <v>15334375</v>
      </c>
      <c r="AD13" s="7">
        <v>422553</v>
      </c>
      <c r="AE13" s="7">
        <v>0</v>
      </c>
      <c r="AF13" s="7">
        <v>11116548</v>
      </c>
      <c r="AG13" s="7">
        <v>4165361</v>
      </c>
      <c r="AH13" s="8">
        <v>35.39</v>
      </c>
      <c r="AI13" s="8">
        <v>13.26</v>
      </c>
    </row>
    <row r="14" spans="1:35" x14ac:dyDescent="0.25">
      <c r="A14" s="6" t="str">
        <f>"580303"</f>
        <v>580303</v>
      </c>
      <c r="B14" s="6" t="s">
        <v>49</v>
      </c>
      <c r="C14" s="7">
        <v>10473428</v>
      </c>
      <c r="D14" s="7">
        <v>10678819</v>
      </c>
      <c r="E14" s="8">
        <v>1.96</v>
      </c>
      <c r="F14" s="7">
        <v>9092446</v>
      </c>
      <c r="G14" s="7">
        <v>9299086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9092446</v>
      </c>
      <c r="O14" s="7">
        <v>9299086</v>
      </c>
      <c r="P14" s="8">
        <v>2.27</v>
      </c>
      <c r="Q14" s="7">
        <v>0</v>
      </c>
      <c r="R14" s="7">
        <v>0</v>
      </c>
      <c r="S14" s="7">
        <v>8779149</v>
      </c>
      <c r="T14" s="7">
        <v>9304676</v>
      </c>
      <c r="U14" s="7">
        <v>9092446</v>
      </c>
      <c r="V14" s="7">
        <v>9299086</v>
      </c>
      <c r="W14" s="7">
        <v>-313297</v>
      </c>
      <c r="X14" s="7">
        <v>5590</v>
      </c>
      <c r="Y14" s="7">
        <v>186</v>
      </c>
      <c r="Z14" s="7">
        <v>193</v>
      </c>
      <c r="AA14" s="8">
        <v>3.76</v>
      </c>
      <c r="AB14" s="7">
        <v>2281980</v>
      </c>
      <c r="AC14" s="7">
        <v>2123045</v>
      </c>
      <c r="AD14" s="7">
        <v>839182</v>
      </c>
      <c r="AE14" s="7">
        <v>839182</v>
      </c>
      <c r="AF14" s="7">
        <v>568462</v>
      </c>
      <c r="AG14" s="7">
        <v>426085</v>
      </c>
      <c r="AH14" s="8">
        <v>5.43</v>
      </c>
      <c r="AI14" s="8">
        <v>3.99</v>
      </c>
    </row>
    <row r="15" spans="1:35" x14ac:dyDescent="0.25">
      <c r="A15" s="6" t="str">
        <f>"140201"</f>
        <v>140201</v>
      </c>
      <c r="B15" s="6" t="s">
        <v>50</v>
      </c>
      <c r="C15" s="7">
        <v>55650245</v>
      </c>
      <c r="D15" s="7">
        <v>57303979</v>
      </c>
      <c r="E15" s="8">
        <v>2.97</v>
      </c>
      <c r="F15" s="7">
        <v>33990163</v>
      </c>
      <c r="G15" s="7">
        <v>34921929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33990163</v>
      </c>
      <c r="O15" s="7">
        <v>34921929</v>
      </c>
      <c r="P15" s="8">
        <v>2.74</v>
      </c>
      <c r="Q15" s="7">
        <v>0</v>
      </c>
      <c r="R15" s="7">
        <v>523798</v>
      </c>
      <c r="S15" s="7">
        <v>33990163</v>
      </c>
      <c r="T15" s="7">
        <v>34398131</v>
      </c>
      <c r="U15" s="7">
        <v>33990163</v>
      </c>
      <c r="V15" s="7">
        <v>34398131</v>
      </c>
      <c r="W15" s="7">
        <v>0</v>
      </c>
      <c r="X15" s="7">
        <v>0</v>
      </c>
      <c r="Y15" s="7">
        <v>2939</v>
      </c>
      <c r="Z15" s="7">
        <v>2950</v>
      </c>
      <c r="AA15" s="8">
        <v>0.37</v>
      </c>
      <c r="AB15" s="7">
        <v>4288257</v>
      </c>
      <c r="AC15" s="7">
        <v>4081732</v>
      </c>
      <c r="AD15" s="7">
        <v>0</v>
      </c>
      <c r="AE15" s="7">
        <v>929881</v>
      </c>
      <c r="AF15" s="7">
        <v>2193475</v>
      </c>
      <c r="AG15" s="7">
        <v>1800000</v>
      </c>
      <c r="AH15" s="8">
        <v>3.94</v>
      </c>
      <c r="AI15" s="8">
        <v>3.14</v>
      </c>
    </row>
    <row r="16" spans="1:35" x14ac:dyDescent="0.25">
      <c r="A16" s="6" t="str">
        <f>"580106"</f>
        <v>580106</v>
      </c>
      <c r="B16" s="6" t="s">
        <v>51</v>
      </c>
      <c r="C16" s="7">
        <v>86520543</v>
      </c>
      <c r="D16" s="7">
        <v>88420651</v>
      </c>
      <c r="E16" s="8">
        <v>2.2000000000000002</v>
      </c>
      <c r="F16" s="7">
        <v>55572109</v>
      </c>
      <c r="G16" s="7">
        <v>56797151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55572109</v>
      </c>
      <c r="O16" s="7">
        <v>56797151</v>
      </c>
      <c r="P16" s="8">
        <v>2.2000000000000002</v>
      </c>
      <c r="Q16" s="7">
        <v>726693</v>
      </c>
      <c r="R16" s="7">
        <v>1091214</v>
      </c>
      <c r="S16" s="7">
        <v>54845416</v>
      </c>
      <c r="T16" s="7">
        <v>55705937</v>
      </c>
      <c r="U16" s="7">
        <v>54845416</v>
      </c>
      <c r="V16" s="7">
        <v>55705937</v>
      </c>
      <c r="W16" s="7">
        <v>0</v>
      </c>
      <c r="X16" s="7">
        <v>0</v>
      </c>
      <c r="Y16" s="7">
        <v>3131</v>
      </c>
      <c r="Z16" s="7">
        <v>3096</v>
      </c>
      <c r="AA16" s="8">
        <v>-1.1200000000000001</v>
      </c>
      <c r="AB16" s="7">
        <v>2920207</v>
      </c>
      <c r="AC16" s="7">
        <v>2991305</v>
      </c>
      <c r="AD16" s="7">
        <v>2300000</v>
      </c>
      <c r="AE16" s="7">
        <v>2000000</v>
      </c>
      <c r="AF16" s="7">
        <v>2473297</v>
      </c>
      <c r="AG16" s="7">
        <v>2705490</v>
      </c>
      <c r="AH16" s="8">
        <v>2.86</v>
      </c>
      <c r="AI16" s="8">
        <v>3.06</v>
      </c>
    </row>
    <row r="17" spans="1:35" x14ac:dyDescent="0.25">
      <c r="A17" s="6" t="str">
        <f>"270100"</f>
        <v>270100</v>
      </c>
      <c r="B17" s="6" t="s">
        <v>52</v>
      </c>
      <c r="C17" s="7">
        <v>68788976</v>
      </c>
      <c r="D17" s="7">
        <v>69511563</v>
      </c>
      <c r="E17" s="8">
        <v>1.05</v>
      </c>
      <c r="F17" s="7">
        <v>20875122</v>
      </c>
      <c r="G17" s="7">
        <v>20875122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20875122</v>
      </c>
      <c r="O17" s="7">
        <v>20875122</v>
      </c>
      <c r="P17" s="8">
        <v>0</v>
      </c>
      <c r="Q17" s="7">
        <v>64577</v>
      </c>
      <c r="R17" s="7">
        <v>209478</v>
      </c>
      <c r="S17" s="7">
        <v>20810545</v>
      </c>
      <c r="T17" s="7">
        <v>20665644</v>
      </c>
      <c r="U17" s="7">
        <v>20810545</v>
      </c>
      <c r="V17" s="7">
        <v>20665644</v>
      </c>
      <c r="W17" s="7">
        <v>0</v>
      </c>
      <c r="X17" s="7">
        <v>0</v>
      </c>
      <c r="Y17" s="7">
        <v>3618</v>
      </c>
      <c r="Z17" s="7">
        <v>3625</v>
      </c>
      <c r="AA17" s="8">
        <v>0.19</v>
      </c>
      <c r="AB17" s="7">
        <v>3297030</v>
      </c>
      <c r="AC17" s="7">
        <v>4342030</v>
      </c>
      <c r="AD17" s="7">
        <v>325000</v>
      </c>
      <c r="AE17" s="7">
        <v>500000</v>
      </c>
      <c r="AF17" s="7">
        <v>8799961</v>
      </c>
      <c r="AG17" s="7">
        <v>7254961</v>
      </c>
      <c r="AH17" s="8">
        <v>12.79</v>
      </c>
      <c r="AI17" s="8">
        <v>10.44</v>
      </c>
    </row>
    <row r="18" spans="1:35" x14ac:dyDescent="0.25">
      <c r="A18" s="6" t="str">
        <f>"120102"</f>
        <v>120102</v>
      </c>
      <c r="B18" s="6" t="s">
        <v>53</v>
      </c>
      <c r="C18" s="7">
        <v>4113451</v>
      </c>
      <c r="D18" s="7">
        <v>4169931</v>
      </c>
      <c r="E18" s="8">
        <v>1.37</v>
      </c>
      <c r="F18" s="7">
        <v>2841329</v>
      </c>
      <c r="G18" s="7">
        <v>2891261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2841329</v>
      </c>
      <c r="O18" s="7">
        <v>2891261</v>
      </c>
      <c r="P18" s="8">
        <v>1.76</v>
      </c>
      <c r="Q18" s="7">
        <v>125867</v>
      </c>
      <c r="R18" s="7">
        <v>130077</v>
      </c>
      <c r="S18" s="7">
        <v>2715462</v>
      </c>
      <c r="T18" s="7">
        <v>2761184</v>
      </c>
      <c r="U18" s="7">
        <v>2715462</v>
      </c>
      <c r="V18" s="7">
        <v>2761184</v>
      </c>
      <c r="W18" s="7">
        <v>0</v>
      </c>
      <c r="X18" s="7">
        <v>0</v>
      </c>
      <c r="Y18" s="7">
        <v>114</v>
      </c>
      <c r="Z18" s="7">
        <v>110</v>
      </c>
      <c r="AA18" s="8">
        <v>-3.51</v>
      </c>
      <c r="AB18" s="7">
        <v>764381</v>
      </c>
      <c r="AC18" s="7">
        <v>698504</v>
      </c>
      <c r="AD18" s="7">
        <v>232545</v>
      </c>
      <c r="AE18" s="7">
        <v>218269</v>
      </c>
      <c r="AF18" s="7">
        <v>841137</v>
      </c>
      <c r="AG18" s="7">
        <v>626548</v>
      </c>
      <c r="AH18" s="8">
        <v>20.45</v>
      </c>
      <c r="AI18" s="8">
        <v>15.03</v>
      </c>
    </row>
    <row r="19" spans="1:35" x14ac:dyDescent="0.25">
      <c r="A19" s="6" t="str">
        <f>"020601"</f>
        <v>020601</v>
      </c>
      <c r="B19" s="6" t="s">
        <v>54</v>
      </c>
      <c r="C19" s="7">
        <v>9182475</v>
      </c>
      <c r="D19" s="7">
        <v>9311400</v>
      </c>
      <c r="E19" s="8">
        <v>1.4</v>
      </c>
      <c r="F19" s="7">
        <v>2551464</v>
      </c>
      <c r="G19" s="7">
        <v>2543464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2551464</v>
      </c>
      <c r="O19" s="7">
        <v>2543464</v>
      </c>
      <c r="P19" s="8">
        <v>-0.31</v>
      </c>
      <c r="Q19" s="7">
        <v>0</v>
      </c>
      <c r="R19" s="7">
        <v>0</v>
      </c>
      <c r="S19" s="7">
        <v>2592367</v>
      </c>
      <c r="T19" s="7">
        <v>2583572</v>
      </c>
      <c r="U19" s="7">
        <v>2551464</v>
      </c>
      <c r="V19" s="7">
        <v>2543464</v>
      </c>
      <c r="W19" s="7">
        <v>40903</v>
      </c>
      <c r="X19" s="7">
        <v>40108</v>
      </c>
      <c r="Y19" s="7">
        <v>353</v>
      </c>
      <c r="Z19" s="7">
        <v>361</v>
      </c>
      <c r="AA19" s="8">
        <v>2.27</v>
      </c>
      <c r="AB19" s="7">
        <v>2098185</v>
      </c>
      <c r="AC19" s="7">
        <v>2675670</v>
      </c>
      <c r="AD19" s="7">
        <v>232000</v>
      </c>
      <c r="AE19" s="7">
        <v>232000</v>
      </c>
      <c r="AF19" s="7">
        <v>367300</v>
      </c>
      <c r="AG19" s="7">
        <v>370120</v>
      </c>
      <c r="AH19" s="8">
        <v>4</v>
      </c>
      <c r="AI19" s="8">
        <v>3.97</v>
      </c>
    </row>
    <row r="20" spans="1:35" x14ac:dyDescent="0.25">
      <c r="A20" s="6" t="str">
        <f>"660405"</f>
        <v>660405</v>
      </c>
      <c r="B20" s="6" t="s">
        <v>55</v>
      </c>
      <c r="C20" s="7">
        <v>66343702</v>
      </c>
      <c r="D20" s="7">
        <v>67505261</v>
      </c>
      <c r="E20" s="8">
        <v>1.75</v>
      </c>
      <c r="F20" s="7">
        <v>51533827</v>
      </c>
      <c r="G20" s="7">
        <v>52832610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51533827</v>
      </c>
      <c r="O20" s="7">
        <v>52832610</v>
      </c>
      <c r="P20" s="8">
        <v>2.52</v>
      </c>
      <c r="Q20" s="7">
        <v>2228301</v>
      </c>
      <c r="R20" s="7">
        <v>2295297</v>
      </c>
      <c r="S20" s="7">
        <v>49305526</v>
      </c>
      <c r="T20" s="7">
        <v>50537313</v>
      </c>
      <c r="U20" s="7">
        <v>49305526</v>
      </c>
      <c r="V20" s="7">
        <v>50537313</v>
      </c>
      <c r="W20" s="7">
        <v>0</v>
      </c>
      <c r="X20" s="7">
        <v>0</v>
      </c>
      <c r="Y20" s="7">
        <v>2120</v>
      </c>
      <c r="Z20" s="7">
        <v>2149</v>
      </c>
      <c r="AA20" s="8">
        <v>1.37</v>
      </c>
      <c r="AB20" s="7">
        <v>10856104</v>
      </c>
      <c r="AC20" s="7">
        <v>10193821</v>
      </c>
      <c r="AD20" s="7">
        <v>1980000</v>
      </c>
      <c r="AE20" s="7">
        <v>1980000</v>
      </c>
      <c r="AF20" s="7">
        <v>2653748</v>
      </c>
      <c r="AG20" s="7">
        <v>2700210</v>
      </c>
      <c r="AH20" s="8">
        <v>4</v>
      </c>
      <c r="AI20" s="8">
        <v>4</v>
      </c>
    </row>
    <row r="21" spans="1:35" x14ac:dyDescent="0.25">
      <c r="A21" s="6" t="str">
        <f>"640101"</f>
        <v>640101</v>
      </c>
      <c r="B21" s="6" t="s">
        <v>56</v>
      </c>
      <c r="C21" s="7">
        <v>11679000</v>
      </c>
      <c r="D21" s="7">
        <v>12065500</v>
      </c>
      <c r="E21" s="8">
        <v>3.31</v>
      </c>
      <c r="F21" s="7">
        <v>4605500</v>
      </c>
      <c r="G21" s="7">
        <v>4720000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4605500</v>
      </c>
      <c r="O21" s="7">
        <v>4720000</v>
      </c>
      <c r="P21" s="8">
        <v>2.4900000000000002</v>
      </c>
      <c r="Q21" s="7">
        <v>0</v>
      </c>
      <c r="R21" s="7">
        <v>216587</v>
      </c>
      <c r="S21" s="7">
        <v>4605608</v>
      </c>
      <c r="T21" s="7">
        <v>4679366</v>
      </c>
      <c r="U21" s="7">
        <v>4605500</v>
      </c>
      <c r="V21" s="7">
        <v>4503413</v>
      </c>
      <c r="W21" s="7">
        <v>108</v>
      </c>
      <c r="X21" s="7">
        <v>175953</v>
      </c>
      <c r="Y21" s="7">
        <v>530</v>
      </c>
      <c r="Z21" s="7">
        <v>535</v>
      </c>
      <c r="AA21" s="8">
        <v>0.94</v>
      </c>
      <c r="AB21" s="7">
        <v>801477</v>
      </c>
      <c r="AC21" s="7">
        <v>785000</v>
      </c>
      <c r="AD21" s="7">
        <v>443404</v>
      </c>
      <c r="AE21" s="7">
        <v>495500</v>
      </c>
      <c r="AF21" s="7">
        <v>1673803</v>
      </c>
      <c r="AG21" s="7">
        <v>1570000</v>
      </c>
      <c r="AH21" s="8">
        <v>14.33</v>
      </c>
      <c r="AI21" s="8">
        <v>13.01</v>
      </c>
    </row>
    <row r="22" spans="1:35" x14ac:dyDescent="0.25">
      <c r="A22" s="6" t="str">
        <f>"571901"</f>
        <v>571901</v>
      </c>
      <c r="B22" s="6" t="s">
        <v>57</v>
      </c>
      <c r="C22" s="7">
        <v>10344506</v>
      </c>
      <c r="D22" s="7">
        <v>10661352</v>
      </c>
      <c r="E22" s="8">
        <v>3.06</v>
      </c>
      <c r="F22" s="7">
        <v>3443293</v>
      </c>
      <c r="G22" s="7">
        <v>3503281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3443293</v>
      </c>
      <c r="O22" s="7">
        <v>3503281</v>
      </c>
      <c r="P22" s="8">
        <v>1.74</v>
      </c>
      <c r="Q22" s="7">
        <v>0</v>
      </c>
      <c r="R22" s="7">
        <v>128763</v>
      </c>
      <c r="S22" s="7">
        <v>3392085</v>
      </c>
      <c r="T22" s="7">
        <v>3556705</v>
      </c>
      <c r="U22" s="7">
        <v>3443293</v>
      </c>
      <c r="V22" s="7">
        <v>3374518</v>
      </c>
      <c r="W22" s="7">
        <v>-51208</v>
      </c>
      <c r="X22" s="7">
        <v>182187</v>
      </c>
      <c r="Y22" s="7">
        <v>457</v>
      </c>
      <c r="Z22" s="7">
        <v>450</v>
      </c>
      <c r="AA22" s="8">
        <v>-1.53</v>
      </c>
      <c r="AB22" s="7">
        <v>3797356</v>
      </c>
      <c r="AC22" s="7">
        <v>2497356</v>
      </c>
      <c r="AD22" s="7">
        <v>239100</v>
      </c>
      <c r="AE22" s="7">
        <v>239100</v>
      </c>
      <c r="AF22" s="7">
        <v>421316</v>
      </c>
      <c r="AG22" s="7">
        <v>500000</v>
      </c>
      <c r="AH22" s="8">
        <v>4.07</v>
      </c>
      <c r="AI22" s="8">
        <v>4.6900000000000004</v>
      </c>
    </row>
    <row r="23" spans="1:35" x14ac:dyDescent="0.25">
      <c r="A23" s="6" t="str">
        <f>"131601"</f>
        <v>131601</v>
      </c>
      <c r="B23" s="6" t="s">
        <v>58</v>
      </c>
      <c r="C23" s="7">
        <v>201225000</v>
      </c>
      <c r="D23" s="7">
        <v>205055000</v>
      </c>
      <c r="E23" s="8">
        <v>1.9</v>
      </c>
      <c r="F23" s="7">
        <v>134423212</v>
      </c>
      <c r="G23" s="7">
        <v>136465676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134423212</v>
      </c>
      <c r="O23" s="7">
        <v>136465676</v>
      </c>
      <c r="P23" s="8">
        <v>1.52</v>
      </c>
      <c r="Q23" s="7">
        <v>4867615</v>
      </c>
      <c r="R23" s="7">
        <v>6056984</v>
      </c>
      <c r="S23" s="7">
        <v>131869623</v>
      </c>
      <c r="T23" s="7">
        <v>132182256</v>
      </c>
      <c r="U23" s="7">
        <v>129555597</v>
      </c>
      <c r="V23" s="7">
        <v>130408692</v>
      </c>
      <c r="W23" s="7">
        <v>2314026</v>
      </c>
      <c r="X23" s="7">
        <v>1773564</v>
      </c>
      <c r="Y23" s="7">
        <v>8172</v>
      </c>
      <c r="Z23" s="7">
        <v>7977</v>
      </c>
      <c r="AA23" s="8">
        <v>-2.39</v>
      </c>
      <c r="AB23" s="7">
        <v>15862203</v>
      </c>
      <c r="AC23" s="7">
        <v>18175860</v>
      </c>
      <c r="AD23" s="7">
        <v>4000000</v>
      </c>
      <c r="AE23" s="7">
        <v>5000000</v>
      </c>
      <c r="AF23" s="7">
        <v>7933562</v>
      </c>
      <c r="AG23" s="7">
        <v>8106879</v>
      </c>
      <c r="AH23" s="8">
        <v>3.94</v>
      </c>
      <c r="AI23" s="8">
        <v>3.95</v>
      </c>
    </row>
    <row r="24" spans="1:35" x14ac:dyDescent="0.25">
      <c r="A24" s="6" t="str">
        <f>"670201"</f>
        <v>670201</v>
      </c>
      <c r="B24" s="6" t="s">
        <v>59</v>
      </c>
      <c r="C24" s="7">
        <v>27409724</v>
      </c>
      <c r="D24" s="7">
        <v>27105000</v>
      </c>
      <c r="E24" s="8">
        <v>-1.1100000000000001</v>
      </c>
      <c r="F24" s="7">
        <v>10062132</v>
      </c>
      <c r="G24" s="7">
        <v>10062132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10062132</v>
      </c>
      <c r="O24" s="7">
        <v>10062132</v>
      </c>
      <c r="P24" s="8">
        <v>0</v>
      </c>
      <c r="Q24" s="7">
        <v>0</v>
      </c>
      <c r="R24" s="7">
        <v>0</v>
      </c>
      <c r="S24" s="7">
        <v>10236754</v>
      </c>
      <c r="T24" s="7">
        <v>10366075</v>
      </c>
      <c r="U24" s="7">
        <v>10062132</v>
      </c>
      <c r="V24" s="7">
        <v>10062132</v>
      </c>
      <c r="W24" s="7">
        <v>174622</v>
      </c>
      <c r="X24" s="7">
        <v>303943</v>
      </c>
      <c r="Y24" s="7">
        <v>1277</v>
      </c>
      <c r="Z24" s="7">
        <v>1255</v>
      </c>
      <c r="AA24" s="8">
        <v>-1.72</v>
      </c>
      <c r="AB24" s="7">
        <v>8840776</v>
      </c>
      <c r="AC24" s="7">
        <v>8855776</v>
      </c>
      <c r="AD24" s="7">
        <v>301848</v>
      </c>
      <c r="AE24" s="7">
        <v>449950</v>
      </c>
      <c r="AF24" s="7">
        <v>1056410</v>
      </c>
      <c r="AG24" s="7">
        <v>1084200</v>
      </c>
      <c r="AH24" s="8">
        <v>3.85</v>
      </c>
      <c r="AI24" s="8">
        <v>4</v>
      </c>
    </row>
    <row r="25" spans="1:35" x14ac:dyDescent="0.25">
      <c r="A25" s="6" t="str">
        <f>"050100"</f>
        <v>050100</v>
      </c>
      <c r="B25" s="6" t="s">
        <v>60</v>
      </c>
      <c r="C25" s="7">
        <v>73405872</v>
      </c>
      <c r="D25" s="7">
        <v>75272249</v>
      </c>
      <c r="E25" s="8">
        <v>2.54</v>
      </c>
      <c r="F25" s="7">
        <v>29610692</v>
      </c>
      <c r="G25" s="7">
        <v>30789198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29610692</v>
      </c>
      <c r="O25" s="7">
        <v>30789198</v>
      </c>
      <c r="P25" s="8">
        <v>3.98</v>
      </c>
      <c r="Q25" s="7">
        <v>311866</v>
      </c>
      <c r="R25" s="7">
        <v>774194</v>
      </c>
      <c r="S25" s="7">
        <v>29298826</v>
      </c>
      <c r="T25" s="7">
        <v>30015004</v>
      </c>
      <c r="U25" s="7">
        <v>29298826</v>
      </c>
      <c r="V25" s="7">
        <v>30015004</v>
      </c>
      <c r="W25" s="7">
        <v>0</v>
      </c>
      <c r="X25" s="7">
        <v>0</v>
      </c>
      <c r="Y25" s="7">
        <v>4127</v>
      </c>
      <c r="Z25" s="7">
        <v>4163</v>
      </c>
      <c r="AA25" s="8">
        <v>0.87</v>
      </c>
      <c r="AB25" s="7">
        <v>4255654</v>
      </c>
      <c r="AC25" s="7">
        <v>3095654</v>
      </c>
      <c r="AD25" s="7">
        <v>1160000</v>
      </c>
      <c r="AE25" s="7">
        <v>1590000</v>
      </c>
      <c r="AF25" s="7">
        <v>2934587</v>
      </c>
      <c r="AG25" s="7">
        <v>3010890</v>
      </c>
      <c r="AH25" s="8">
        <v>4</v>
      </c>
      <c r="AI25" s="8">
        <v>4</v>
      </c>
    </row>
    <row r="26" spans="1:35" x14ac:dyDescent="0.25">
      <c r="A26" s="6" t="str">
        <f>"090201"</f>
        <v>090201</v>
      </c>
      <c r="B26" s="6" t="s">
        <v>61</v>
      </c>
      <c r="C26" s="7">
        <v>32175165</v>
      </c>
      <c r="D26" s="7">
        <v>31999783</v>
      </c>
      <c r="E26" s="8">
        <v>-0.55000000000000004</v>
      </c>
      <c r="F26" s="7">
        <v>13376104</v>
      </c>
      <c r="G26" s="7">
        <v>13492192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13376104</v>
      </c>
      <c r="O26" s="7">
        <v>13492192</v>
      </c>
      <c r="P26" s="8">
        <v>0.87</v>
      </c>
      <c r="Q26" s="7">
        <v>246180</v>
      </c>
      <c r="R26" s="7">
        <v>129108</v>
      </c>
      <c r="S26" s="7">
        <v>13135696</v>
      </c>
      <c r="T26" s="7">
        <v>13363084</v>
      </c>
      <c r="U26" s="7">
        <v>13129924</v>
      </c>
      <c r="V26" s="7">
        <v>13363084</v>
      </c>
      <c r="W26" s="7">
        <v>5772</v>
      </c>
      <c r="X26" s="7">
        <v>0</v>
      </c>
      <c r="Y26" s="7">
        <v>1122</v>
      </c>
      <c r="Z26" s="7">
        <v>1128</v>
      </c>
      <c r="AA26" s="8">
        <v>0.53</v>
      </c>
      <c r="AB26" s="7">
        <v>350000</v>
      </c>
      <c r="AC26" s="7">
        <v>350000</v>
      </c>
      <c r="AD26" s="7">
        <v>350000</v>
      </c>
      <c r="AE26" s="7">
        <v>850000</v>
      </c>
      <c r="AF26" s="7">
        <v>1280827</v>
      </c>
      <c r="AG26" s="7">
        <v>1200827</v>
      </c>
      <c r="AH26" s="8">
        <v>3.98</v>
      </c>
      <c r="AI26" s="8">
        <v>3.75</v>
      </c>
    </row>
    <row r="27" spans="1:35" x14ac:dyDescent="0.25">
      <c r="A27" s="6" t="str">
        <f>"491302"</f>
        <v>491302</v>
      </c>
      <c r="B27" s="6" t="s">
        <v>62</v>
      </c>
      <c r="C27" s="7">
        <v>56173142</v>
      </c>
      <c r="D27" s="7">
        <v>57565350</v>
      </c>
      <c r="E27" s="8">
        <v>2.48</v>
      </c>
      <c r="F27" s="7">
        <v>29187305</v>
      </c>
      <c r="G27" s="7">
        <v>30043971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29187305</v>
      </c>
      <c r="O27" s="7">
        <v>30043971</v>
      </c>
      <c r="P27" s="8">
        <v>2.94</v>
      </c>
      <c r="Q27" s="7">
        <v>327825</v>
      </c>
      <c r="R27" s="7">
        <v>664220</v>
      </c>
      <c r="S27" s="7">
        <v>28859480</v>
      </c>
      <c r="T27" s="7">
        <v>29379751</v>
      </c>
      <c r="U27" s="7">
        <v>28859480</v>
      </c>
      <c r="V27" s="7">
        <v>29379751</v>
      </c>
      <c r="W27" s="7">
        <v>0</v>
      </c>
      <c r="X27" s="7">
        <v>0</v>
      </c>
      <c r="Y27" s="7">
        <v>2754</v>
      </c>
      <c r="Z27" s="7">
        <v>2720</v>
      </c>
      <c r="AA27" s="8">
        <v>-1.23</v>
      </c>
      <c r="AB27" s="7">
        <v>2437071</v>
      </c>
      <c r="AC27" s="7">
        <v>2500000</v>
      </c>
      <c r="AD27" s="7">
        <v>780000</v>
      </c>
      <c r="AE27" s="7">
        <v>780000</v>
      </c>
      <c r="AF27" s="7">
        <v>2267711</v>
      </c>
      <c r="AG27" s="7">
        <v>2302614</v>
      </c>
      <c r="AH27" s="8">
        <v>4.04</v>
      </c>
      <c r="AI27" s="8">
        <v>4</v>
      </c>
    </row>
    <row r="28" spans="1:35" x14ac:dyDescent="0.25">
      <c r="A28" s="6" t="str">
        <f>"570201"</f>
        <v>570201</v>
      </c>
      <c r="B28" s="6" t="s">
        <v>63</v>
      </c>
      <c r="C28" s="7">
        <v>12553106</v>
      </c>
      <c r="D28" s="7">
        <v>12640037</v>
      </c>
      <c r="E28" s="8">
        <v>0.69</v>
      </c>
      <c r="F28" s="7">
        <v>2503639</v>
      </c>
      <c r="G28" s="7">
        <v>2503639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2503639</v>
      </c>
      <c r="O28" s="7">
        <v>2503639</v>
      </c>
      <c r="P28" s="8">
        <v>0</v>
      </c>
      <c r="Q28" s="7">
        <v>0</v>
      </c>
      <c r="R28" s="7">
        <v>0</v>
      </c>
      <c r="S28" s="7">
        <v>2546454</v>
      </c>
      <c r="T28" s="7">
        <v>2556267</v>
      </c>
      <c r="U28" s="7">
        <v>2503639</v>
      </c>
      <c r="V28" s="7">
        <v>2503639</v>
      </c>
      <c r="W28" s="7">
        <v>42815</v>
      </c>
      <c r="X28" s="7">
        <v>52628</v>
      </c>
      <c r="Y28" s="7">
        <v>443</v>
      </c>
      <c r="Z28" s="7">
        <v>443</v>
      </c>
      <c r="AA28" s="8">
        <v>0</v>
      </c>
      <c r="AB28" s="7">
        <v>2789529</v>
      </c>
      <c r="AC28" s="7">
        <v>2966563</v>
      </c>
      <c r="AD28" s="7">
        <v>375465</v>
      </c>
      <c r="AE28" s="7">
        <v>350000</v>
      </c>
      <c r="AF28" s="7">
        <v>1876813</v>
      </c>
      <c r="AG28" s="7">
        <v>2008077</v>
      </c>
      <c r="AH28" s="8">
        <v>14.95</v>
      </c>
      <c r="AI28" s="8">
        <v>15.89</v>
      </c>
    </row>
    <row r="29" spans="1:35" x14ac:dyDescent="0.25">
      <c r="A29" s="6" t="str">
        <f>"240101"</f>
        <v>240101</v>
      </c>
      <c r="B29" s="6" t="s">
        <v>64</v>
      </c>
      <c r="C29" s="7">
        <v>20344466</v>
      </c>
      <c r="D29" s="7">
        <v>20730149</v>
      </c>
      <c r="E29" s="8">
        <v>1.9</v>
      </c>
      <c r="F29" s="7">
        <v>9681000</v>
      </c>
      <c r="G29" s="7">
        <v>9821000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9681000</v>
      </c>
      <c r="O29" s="7">
        <v>9821000</v>
      </c>
      <c r="P29" s="8">
        <v>1.45</v>
      </c>
      <c r="Q29" s="7">
        <v>0</v>
      </c>
      <c r="R29" s="7">
        <v>0</v>
      </c>
      <c r="S29" s="7">
        <v>9681306</v>
      </c>
      <c r="T29" s="7">
        <v>9821812</v>
      </c>
      <c r="U29" s="7">
        <v>9681000</v>
      </c>
      <c r="V29" s="7">
        <v>9821000</v>
      </c>
      <c r="W29" s="7">
        <v>306</v>
      </c>
      <c r="X29" s="7">
        <v>812</v>
      </c>
      <c r="Y29" s="7">
        <v>1003</v>
      </c>
      <c r="Z29" s="7">
        <v>1005</v>
      </c>
      <c r="AA29" s="8">
        <v>0.2</v>
      </c>
      <c r="AB29" s="7">
        <v>7191593</v>
      </c>
      <c r="AC29" s="7">
        <v>7390000</v>
      </c>
      <c r="AD29" s="7">
        <v>525686</v>
      </c>
      <c r="AE29" s="7">
        <v>525000</v>
      </c>
      <c r="AF29" s="7">
        <v>813779</v>
      </c>
      <c r="AG29" s="7">
        <v>829206</v>
      </c>
      <c r="AH29" s="8">
        <v>4</v>
      </c>
      <c r="AI29" s="8">
        <v>4</v>
      </c>
    </row>
    <row r="30" spans="1:35" x14ac:dyDescent="0.25">
      <c r="A30" s="6" t="str">
        <f>"580101"</f>
        <v>580101</v>
      </c>
      <c r="B30" s="6" t="s">
        <v>65</v>
      </c>
      <c r="C30" s="7">
        <v>50172183</v>
      </c>
      <c r="D30" s="7">
        <v>51670849</v>
      </c>
      <c r="E30" s="8">
        <v>2.99</v>
      </c>
      <c r="F30" s="7">
        <v>39085906</v>
      </c>
      <c r="G30" s="7">
        <v>40517723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39085906</v>
      </c>
      <c r="O30" s="7">
        <v>40517723</v>
      </c>
      <c r="P30" s="8">
        <v>3.66</v>
      </c>
      <c r="Q30" s="7">
        <v>2079440</v>
      </c>
      <c r="R30" s="7">
        <v>2839168</v>
      </c>
      <c r="S30" s="7">
        <v>37006466</v>
      </c>
      <c r="T30" s="7">
        <v>37678555</v>
      </c>
      <c r="U30" s="7">
        <v>37006466</v>
      </c>
      <c r="V30" s="7">
        <v>37678555</v>
      </c>
      <c r="W30" s="7">
        <v>0</v>
      </c>
      <c r="X30" s="7">
        <v>0</v>
      </c>
      <c r="Y30" s="7">
        <v>1571</v>
      </c>
      <c r="Z30" s="7">
        <v>1580</v>
      </c>
      <c r="AA30" s="8">
        <v>0.56999999999999995</v>
      </c>
      <c r="AB30" s="7">
        <v>5263438</v>
      </c>
      <c r="AC30" s="7">
        <v>5263438</v>
      </c>
      <c r="AD30" s="7">
        <v>1200000</v>
      </c>
      <c r="AE30" s="7">
        <v>1200000</v>
      </c>
      <c r="AF30" s="7">
        <v>2006887</v>
      </c>
      <c r="AG30" s="7">
        <v>2066834</v>
      </c>
      <c r="AH30" s="8">
        <v>4</v>
      </c>
      <c r="AI30" s="8">
        <v>4</v>
      </c>
    </row>
    <row r="31" spans="1:35" x14ac:dyDescent="0.25">
      <c r="A31" s="6" t="str">
        <f>"080201"</f>
        <v>080201</v>
      </c>
      <c r="B31" s="6" t="s">
        <v>66</v>
      </c>
      <c r="C31" s="7">
        <v>18257453</v>
      </c>
      <c r="D31" s="7">
        <v>17618035</v>
      </c>
      <c r="E31" s="8">
        <v>-3.5</v>
      </c>
      <c r="F31" s="7">
        <v>6068271</v>
      </c>
      <c r="G31" s="7">
        <v>6174674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6068271</v>
      </c>
      <c r="O31" s="7">
        <v>6174674</v>
      </c>
      <c r="P31" s="8">
        <v>1.75</v>
      </c>
      <c r="Q31" s="7">
        <v>0</v>
      </c>
      <c r="R31" s="7">
        <v>10548</v>
      </c>
      <c r="S31" s="7">
        <v>6068271</v>
      </c>
      <c r="T31" s="7">
        <v>6164126</v>
      </c>
      <c r="U31" s="7">
        <v>6068271</v>
      </c>
      <c r="V31" s="7">
        <v>6164126</v>
      </c>
      <c r="W31" s="7">
        <v>0</v>
      </c>
      <c r="X31" s="7">
        <v>0</v>
      </c>
      <c r="Y31" s="7">
        <v>794</v>
      </c>
      <c r="Z31" s="7">
        <v>790</v>
      </c>
      <c r="AA31" s="8">
        <v>-0.5</v>
      </c>
      <c r="AB31" s="7">
        <v>3682706</v>
      </c>
      <c r="AC31" s="7">
        <v>1868383</v>
      </c>
      <c r="AD31" s="7">
        <v>500000</v>
      </c>
      <c r="AE31" s="7">
        <v>400000</v>
      </c>
      <c r="AF31" s="7">
        <v>731186</v>
      </c>
      <c r="AG31" s="7">
        <v>704721</v>
      </c>
      <c r="AH31" s="8">
        <v>4</v>
      </c>
      <c r="AI31" s="8">
        <v>4</v>
      </c>
    </row>
    <row r="32" spans="1:35" x14ac:dyDescent="0.25">
      <c r="A32" s="6" t="str">
        <f>"280210"</f>
        <v>280210</v>
      </c>
      <c r="B32" s="6" t="s">
        <v>67</v>
      </c>
      <c r="C32" s="7">
        <v>126875156</v>
      </c>
      <c r="D32" s="7">
        <v>128471371</v>
      </c>
      <c r="E32" s="8">
        <v>1.26</v>
      </c>
      <c r="F32" s="7">
        <v>90311057</v>
      </c>
      <c r="G32" s="7">
        <v>91907272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90311057</v>
      </c>
      <c r="O32" s="7">
        <v>91907272</v>
      </c>
      <c r="P32" s="8">
        <v>1.77</v>
      </c>
      <c r="Q32" s="7">
        <v>1141542</v>
      </c>
      <c r="R32" s="7">
        <v>1387817</v>
      </c>
      <c r="S32" s="7">
        <v>89169515</v>
      </c>
      <c r="T32" s="7">
        <v>90519455</v>
      </c>
      <c r="U32" s="7">
        <v>89169515</v>
      </c>
      <c r="V32" s="7">
        <v>90519455</v>
      </c>
      <c r="W32" s="7">
        <v>0</v>
      </c>
      <c r="X32" s="7">
        <v>0</v>
      </c>
      <c r="Y32" s="7">
        <v>4700</v>
      </c>
      <c r="Z32" s="7">
        <v>4700</v>
      </c>
      <c r="AA32" s="8">
        <v>0</v>
      </c>
      <c r="AB32" s="7">
        <v>17967512</v>
      </c>
      <c r="AC32" s="7">
        <v>18000000</v>
      </c>
      <c r="AD32" s="7">
        <v>2500000</v>
      </c>
      <c r="AE32" s="7">
        <v>2500000</v>
      </c>
      <c r="AF32" s="7">
        <v>7748809</v>
      </c>
      <c r="AG32" s="7">
        <v>7812654</v>
      </c>
      <c r="AH32" s="8">
        <v>6.11</v>
      </c>
      <c r="AI32" s="8">
        <v>6.08</v>
      </c>
    </row>
    <row r="33" spans="1:35" x14ac:dyDescent="0.25">
      <c r="A33" s="6" t="str">
        <f>"420901"</f>
        <v>420901</v>
      </c>
      <c r="B33" s="6" t="s">
        <v>68</v>
      </c>
      <c r="C33" s="7">
        <v>103648420</v>
      </c>
      <c r="D33" s="7">
        <v>104691624</v>
      </c>
      <c r="E33" s="8">
        <v>1.01</v>
      </c>
      <c r="F33" s="7">
        <v>53392764</v>
      </c>
      <c r="G33" s="7">
        <v>54663512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53392764</v>
      </c>
      <c r="O33" s="7">
        <v>54663512</v>
      </c>
      <c r="P33" s="8">
        <v>2.38</v>
      </c>
      <c r="Q33" s="7">
        <v>1012926</v>
      </c>
      <c r="R33" s="7">
        <v>1103478</v>
      </c>
      <c r="S33" s="7">
        <v>52379838</v>
      </c>
      <c r="T33" s="11">
        <v>53560034</v>
      </c>
      <c r="U33" s="7">
        <v>52379838</v>
      </c>
      <c r="V33" s="7">
        <v>53560034</v>
      </c>
      <c r="W33" s="7">
        <v>0</v>
      </c>
      <c r="X33" s="7">
        <v>0</v>
      </c>
      <c r="Y33" s="7">
        <v>5623</v>
      </c>
      <c r="Z33" s="7">
        <v>5591</v>
      </c>
      <c r="AA33" s="8">
        <v>-0.56999999999999995</v>
      </c>
      <c r="AB33" s="7">
        <v>19878763</v>
      </c>
      <c r="AC33" s="7">
        <v>19878763</v>
      </c>
      <c r="AD33" s="7">
        <v>6847151</v>
      </c>
      <c r="AE33" s="7">
        <v>4507093</v>
      </c>
      <c r="AF33" s="7">
        <v>3837526</v>
      </c>
      <c r="AG33" s="7">
        <v>4186341</v>
      </c>
      <c r="AH33" s="8">
        <v>3.7</v>
      </c>
      <c r="AI33" s="8">
        <v>4</v>
      </c>
    </row>
    <row r="34" spans="1:35" x14ac:dyDescent="0.25">
      <c r="A34" s="6" t="str">
        <f>"521301"</f>
        <v>521301</v>
      </c>
      <c r="B34" s="6" t="s">
        <v>69</v>
      </c>
      <c r="C34" s="7">
        <v>88459730</v>
      </c>
      <c r="D34" s="7">
        <v>90340742</v>
      </c>
      <c r="E34" s="8">
        <v>2.13</v>
      </c>
      <c r="F34" s="7">
        <v>47591657</v>
      </c>
      <c r="G34" s="7">
        <v>48990896</v>
      </c>
      <c r="H34" s="7">
        <v>0</v>
      </c>
      <c r="I34" s="7">
        <v>0</v>
      </c>
      <c r="J34" s="7">
        <v>28000</v>
      </c>
      <c r="K34" s="7">
        <v>30000</v>
      </c>
      <c r="L34" s="7">
        <v>0</v>
      </c>
      <c r="M34" s="7">
        <v>0</v>
      </c>
      <c r="N34" s="7">
        <v>47619657</v>
      </c>
      <c r="O34" s="7">
        <v>49020896</v>
      </c>
      <c r="P34" s="8">
        <v>2.94</v>
      </c>
      <c r="Q34" s="7">
        <v>1505226</v>
      </c>
      <c r="R34" s="7">
        <v>1594478</v>
      </c>
      <c r="S34" s="7">
        <v>46997827</v>
      </c>
      <c r="T34" s="7">
        <v>48701702</v>
      </c>
      <c r="U34" s="7">
        <v>46114431</v>
      </c>
      <c r="V34" s="7">
        <v>47426418</v>
      </c>
      <c r="W34" s="7">
        <v>883396</v>
      </c>
      <c r="X34" s="7">
        <v>1275284</v>
      </c>
      <c r="Y34" s="7">
        <v>4085</v>
      </c>
      <c r="Z34" s="7">
        <v>4109</v>
      </c>
      <c r="AA34" s="8">
        <v>0.59</v>
      </c>
      <c r="AB34" s="7">
        <v>5265000</v>
      </c>
      <c r="AC34" s="7">
        <v>5265000</v>
      </c>
      <c r="AD34" s="7">
        <v>1175000</v>
      </c>
      <c r="AE34" s="7">
        <v>1000000</v>
      </c>
      <c r="AF34" s="7">
        <v>3108298</v>
      </c>
      <c r="AG34" s="7">
        <v>3550000</v>
      </c>
      <c r="AH34" s="8">
        <v>3.51</v>
      </c>
      <c r="AI34" s="8">
        <v>3.93</v>
      </c>
    </row>
    <row r="35" spans="1:35" x14ac:dyDescent="0.25">
      <c r="A35" s="6" t="str">
        <f>"401301"</f>
        <v>401301</v>
      </c>
      <c r="B35" s="6" t="s">
        <v>70</v>
      </c>
      <c r="C35" s="7">
        <v>17997507</v>
      </c>
      <c r="D35" s="7">
        <v>17098307</v>
      </c>
      <c r="E35" s="8">
        <v>-5</v>
      </c>
      <c r="F35" s="7">
        <v>4153994</v>
      </c>
      <c r="G35" s="7">
        <v>4237073</v>
      </c>
      <c r="H35" s="7">
        <v>75000</v>
      </c>
      <c r="I35" s="7">
        <v>75000</v>
      </c>
      <c r="J35" s="7">
        <v>0</v>
      </c>
      <c r="K35" s="7">
        <v>0</v>
      </c>
      <c r="L35" s="7">
        <v>0</v>
      </c>
      <c r="M35" s="7">
        <v>0</v>
      </c>
      <c r="N35" s="7">
        <v>4228994</v>
      </c>
      <c r="O35" s="7">
        <v>4312073</v>
      </c>
      <c r="P35" s="8">
        <v>1.96</v>
      </c>
      <c r="Q35" s="7">
        <v>0</v>
      </c>
      <c r="R35" s="7">
        <v>0</v>
      </c>
      <c r="S35" s="7">
        <v>4452183</v>
      </c>
      <c r="T35" s="7">
        <v>4622366</v>
      </c>
      <c r="U35" s="7">
        <v>4153994</v>
      </c>
      <c r="V35" s="7">
        <v>4237073</v>
      </c>
      <c r="W35" s="7">
        <v>298189</v>
      </c>
      <c r="X35" s="7">
        <v>385293</v>
      </c>
      <c r="Y35" s="7">
        <v>753</v>
      </c>
      <c r="Z35" s="7">
        <v>734</v>
      </c>
      <c r="AA35" s="8">
        <v>-2.52</v>
      </c>
      <c r="AB35" s="7">
        <v>9493905</v>
      </c>
      <c r="AC35" s="7">
        <v>7533905</v>
      </c>
      <c r="AD35" s="7">
        <v>8534944</v>
      </c>
      <c r="AE35" s="7">
        <v>7773604</v>
      </c>
      <c r="AF35" s="7">
        <v>682376</v>
      </c>
      <c r="AG35" s="7">
        <v>682376</v>
      </c>
      <c r="AH35" s="8">
        <v>3.79</v>
      </c>
      <c r="AI35" s="8">
        <v>3.99</v>
      </c>
    </row>
    <row r="36" spans="1:35" x14ac:dyDescent="0.25">
      <c r="A36" s="6" t="str">
        <f>"180300"</f>
        <v>180300</v>
      </c>
      <c r="B36" s="6" t="s">
        <v>71</v>
      </c>
      <c r="C36" s="7">
        <v>44366439</v>
      </c>
      <c r="D36" s="7">
        <v>49870585</v>
      </c>
      <c r="E36" s="8">
        <v>12.41</v>
      </c>
      <c r="F36" s="7">
        <v>18501372</v>
      </c>
      <c r="G36" s="7">
        <v>18501372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18501372</v>
      </c>
      <c r="O36" s="7">
        <v>18501372</v>
      </c>
      <c r="P36" s="8">
        <v>0</v>
      </c>
      <c r="Q36" s="7">
        <v>0</v>
      </c>
      <c r="R36" s="7">
        <v>0</v>
      </c>
      <c r="S36" s="7">
        <v>18776007</v>
      </c>
      <c r="T36" s="7">
        <v>19241485</v>
      </c>
      <c r="U36" s="7">
        <v>18501372</v>
      </c>
      <c r="V36" s="7">
        <v>18501372</v>
      </c>
      <c r="W36" s="7">
        <v>274635</v>
      </c>
      <c r="X36" s="7">
        <v>740113</v>
      </c>
      <c r="Y36" s="7">
        <v>2335</v>
      </c>
      <c r="Z36" s="7">
        <v>2306</v>
      </c>
      <c r="AA36" s="8">
        <v>-1.24</v>
      </c>
      <c r="AB36" s="7">
        <v>14460254</v>
      </c>
      <c r="AC36" s="7">
        <v>14446854</v>
      </c>
      <c r="AD36" s="7">
        <v>500000</v>
      </c>
      <c r="AE36" s="7">
        <v>2000000</v>
      </c>
      <c r="AF36" s="7">
        <v>1774658</v>
      </c>
      <c r="AG36" s="7">
        <v>1994823</v>
      </c>
      <c r="AH36" s="8">
        <v>4</v>
      </c>
      <c r="AI36" s="8">
        <v>4</v>
      </c>
    </row>
    <row r="37" spans="1:35" x14ac:dyDescent="0.25">
      <c r="A37" s="6" t="str">
        <f>"570302"</f>
        <v>570302</v>
      </c>
      <c r="B37" s="6" t="s">
        <v>72</v>
      </c>
      <c r="C37" s="7">
        <v>35911011</v>
      </c>
      <c r="D37" s="7">
        <v>36754859</v>
      </c>
      <c r="E37" s="8">
        <v>2.35</v>
      </c>
      <c r="F37" s="7">
        <v>8359699</v>
      </c>
      <c r="G37" s="7">
        <v>8452512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8359699</v>
      </c>
      <c r="O37" s="7">
        <v>8452512</v>
      </c>
      <c r="P37" s="8">
        <v>1.1100000000000001</v>
      </c>
      <c r="Q37" s="7">
        <v>584808</v>
      </c>
      <c r="R37" s="7">
        <v>664495</v>
      </c>
      <c r="S37" s="7">
        <v>7774891</v>
      </c>
      <c r="T37" s="7">
        <v>7788017</v>
      </c>
      <c r="U37" s="7">
        <v>7774891</v>
      </c>
      <c r="V37" s="7">
        <v>7788017</v>
      </c>
      <c r="W37" s="7">
        <v>0</v>
      </c>
      <c r="X37" s="7">
        <v>0</v>
      </c>
      <c r="Y37" s="7">
        <v>1555</v>
      </c>
      <c r="Z37" s="7">
        <v>1560</v>
      </c>
      <c r="AA37" s="8">
        <v>0.32</v>
      </c>
      <c r="AB37" s="7">
        <v>323012</v>
      </c>
      <c r="AC37" s="7">
        <v>325000</v>
      </c>
      <c r="AD37" s="7">
        <v>789518</v>
      </c>
      <c r="AE37" s="7">
        <v>790000</v>
      </c>
      <c r="AF37" s="7">
        <v>3133345</v>
      </c>
      <c r="AG37" s="7">
        <v>3000000</v>
      </c>
      <c r="AH37" s="8">
        <v>8.73</v>
      </c>
      <c r="AI37" s="8">
        <v>8.16</v>
      </c>
    </row>
    <row r="38" spans="1:35" x14ac:dyDescent="0.25">
      <c r="A38" s="6" t="str">
        <f>"580501"</f>
        <v>580501</v>
      </c>
      <c r="B38" s="6" t="s">
        <v>73</v>
      </c>
      <c r="C38" s="7">
        <v>149899163</v>
      </c>
      <c r="D38" s="7">
        <v>151988797</v>
      </c>
      <c r="E38" s="8">
        <v>1.39</v>
      </c>
      <c r="F38" s="7">
        <v>102576506</v>
      </c>
      <c r="G38" s="7">
        <v>104247009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102576506</v>
      </c>
      <c r="O38" s="7">
        <v>104247009</v>
      </c>
      <c r="P38" s="8">
        <v>1.63</v>
      </c>
      <c r="Q38" s="7">
        <v>2516568</v>
      </c>
      <c r="R38" s="7">
        <v>2736591</v>
      </c>
      <c r="S38" s="7">
        <v>100059938</v>
      </c>
      <c r="T38" s="7">
        <v>101510418</v>
      </c>
      <c r="U38" s="7">
        <v>100059938</v>
      </c>
      <c r="V38" s="7">
        <v>101510418</v>
      </c>
      <c r="W38" s="7">
        <v>0</v>
      </c>
      <c r="X38" s="7">
        <v>0</v>
      </c>
      <c r="Y38" s="7">
        <v>5989</v>
      </c>
      <c r="Z38" s="7">
        <v>6020</v>
      </c>
      <c r="AA38" s="8">
        <v>0.52</v>
      </c>
      <c r="AB38" s="7">
        <v>12104698</v>
      </c>
      <c r="AC38" s="7">
        <v>11750000</v>
      </c>
      <c r="AD38" s="7">
        <v>0</v>
      </c>
      <c r="AE38" s="7">
        <v>0</v>
      </c>
      <c r="AF38" s="7">
        <v>5995763</v>
      </c>
      <c r="AG38" s="7">
        <v>6075000</v>
      </c>
      <c r="AH38" s="8">
        <v>4</v>
      </c>
      <c r="AI38" s="8">
        <v>4</v>
      </c>
    </row>
    <row r="39" spans="1:35" x14ac:dyDescent="0.25">
      <c r="A39" s="6" t="str">
        <f>"580505"</f>
        <v>580505</v>
      </c>
      <c r="B39" s="6" t="s">
        <v>74</v>
      </c>
      <c r="C39" s="7">
        <v>69306466</v>
      </c>
      <c r="D39" s="7">
        <v>70339132</v>
      </c>
      <c r="E39" s="8">
        <v>1.49</v>
      </c>
      <c r="F39" s="7">
        <v>47652697</v>
      </c>
      <c r="G39" s="7">
        <v>48871075</v>
      </c>
      <c r="H39" s="7">
        <v>0</v>
      </c>
      <c r="I39" s="7">
        <v>0</v>
      </c>
      <c r="J39" s="7">
        <v>0</v>
      </c>
      <c r="K39" s="7">
        <v>180000</v>
      </c>
      <c r="L39" s="7">
        <v>0</v>
      </c>
      <c r="M39" s="7">
        <v>0</v>
      </c>
      <c r="N39" s="7">
        <v>47652697</v>
      </c>
      <c r="O39" s="7">
        <v>49051075</v>
      </c>
      <c r="P39" s="8">
        <v>2.93</v>
      </c>
      <c r="Q39" s="7">
        <v>738212</v>
      </c>
      <c r="R39" s="7">
        <v>919393</v>
      </c>
      <c r="S39" s="7">
        <v>47652697</v>
      </c>
      <c r="T39" s="7">
        <v>48871075</v>
      </c>
      <c r="U39" s="7">
        <v>46914485</v>
      </c>
      <c r="V39" s="7">
        <v>48131682</v>
      </c>
      <c r="W39" s="7">
        <v>738212</v>
      </c>
      <c r="X39" s="7">
        <v>739393</v>
      </c>
      <c r="Y39" s="7">
        <v>2228</v>
      </c>
      <c r="Z39" s="7">
        <v>2178</v>
      </c>
      <c r="AA39" s="8">
        <v>-2.2400000000000002</v>
      </c>
      <c r="AB39" s="7">
        <v>4880199</v>
      </c>
      <c r="AC39" s="7">
        <v>5135024</v>
      </c>
      <c r="AD39" s="7">
        <v>2163717</v>
      </c>
      <c r="AE39" s="7">
        <v>1867583</v>
      </c>
      <c r="AF39" s="7">
        <v>2772256</v>
      </c>
      <c r="AG39" s="7">
        <v>2813565</v>
      </c>
      <c r="AH39" s="8">
        <v>4</v>
      </c>
      <c r="AI39" s="8">
        <v>4</v>
      </c>
    </row>
    <row r="40" spans="1:35" x14ac:dyDescent="0.25">
      <c r="A40" s="6" t="str">
        <f>"130200"</f>
        <v>130200</v>
      </c>
      <c r="B40" s="6" t="s">
        <v>75</v>
      </c>
      <c r="C40" s="7">
        <v>66750000</v>
      </c>
      <c r="D40" s="7">
        <v>68625000</v>
      </c>
      <c r="E40" s="8">
        <v>2.81</v>
      </c>
      <c r="F40" s="7">
        <v>36614617</v>
      </c>
      <c r="G40" s="7">
        <v>37179812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36614617</v>
      </c>
      <c r="O40" s="7">
        <v>37179812</v>
      </c>
      <c r="P40" s="8">
        <v>1.54</v>
      </c>
      <c r="Q40" s="7">
        <v>488403</v>
      </c>
      <c r="R40" s="7">
        <v>423105</v>
      </c>
      <c r="S40" s="7">
        <v>36126214</v>
      </c>
      <c r="T40" s="7">
        <v>36756707</v>
      </c>
      <c r="U40" s="7">
        <v>36126214</v>
      </c>
      <c r="V40" s="7">
        <v>36756707</v>
      </c>
      <c r="W40" s="7">
        <v>0</v>
      </c>
      <c r="X40" s="7">
        <v>0</v>
      </c>
      <c r="Y40" s="7">
        <v>3100</v>
      </c>
      <c r="Z40" s="7">
        <v>2995</v>
      </c>
      <c r="AA40" s="8">
        <v>-3.39</v>
      </c>
      <c r="AB40" s="7">
        <v>4461271</v>
      </c>
      <c r="AC40" s="7">
        <v>4461271</v>
      </c>
      <c r="AD40" s="7">
        <v>3123797</v>
      </c>
      <c r="AE40" s="7">
        <v>3123797</v>
      </c>
      <c r="AF40" s="7">
        <v>4846165</v>
      </c>
      <c r="AG40" s="7">
        <v>3000000</v>
      </c>
      <c r="AH40" s="8">
        <v>7.26</v>
      </c>
      <c r="AI40" s="8">
        <v>4.37</v>
      </c>
    </row>
    <row r="41" spans="1:35" x14ac:dyDescent="0.25">
      <c r="A41" s="6" t="str">
        <f>"231301"</f>
        <v>231301</v>
      </c>
      <c r="B41" s="6" t="s">
        <v>76</v>
      </c>
      <c r="C41" s="7">
        <v>15998476</v>
      </c>
      <c r="D41" s="7">
        <v>16222319</v>
      </c>
      <c r="E41" s="8">
        <v>1.4</v>
      </c>
      <c r="F41" s="7">
        <v>5141057</v>
      </c>
      <c r="G41" s="7">
        <v>5243878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5141057</v>
      </c>
      <c r="O41" s="7">
        <v>5243878</v>
      </c>
      <c r="P41" s="8">
        <v>2</v>
      </c>
      <c r="Q41" s="7">
        <v>246419</v>
      </c>
      <c r="R41" s="7">
        <v>155811</v>
      </c>
      <c r="S41" s="7">
        <v>4900560</v>
      </c>
      <c r="T41" s="7">
        <v>5006835</v>
      </c>
      <c r="U41" s="7">
        <v>4894638</v>
      </c>
      <c r="V41" s="7">
        <v>5088067</v>
      </c>
      <c r="W41" s="7">
        <v>5922</v>
      </c>
      <c r="X41" s="7">
        <v>-81232</v>
      </c>
      <c r="Y41" s="7">
        <v>881</v>
      </c>
      <c r="Z41" s="7">
        <v>854</v>
      </c>
      <c r="AA41" s="8">
        <v>-3.06</v>
      </c>
      <c r="AB41" s="7">
        <v>1082000</v>
      </c>
      <c r="AC41" s="7">
        <v>1082000</v>
      </c>
      <c r="AD41" s="7">
        <v>1350000</v>
      </c>
      <c r="AE41" s="7">
        <v>1000000</v>
      </c>
      <c r="AF41" s="7">
        <v>523388</v>
      </c>
      <c r="AG41" s="7">
        <v>583800</v>
      </c>
      <c r="AH41" s="8">
        <v>3.27</v>
      </c>
      <c r="AI41" s="8">
        <v>3.6</v>
      </c>
    </row>
    <row r="42" spans="1:35" x14ac:dyDescent="0.25">
      <c r="A42" s="6" t="str">
        <f>"660102"</f>
        <v>660102</v>
      </c>
      <c r="B42" s="6" t="s">
        <v>77</v>
      </c>
      <c r="C42" s="7">
        <v>126804885</v>
      </c>
      <c r="D42" s="7">
        <v>129072250</v>
      </c>
      <c r="E42" s="8">
        <v>1.79</v>
      </c>
      <c r="F42" s="7">
        <v>115368835</v>
      </c>
      <c r="G42" s="7">
        <v>117587744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115368835</v>
      </c>
      <c r="O42" s="7">
        <v>117587744</v>
      </c>
      <c r="P42" s="8">
        <v>1.92</v>
      </c>
      <c r="Q42" s="7">
        <v>6730854</v>
      </c>
      <c r="R42" s="7">
        <v>6739803</v>
      </c>
      <c r="S42" s="7">
        <v>108641145</v>
      </c>
      <c r="T42" s="7">
        <v>110847941</v>
      </c>
      <c r="U42" s="7">
        <v>108637981</v>
      </c>
      <c r="V42" s="7">
        <v>110847941</v>
      </c>
      <c r="W42" s="7">
        <v>3164</v>
      </c>
      <c r="X42" s="7">
        <v>0</v>
      </c>
      <c r="Y42" s="7">
        <v>4201</v>
      </c>
      <c r="Z42" s="7">
        <v>4178</v>
      </c>
      <c r="AA42" s="8">
        <v>-0.55000000000000004</v>
      </c>
      <c r="AB42" s="7">
        <v>2984841</v>
      </c>
      <c r="AC42" s="7">
        <v>2718000</v>
      </c>
      <c r="AD42" s="7">
        <v>320000</v>
      </c>
      <c r="AE42" s="7">
        <v>250000</v>
      </c>
      <c r="AF42" s="7">
        <v>2045051</v>
      </c>
      <c r="AG42" s="7">
        <v>3957391</v>
      </c>
      <c r="AH42" s="8">
        <v>1.61</v>
      </c>
      <c r="AI42" s="8">
        <v>3.07</v>
      </c>
    </row>
    <row r="43" spans="1:35" x14ac:dyDescent="0.25">
      <c r="A43" s="6" t="str">
        <f>"090301"</f>
        <v>090301</v>
      </c>
      <c r="B43" s="6" t="s">
        <v>78</v>
      </c>
      <c r="C43" s="7">
        <v>40255956</v>
      </c>
      <c r="D43" s="7">
        <v>41027951</v>
      </c>
      <c r="E43" s="8">
        <v>1.92</v>
      </c>
      <c r="F43" s="7">
        <v>19841094</v>
      </c>
      <c r="G43" s="7">
        <v>20151973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19841094</v>
      </c>
      <c r="O43" s="7">
        <v>20151973</v>
      </c>
      <c r="P43" s="8">
        <v>1.57</v>
      </c>
      <c r="Q43" s="7">
        <v>396505</v>
      </c>
      <c r="R43" s="7">
        <v>266432</v>
      </c>
      <c r="S43" s="7">
        <v>19444589</v>
      </c>
      <c r="T43" s="7">
        <v>19885541</v>
      </c>
      <c r="U43" s="7">
        <v>19444589</v>
      </c>
      <c r="V43" s="7">
        <v>19885541</v>
      </c>
      <c r="W43" s="7">
        <v>0</v>
      </c>
      <c r="X43" s="7">
        <v>0</v>
      </c>
      <c r="Y43" s="7">
        <v>1818</v>
      </c>
      <c r="Z43" s="7">
        <v>1831</v>
      </c>
      <c r="AA43" s="8">
        <v>0.72</v>
      </c>
      <c r="AB43" s="7">
        <v>5623343</v>
      </c>
      <c r="AC43" s="7">
        <v>5848277</v>
      </c>
      <c r="AD43" s="7">
        <v>1200000</v>
      </c>
      <c r="AE43" s="7">
        <v>1200000</v>
      </c>
      <c r="AF43" s="7">
        <v>3960073</v>
      </c>
      <c r="AG43" s="7">
        <v>1641118</v>
      </c>
      <c r="AH43" s="8">
        <v>9.84</v>
      </c>
      <c r="AI43" s="8">
        <v>4</v>
      </c>
    </row>
    <row r="44" spans="1:35" x14ac:dyDescent="0.25">
      <c r="A44" s="6" t="str">
        <f>"020801"</f>
        <v>020801</v>
      </c>
      <c r="B44" s="6" t="s">
        <v>79</v>
      </c>
      <c r="C44" s="7">
        <v>9386906</v>
      </c>
      <c r="D44" s="7">
        <v>9662611</v>
      </c>
      <c r="E44" s="8">
        <v>2.94</v>
      </c>
      <c r="F44" s="7">
        <v>1799991</v>
      </c>
      <c r="G44" s="7">
        <v>1835801</v>
      </c>
      <c r="H44" s="7">
        <v>43500</v>
      </c>
      <c r="I44" s="7">
        <v>45240</v>
      </c>
      <c r="J44" s="7">
        <v>0</v>
      </c>
      <c r="K44" s="7">
        <v>0</v>
      </c>
      <c r="L44" s="7">
        <v>0</v>
      </c>
      <c r="M44" s="7">
        <v>0</v>
      </c>
      <c r="N44" s="7">
        <v>1843491</v>
      </c>
      <c r="O44" s="7">
        <v>1881041</v>
      </c>
      <c r="P44" s="8">
        <v>2.04</v>
      </c>
      <c r="Q44" s="7">
        <v>74764</v>
      </c>
      <c r="R44" s="7">
        <v>132707</v>
      </c>
      <c r="S44" s="7">
        <v>1725227</v>
      </c>
      <c r="T44" s="7">
        <v>1703094</v>
      </c>
      <c r="U44" s="7">
        <v>1725227</v>
      </c>
      <c r="V44" s="7">
        <v>1703094</v>
      </c>
      <c r="W44" s="7">
        <v>0</v>
      </c>
      <c r="X44" s="7">
        <v>0</v>
      </c>
      <c r="Y44" s="7">
        <v>369</v>
      </c>
      <c r="Z44" s="7">
        <v>369</v>
      </c>
      <c r="AA44" s="8">
        <v>0</v>
      </c>
      <c r="AB44" s="7">
        <v>0</v>
      </c>
      <c r="AC44" s="7">
        <v>0</v>
      </c>
      <c r="AD44" s="7">
        <v>124579</v>
      </c>
      <c r="AE44" s="7">
        <v>301325</v>
      </c>
      <c r="AF44" s="7">
        <v>965499</v>
      </c>
      <c r="AG44" s="7">
        <v>385000</v>
      </c>
      <c r="AH44" s="8">
        <v>10.29</v>
      </c>
      <c r="AI44" s="8">
        <v>3.98</v>
      </c>
    </row>
    <row r="45" spans="1:35" x14ac:dyDescent="0.25">
      <c r="A45" s="6" t="str">
        <f>"220909"</f>
        <v>220909</v>
      </c>
      <c r="B45" s="6" t="s">
        <v>80</v>
      </c>
      <c r="C45" s="7">
        <v>9485212</v>
      </c>
      <c r="D45" s="7">
        <v>9624664</v>
      </c>
      <c r="E45" s="8">
        <v>1.47</v>
      </c>
      <c r="F45" s="7">
        <v>4213539</v>
      </c>
      <c r="G45" s="7">
        <v>4296967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4213539</v>
      </c>
      <c r="O45" s="7">
        <v>4296967</v>
      </c>
      <c r="P45" s="8">
        <v>1.98</v>
      </c>
      <c r="Q45" s="7">
        <v>106944</v>
      </c>
      <c r="R45" s="7">
        <v>114950</v>
      </c>
      <c r="S45" s="7">
        <v>4244128</v>
      </c>
      <c r="T45" s="7">
        <v>4184791</v>
      </c>
      <c r="U45" s="7">
        <v>4106595</v>
      </c>
      <c r="V45" s="7">
        <v>4182017</v>
      </c>
      <c r="W45" s="7">
        <v>137533</v>
      </c>
      <c r="X45" s="7">
        <v>2774</v>
      </c>
      <c r="Y45" s="7">
        <v>460</v>
      </c>
      <c r="Z45" s="7">
        <v>491</v>
      </c>
      <c r="AA45" s="8">
        <v>6.74</v>
      </c>
      <c r="AB45" s="7">
        <v>1574730</v>
      </c>
      <c r="AC45" s="7">
        <v>1522063</v>
      </c>
      <c r="AD45" s="7">
        <v>560400</v>
      </c>
      <c r="AE45" s="7">
        <v>560400</v>
      </c>
      <c r="AF45" s="7">
        <v>1274737</v>
      </c>
      <c r="AG45" s="7">
        <v>1000000</v>
      </c>
      <c r="AH45" s="8">
        <v>13.44</v>
      </c>
      <c r="AI45" s="8">
        <v>10.39</v>
      </c>
    </row>
    <row r="46" spans="1:35" x14ac:dyDescent="0.25">
      <c r="A46" s="6" t="str">
        <f>"280207"</f>
        <v>280207</v>
      </c>
      <c r="B46" s="6" t="s">
        <v>81</v>
      </c>
      <c r="C46" s="7">
        <v>33860373</v>
      </c>
      <c r="D46" s="7">
        <v>34602655</v>
      </c>
      <c r="E46" s="8">
        <v>2.19</v>
      </c>
      <c r="F46" s="7">
        <v>23404365</v>
      </c>
      <c r="G46" s="7">
        <v>24083092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23404365</v>
      </c>
      <c r="O46" s="7">
        <v>24083092</v>
      </c>
      <c r="P46" s="8">
        <v>2.9</v>
      </c>
      <c r="Q46" s="7">
        <v>228991</v>
      </c>
      <c r="R46" s="7">
        <v>606924</v>
      </c>
      <c r="S46" s="7">
        <v>23180374</v>
      </c>
      <c r="T46" s="7">
        <v>23514846</v>
      </c>
      <c r="U46" s="7">
        <v>23175374</v>
      </c>
      <c r="V46" s="7">
        <v>23476168</v>
      </c>
      <c r="W46" s="7">
        <v>5000</v>
      </c>
      <c r="X46" s="7">
        <v>38678</v>
      </c>
      <c r="Y46" s="7">
        <v>1000</v>
      </c>
      <c r="Z46" s="7">
        <v>1000</v>
      </c>
      <c r="AA46" s="8">
        <v>0</v>
      </c>
      <c r="AB46" s="7">
        <v>5383915</v>
      </c>
      <c r="AC46" s="7">
        <v>6027725</v>
      </c>
      <c r="AD46" s="7">
        <v>3287271</v>
      </c>
      <c r="AE46" s="7">
        <v>3061900</v>
      </c>
      <c r="AF46" s="7">
        <v>1997101</v>
      </c>
      <c r="AG46" s="7">
        <v>1384106</v>
      </c>
      <c r="AH46" s="8">
        <v>5.9</v>
      </c>
      <c r="AI46" s="8">
        <v>4</v>
      </c>
    </row>
    <row r="47" spans="1:35" x14ac:dyDescent="0.25">
      <c r="A47" s="6" t="str">
        <f>"280253"</f>
        <v>280253</v>
      </c>
      <c r="B47" s="6" t="s">
        <v>82</v>
      </c>
      <c r="C47" s="7">
        <v>147763781</v>
      </c>
      <c r="D47" s="7">
        <v>153666863</v>
      </c>
      <c r="E47" s="8">
        <v>3.99</v>
      </c>
      <c r="F47" s="7">
        <v>110549481</v>
      </c>
      <c r="G47" s="7">
        <v>113843856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110549481</v>
      </c>
      <c r="O47" s="7">
        <v>113843856</v>
      </c>
      <c r="P47" s="8">
        <v>2.98</v>
      </c>
      <c r="Q47" s="7">
        <v>1030396</v>
      </c>
      <c r="R47" s="7">
        <v>2664048</v>
      </c>
      <c r="S47" s="7">
        <v>109531455</v>
      </c>
      <c r="T47" s="7">
        <v>111460587</v>
      </c>
      <c r="U47" s="7">
        <v>109519085</v>
      </c>
      <c r="V47" s="7">
        <v>111179808</v>
      </c>
      <c r="W47" s="7">
        <v>12370</v>
      </c>
      <c r="X47" s="7">
        <v>280779</v>
      </c>
      <c r="Y47" s="7">
        <v>5431</v>
      </c>
      <c r="Z47" s="7">
        <v>5393</v>
      </c>
      <c r="AA47" s="8">
        <v>-0.7</v>
      </c>
      <c r="AB47" s="7">
        <v>17554053</v>
      </c>
      <c r="AC47" s="7">
        <v>16029293</v>
      </c>
      <c r="AD47" s="7">
        <v>5652807</v>
      </c>
      <c r="AE47" s="7">
        <v>6023347</v>
      </c>
      <c r="AF47" s="7">
        <v>5910551</v>
      </c>
      <c r="AG47" s="7">
        <v>6146675</v>
      </c>
      <c r="AH47" s="8">
        <v>4</v>
      </c>
      <c r="AI47" s="8">
        <v>4</v>
      </c>
    </row>
    <row r="48" spans="1:35" x14ac:dyDescent="0.25">
      <c r="A48" s="6" t="str">
        <f>"061001"</f>
        <v>061001</v>
      </c>
      <c r="B48" s="6" t="s">
        <v>83</v>
      </c>
      <c r="C48" s="7">
        <v>14028425</v>
      </c>
      <c r="D48" s="7">
        <v>15024875</v>
      </c>
      <c r="E48" s="8">
        <v>7.1</v>
      </c>
      <c r="F48" s="7">
        <v>8456882</v>
      </c>
      <c r="G48" s="7">
        <v>8655260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8456882</v>
      </c>
      <c r="O48" s="7">
        <v>8655260</v>
      </c>
      <c r="P48" s="8">
        <v>2.35</v>
      </c>
      <c r="Q48" s="7">
        <v>651711</v>
      </c>
      <c r="R48" s="7">
        <v>723484</v>
      </c>
      <c r="S48" s="7">
        <v>7805171</v>
      </c>
      <c r="T48" s="7">
        <v>7931776</v>
      </c>
      <c r="U48" s="7">
        <v>7805171</v>
      </c>
      <c r="V48" s="7">
        <v>7931776</v>
      </c>
      <c r="W48" s="7">
        <v>0</v>
      </c>
      <c r="X48" s="7">
        <v>0</v>
      </c>
      <c r="Y48" s="7">
        <v>729</v>
      </c>
      <c r="Z48" s="7">
        <v>729</v>
      </c>
      <c r="AA48" s="8">
        <v>0</v>
      </c>
      <c r="AB48" s="7">
        <v>890407</v>
      </c>
      <c r="AC48" s="7">
        <v>900000</v>
      </c>
      <c r="AD48" s="7">
        <v>400000</v>
      </c>
      <c r="AE48" s="7">
        <v>400000</v>
      </c>
      <c r="AF48" s="7">
        <v>558349</v>
      </c>
      <c r="AG48" s="7">
        <v>600000</v>
      </c>
      <c r="AH48" s="8">
        <v>3.98</v>
      </c>
      <c r="AI48" s="8">
        <v>3.99</v>
      </c>
    </row>
    <row r="49" spans="1:35" x14ac:dyDescent="0.25">
      <c r="A49" s="6" t="str">
        <f>"490101"</f>
        <v>490101</v>
      </c>
      <c r="B49" s="6" t="s">
        <v>84</v>
      </c>
      <c r="C49" s="7">
        <v>19625038</v>
      </c>
      <c r="D49" s="7">
        <v>20127758</v>
      </c>
      <c r="E49" s="8">
        <v>2.56</v>
      </c>
      <c r="F49" s="7">
        <v>9006627</v>
      </c>
      <c r="G49" s="7">
        <v>9119099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9006627</v>
      </c>
      <c r="O49" s="7">
        <v>9119099</v>
      </c>
      <c r="P49" s="8">
        <v>1.25</v>
      </c>
      <c r="Q49" s="7">
        <v>64164</v>
      </c>
      <c r="R49" s="7">
        <v>0</v>
      </c>
      <c r="S49" s="7">
        <v>8942464</v>
      </c>
      <c r="T49" s="7">
        <v>9119099</v>
      </c>
      <c r="U49" s="7">
        <v>8942463</v>
      </c>
      <c r="V49" s="7">
        <v>9119099</v>
      </c>
      <c r="W49" s="7">
        <v>1</v>
      </c>
      <c r="X49" s="7">
        <v>0</v>
      </c>
      <c r="Y49" s="7">
        <v>791</v>
      </c>
      <c r="Z49" s="7">
        <v>775</v>
      </c>
      <c r="AA49" s="8">
        <v>-2.02</v>
      </c>
      <c r="AB49" s="7">
        <v>3276052</v>
      </c>
      <c r="AC49" s="7">
        <v>3725646</v>
      </c>
      <c r="AD49" s="7">
        <v>450000</v>
      </c>
      <c r="AE49" s="7">
        <v>450000</v>
      </c>
      <c r="AF49" s="7">
        <v>802107</v>
      </c>
      <c r="AG49" s="7">
        <v>725375</v>
      </c>
      <c r="AH49" s="8">
        <v>4.09</v>
      </c>
      <c r="AI49" s="8">
        <v>3.6</v>
      </c>
    </row>
    <row r="50" spans="1:35" x14ac:dyDescent="0.25">
      <c r="A50" s="9" t="str">
        <f>"010201"</f>
        <v>010201</v>
      </c>
      <c r="B50" s="6" t="s">
        <v>85</v>
      </c>
      <c r="C50" s="7">
        <v>22272240</v>
      </c>
      <c r="D50" s="7">
        <v>22657493</v>
      </c>
      <c r="E50" s="10">
        <v>1.73</v>
      </c>
      <c r="F50" s="7">
        <v>11000929</v>
      </c>
      <c r="G50" s="7">
        <v>10945924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>
        <v>11000929</v>
      </c>
      <c r="O50" s="7">
        <v>10945924</v>
      </c>
      <c r="P50" s="10">
        <v>-0.5</v>
      </c>
      <c r="Q50" s="7">
        <v>223290</v>
      </c>
      <c r="R50" s="7">
        <v>295531</v>
      </c>
      <c r="S50" s="7">
        <v>10780895</v>
      </c>
      <c r="T50" s="7">
        <v>10930147</v>
      </c>
      <c r="U50" s="7">
        <v>10777639</v>
      </c>
      <c r="V50" s="7">
        <v>10650393</v>
      </c>
      <c r="W50" s="7">
        <v>3256</v>
      </c>
      <c r="X50" s="7">
        <v>279754</v>
      </c>
      <c r="Y50" s="7">
        <v>813</v>
      </c>
      <c r="Z50" s="7">
        <v>808</v>
      </c>
      <c r="AA50" s="10">
        <v>-0.62</v>
      </c>
      <c r="AB50" s="7">
        <v>3380683</v>
      </c>
      <c r="AC50" s="7">
        <v>3823922</v>
      </c>
      <c r="AD50" s="7">
        <v>1033764</v>
      </c>
      <c r="AE50" s="7">
        <v>976761</v>
      </c>
      <c r="AF50" s="7">
        <v>903690</v>
      </c>
      <c r="AG50" s="7">
        <v>906300</v>
      </c>
      <c r="AH50" s="8">
        <v>4.0599999999999996</v>
      </c>
      <c r="AI50" s="8">
        <v>4</v>
      </c>
    </row>
    <row r="51" spans="1:35" x14ac:dyDescent="0.25">
      <c r="A51" s="6" t="str">
        <f>"010306"</f>
        <v>010306</v>
      </c>
      <c r="B51" s="6" t="s">
        <v>86</v>
      </c>
      <c r="C51" s="7">
        <v>96540000</v>
      </c>
      <c r="D51" s="7">
        <v>97123000</v>
      </c>
      <c r="E51" s="8">
        <v>0.6</v>
      </c>
      <c r="F51" s="7">
        <v>63992000</v>
      </c>
      <c r="G51" s="7">
        <v>64267000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63992000</v>
      </c>
      <c r="O51" s="7">
        <v>64267000</v>
      </c>
      <c r="P51" s="8">
        <v>0.43</v>
      </c>
      <c r="Q51" s="7">
        <v>4568270</v>
      </c>
      <c r="R51" s="7">
        <v>4074040</v>
      </c>
      <c r="S51" s="7">
        <v>59759772</v>
      </c>
      <c r="T51" s="7">
        <v>60759153</v>
      </c>
      <c r="U51" s="7">
        <v>59423730</v>
      </c>
      <c r="V51" s="7">
        <v>60192960</v>
      </c>
      <c r="W51" s="7">
        <v>336042</v>
      </c>
      <c r="X51" s="7">
        <v>566193</v>
      </c>
      <c r="Y51" s="7">
        <v>4591</v>
      </c>
      <c r="Z51" s="7">
        <v>4500</v>
      </c>
      <c r="AA51" s="8">
        <v>-1.98</v>
      </c>
      <c r="AB51" s="7">
        <v>11189878</v>
      </c>
      <c r="AC51" s="7">
        <v>13295000</v>
      </c>
      <c r="AD51" s="7">
        <v>61068</v>
      </c>
      <c r="AE51" s="7">
        <v>100000</v>
      </c>
      <c r="AF51" s="7">
        <v>3641047</v>
      </c>
      <c r="AG51" s="7">
        <v>3797000</v>
      </c>
      <c r="AH51" s="8">
        <v>3.77</v>
      </c>
      <c r="AI51" s="8">
        <v>3.91</v>
      </c>
    </row>
    <row r="52" spans="1:35" x14ac:dyDescent="0.25">
      <c r="A52" s="6" t="str">
        <f>"280521"</f>
        <v>280521</v>
      </c>
      <c r="B52" s="6" t="s">
        <v>87</v>
      </c>
      <c r="C52" s="7">
        <v>82151583</v>
      </c>
      <c r="D52" s="7">
        <v>83569427</v>
      </c>
      <c r="E52" s="8">
        <v>1.73</v>
      </c>
      <c r="F52" s="7">
        <v>61993934</v>
      </c>
      <c r="G52" s="7">
        <v>61927055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61993934</v>
      </c>
      <c r="O52" s="7">
        <v>61927055</v>
      </c>
      <c r="P52" s="8">
        <v>-0.11</v>
      </c>
      <c r="Q52" s="7">
        <v>596946</v>
      </c>
      <c r="R52" s="7">
        <v>624108</v>
      </c>
      <c r="S52" s="7">
        <v>61396988</v>
      </c>
      <c r="T52" s="7">
        <v>61302947</v>
      </c>
      <c r="U52" s="7">
        <v>61396988</v>
      </c>
      <c r="V52" s="7">
        <v>61302947</v>
      </c>
      <c r="W52" s="7">
        <v>0</v>
      </c>
      <c r="X52" s="7">
        <v>0</v>
      </c>
      <c r="Y52" s="7">
        <v>2905</v>
      </c>
      <c r="Z52" s="7">
        <v>2897</v>
      </c>
      <c r="AA52" s="8">
        <v>-0.28000000000000003</v>
      </c>
      <c r="AB52" s="7">
        <v>11914765</v>
      </c>
      <c r="AC52" s="7">
        <v>14469145</v>
      </c>
      <c r="AD52" s="7">
        <v>500000</v>
      </c>
      <c r="AE52" s="7">
        <v>500000</v>
      </c>
      <c r="AF52" s="7">
        <v>3286062</v>
      </c>
      <c r="AG52" s="7">
        <v>3342777</v>
      </c>
      <c r="AH52" s="8">
        <v>4</v>
      </c>
      <c r="AI52" s="8">
        <v>4</v>
      </c>
    </row>
    <row r="53" spans="1:35" x14ac:dyDescent="0.25">
      <c r="A53" s="6" t="str">
        <f>"030200"</f>
        <v>030200</v>
      </c>
      <c r="B53" s="6" t="s">
        <v>88</v>
      </c>
      <c r="C53" s="7">
        <v>112167108</v>
      </c>
      <c r="D53" s="7">
        <v>115859659</v>
      </c>
      <c r="E53" s="8">
        <v>3.29</v>
      </c>
      <c r="F53" s="7">
        <v>41977988</v>
      </c>
      <c r="G53" s="7">
        <v>41977988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41977988</v>
      </c>
      <c r="O53" s="7">
        <v>41977988</v>
      </c>
      <c r="P53" s="8">
        <v>0</v>
      </c>
      <c r="Q53" s="7">
        <v>2056502</v>
      </c>
      <c r="R53" s="7">
        <v>1425850</v>
      </c>
      <c r="S53" s="7">
        <v>39921486</v>
      </c>
      <c r="T53" s="7">
        <v>40556900</v>
      </c>
      <c r="U53" s="7">
        <v>39921486</v>
      </c>
      <c r="V53" s="7">
        <v>40552138</v>
      </c>
      <c r="W53" s="7">
        <v>0</v>
      </c>
      <c r="X53" s="7">
        <v>4762</v>
      </c>
      <c r="Y53" s="7">
        <v>5388</v>
      </c>
      <c r="Z53" s="7">
        <v>5388</v>
      </c>
      <c r="AA53" s="8">
        <v>0</v>
      </c>
      <c r="AB53" s="7">
        <v>10519574</v>
      </c>
      <c r="AC53" s="7">
        <v>13033349</v>
      </c>
      <c r="AD53" s="7">
        <v>2450000</v>
      </c>
      <c r="AE53" s="7">
        <v>2450000</v>
      </c>
      <c r="AF53" s="7">
        <v>3904354</v>
      </c>
      <c r="AG53" s="7">
        <v>4271896</v>
      </c>
      <c r="AH53" s="8">
        <v>3.48</v>
      </c>
      <c r="AI53" s="8">
        <v>3.69</v>
      </c>
    </row>
    <row r="54" spans="1:35" x14ac:dyDescent="0.25">
      <c r="A54" s="6" t="str">
        <f>"661905"</f>
        <v>661905</v>
      </c>
      <c r="B54" s="6" t="s">
        <v>89</v>
      </c>
      <c r="C54" s="7">
        <v>43226703</v>
      </c>
      <c r="D54" s="7">
        <v>43915067</v>
      </c>
      <c r="E54" s="8">
        <v>1.59</v>
      </c>
      <c r="F54" s="7">
        <v>37386170</v>
      </c>
      <c r="G54" s="7">
        <v>37875647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37386170</v>
      </c>
      <c r="O54" s="7">
        <v>37875647</v>
      </c>
      <c r="P54" s="8">
        <v>1.31</v>
      </c>
      <c r="Q54" s="7">
        <v>1577533</v>
      </c>
      <c r="R54" s="7">
        <v>1528761</v>
      </c>
      <c r="S54" s="7">
        <v>35809011</v>
      </c>
      <c r="T54" s="7">
        <v>36346897</v>
      </c>
      <c r="U54" s="7">
        <v>35808637</v>
      </c>
      <c r="V54" s="7">
        <v>36346886</v>
      </c>
      <c r="W54" s="7">
        <v>374</v>
      </c>
      <c r="X54" s="7">
        <v>11</v>
      </c>
      <c r="Y54" s="7">
        <v>1467</v>
      </c>
      <c r="Z54" s="7">
        <v>1441</v>
      </c>
      <c r="AA54" s="8">
        <v>-1.77</v>
      </c>
      <c r="AB54" s="7">
        <v>1191556</v>
      </c>
      <c r="AC54" s="7">
        <v>1105000</v>
      </c>
      <c r="AD54" s="7">
        <v>1550000</v>
      </c>
      <c r="AE54" s="7">
        <v>1600000</v>
      </c>
      <c r="AF54" s="7">
        <v>1729068</v>
      </c>
      <c r="AG54" s="7">
        <v>1580000</v>
      </c>
      <c r="AH54" s="8">
        <v>4</v>
      </c>
      <c r="AI54" s="8">
        <v>3.6</v>
      </c>
    </row>
    <row r="55" spans="1:35" x14ac:dyDescent="0.25">
      <c r="A55" s="6" t="str">
        <f>"022902"</f>
        <v>022902</v>
      </c>
      <c r="B55" s="6" t="s">
        <v>90</v>
      </c>
      <c r="C55" s="7">
        <v>18411761</v>
      </c>
      <c r="D55" s="7">
        <v>19409710</v>
      </c>
      <c r="E55" s="8">
        <v>5.42</v>
      </c>
      <c r="F55" s="7">
        <v>2714763</v>
      </c>
      <c r="G55" s="7">
        <v>2714763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2714763</v>
      </c>
      <c r="O55" s="7">
        <v>2714763</v>
      </c>
      <c r="P55" s="8">
        <v>0</v>
      </c>
      <c r="Q55" s="7">
        <v>0</v>
      </c>
      <c r="R55" s="7">
        <v>0</v>
      </c>
      <c r="S55" s="7">
        <v>2723729</v>
      </c>
      <c r="T55" s="7">
        <v>2767112</v>
      </c>
      <c r="U55" s="7">
        <v>2714763</v>
      </c>
      <c r="V55" s="7">
        <v>2714763</v>
      </c>
      <c r="W55" s="7">
        <v>8966</v>
      </c>
      <c r="X55" s="7">
        <v>52349</v>
      </c>
      <c r="Y55" s="7">
        <v>825</v>
      </c>
      <c r="Z55" s="7">
        <v>800</v>
      </c>
      <c r="AA55" s="8">
        <v>-3.03</v>
      </c>
      <c r="AB55" s="7">
        <v>7304661</v>
      </c>
      <c r="AC55" s="7">
        <v>7490645</v>
      </c>
      <c r="AD55" s="7">
        <v>500000</v>
      </c>
      <c r="AE55" s="7">
        <v>500000</v>
      </c>
      <c r="AF55" s="7">
        <v>1299972</v>
      </c>
      <c r="AG55" s="7">
        <v>1200000</v>
      </c>
      <c r="AH55" s="8">
        <v>7.06</v>
      </c>
      <c r="AI55" s="8">
        <v>6.18</v>
      </c>
    </row>
    <row r="56" spans="1:35" x14ac:dyDescent="0.25">
      <c r="A56" s="6" t="str">
        <f>"630101"</f>
        <v>630101</v>
      </c>
      <c r="B56" s="6" t="s">
        <v>91</v>
      </c>
      <c r="C56" s="7">
        <v>8976112</v>
      </c>
      <c r="D56" s="7">
        <v>9239998</v>
      </c>
      <c r="E56" s="8">
        <v>2.94</v>
      </c>
      <c r="F56" s="7">
        <v>7284884</v>
      </c>
      <c r="G56" s="7">
        <v>7417590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7284884</v>
      </c>
      <c r="O56" s="7">
        <v>7417590</v>
      </c>
      <c r="P56" s="8">
        <v>1.82</v>
      </c>
      <c r="Q56" s="7">
        <v>244310</v>
      </c>
      <c r="R56" s="7">
        <v>241832</v>
      </c>
      <c r="S56" s="7">
        <v>7040574</v>
      </c>
      <c r="T56" s="7">
        <v>7175758</v>
      </c>
      <c r="U56" s="7">
        <v>7040574</v>
      </c>
      <c r="V56" s="7">
        <v>7175758</v>
      </c>
      <c r="W56" s="7">
        <v>0</v>
      </c>
      <c r="X56" s="7">
        <v>0</v>
      </c>
      <c r="Y56" s="7">
        <v>210</v>
      </c>
      <c r="Z56" s="7">
        <v>210</v>
      </c>
      <c r="AA56" s="8">
        <v>0</v>
      </c>
      <c r="AB56" s="7">
        <v>388645</v>
      </c>
      <c r="AC56" s="7">
        <v>508000</v>
      </c>
      <c r="AD56" s="7">
        <v>948044</v>
      </c>
      <c r="AE56" s="7">
        <v>766977</v>
      </c>
      <c r="AF56" s="7">
        <v>2085540</v>
      </c>
      <c r="AG56" s="7">
        <v>370050</v>
      </c>
      <c r="AH56" s="8">
        <v>23.23</v>
      </c>
      <c r="AI56" s="8">
        <v>4</v>
      </c>
    </row>
    <row r="57" spans="1:35" x14ac:dyDescent="0.25">
      <c r="A57" s="6" t="str">
        <f>"570401"</f>
        <v>570401</v>
      </c>
      <c r="B57" s="6" t="s">
        <v>92</v>
      </c>
      <c r="C57" s="7">
        <v>8823057</v>
      </c>
      <c r="D57" s="7">
        <v>9114746</v>
      </c>
      <c r="E57" s="8">
        <v>3.31</v>
      </c>
      <c r="F57" s="7">
        <v>2297958</v>
      </c>
      <c r="G57" s="7">
        <v>2342037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2297958</v>
      </c>
      <c r="O57" s="7">
        <v>2342037</v>
      </c>
      <c r="P57" s="8">
        <v>1.92</v>
      </c>
      <c r="Q57" s="7">
        <v>0</v>
      </c>
      <c r="R57" s="7">
        <v>0</v>
      </c>
      <c r="S57" s="7">
        <v>2252468</v>
      </c>
      <c r="T57" s="7">
        <v>2342037</v>
      </c>
      <c r="U57" s="7">
        <v>2297958</v>
      </c>
      <c r="V57" s="7">
        <v>2342037</v>
      </c>
      <c r="W57" s="7">
        <v>-45490</v>
      </c>
      <c r="X57" s="7">
        <v>0</v>
      </c>
      <c r="Y57" s="7">
        <v>286</v>
      </c>
      <c r="Z57" s="7">
        <v>286</v>
      </c>
      <c r="AA57" s="8">
        <v>0</v>
      </c>
      <c r="AB57" s="7">
        <v>1294470</v>
      </c>
      <c r="AC57" s="7">
        <v>1530410</v>
      </c>
      <c r="AD57" s="7">
        <v>355647</v>
      </c>
      <c r="AE57" s="7">
        <v>450000</v>
      </c>
      <c r="AF57" s="7">
        <v>1063527</v>
      </c>
      <c r="AG57" s="7">
        <v>716583</v>
      </c>
      <c r="AH57" s="8">
        <v>12.05</v>
      </c>
      <c r="AI57" s="8">
        <v>7.86</v>
      </c>
    </row>
    <row r="58" spans="1:35" x14ac:dyDescent="0.25">
      <c r="A58" s="6" t="str">
        <f>"510101"</f>
        <v>510101</v>
      </c>
      <c r="B58" s="6" t="s">
        <v>93</v>
      </c>
      <c r="C58" s="7">
        <v>22761284</v>
      </c>
      <c r="D58" s="7">
        <v>23341047</v>
      </c>
      <c r="E58" s="8">
        <v>2.5499999999999998</v>
      </c>
      <c r="F58" s="7">
        <v>4951108</v>
      </c>
      <c r="G58" s="7">
        <v>5015477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4951108</v>
      </c>
      <c r="O58" s="7">
        <v>5015477</v>
      </c>
      <c r="P58" s="8">
        <v>1.3</v>
      </c>
      <c r="Q58" s="7">
        <v>69618</v>
      </c>
      <c r="R58" s="7">
        <v>47087</v>
      </c>
      <c r="S58" s="7">
        <v>4881490</v>
      </c>
      <c r="T58" s="7">
        <v>4968390</v>
      </c>
      <c r="U58" s="7">
        <v>4881490</v>
      </c>
      <c r="V58" s="7">
        <v>4968390</v>
      </c>
      <c r="W58" s="7">
        <v>0</v>
      </c>
      <c r="X58" s="7">
        <v>0</v>
      </c>
      <c r="Y58" s="7">
        <v>990</v>
      </c>
      <c r="Z58" s="7">
        <v>1000</v>
      </c>
      <c r="AA58" s="8">
        <v>1.01</v>
      </c>
      <c r="AB58" s="7">
        <v>1994499</v>
      </c>
      <c r="AC58" s="7">
        <v>3367227</v>
      </c>
      <c r="AD58" s="7">
        <v>650000</v>
      </c>
      <c r="AE58" s="7">
        <v>500000</v>
      </c>
      <c r="AF58" s="7">
        <v>2436521</v>
      </c>
      <c r="AG58" s="7">
        <v>2112670</v>
      </c>
      <c r="AH58" s="8">
        <v>10.7</v>
      </c>
      <c r="AI58" s="8">
        <v>9.0500000000000007</v>
      </c>
    </row>
    <row r="59" spans="1:35" x14ac:dyDescent="0.25">
      <c r="A59" s="6" t="str">
        <f>"580512"</f>
        <v>580512</v>
      </c>
      <c r="B59" s="6" t="s">
        <v>94</v>
      </c>
      <c r="C59" s="7">
        <v>381757188</v>
      </c>
      <c r="D59" s="7">
        <v>393553824</v>
      </c>
      <c r="E59" s="8">
        <v>3.09</v>
      </c>
      <c r="F59" s="7">
        <v>101640824</v>
      </c>
      <c r="G59" s="7">
        <v>103601818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101640824</v>
      </c>
      <c r="O59" s="7">
        <v>103601818</v>
      </c>
      <c r="P59" s="8">
        <v>1.93</v>
      </c>
      <c r="Q59" s="7">
        <v>0</v>
      </c>
      <c r="R59" s="7">
        <v>0</v>
      </c>
      <c r="S59" s="7">
        <v>101640824</v>
      </c>
      <c r="T59" s="7">
        <v>103601818</v>
      </c>
      <c r="U59" s="7">
        <v>101640824</v>
      </c>
      <c r="V59" s="7">
        <v>103601818</v>
      </c>
      <c r="W59" s="7">
        <v>0</v>
      </c>
      <c r="X59" s="7">
        <v>0</v>
      </c>
      <c r="Y59" s="7">
        <v>19500</v>
      </c>
      <c r="Z59" s="7">
        <v>19800</v>
      </c>
      <c r="AA59" s="8">
        <v>1.54</v>
      </c>
      <c r="AB59" s="7">
        <v>41248207</v>
      </c>
      <c r="AC59" s="7">
        <v>41283276</v>
      </c>
      <c r="AD59" s="7">
        <v>26309331</v>
      </c>
      <c r="AE59" s="7">
        <v>27940300</v>
      </c>
      <c r="AF59" s="7">
        <v>15131752</v>
      </c>
      <c r="AG59" s="7">
        <v>9617980</v>
      </c>
      <c r="AH59" s="8">
        <v>3.96</v>
      </c>
      <c r="AI59" s="8">
        <v>2.44</v>
      </c>
    </row>
    <row r="60" spans="1:35" x14ac:dyDescent="0.25">
      <c r="A60" s="6" t="str">
        <f>"480601"</f>
        <v>480601</v>
      </c>
      <c r="B60" s="6" t="s">
        <v>95</v>
      </c>
      <c r="C60" s="7">
        <v>92767066</v>
      </c>
      <c r="D60" s="7">
        <v>95439381</v>
      </c>
      <c r="E60" s="8">
        <v>2.88</v>
      </c>
      <c r="F60" s="7">
        <v>71054324</v>
      </c>
      <c r="G60" s="7">
        <v>72502849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71054324</v>
      </c>
      <c r="O60" s="7">
        <v>72502849</v>
      </c>
      <c r="P60" s="8">
        <v>2.04</v>
      </c>
      <c r="Q60" s="7">
        <v>2751601</v>
      </c>
      <c r="R60" s="7">
        <v>2799945</v>
      </c>
      <c r="S60" s="7">
        <v>68468777</v>
      </c>
      <c r="T60" s="7">
        <v>69702904</v>
      </c>
      <c r="U60" s="7">
        <v>68302723</v>
      </c>
      <c r="V60" s="7">
        <v>69702904</v>
      </c>
      <c r="W60" s="7">
        <v>166054</v>
      </c>
      <c r="X60" s="7">
        <v>0</v>
      </c>
      <c r="Y60" s="7">
        <v>3152</v>
      </c>
      <c r="Z60" s="7">
        <v>3124</v>
      </c>
      <c r="AA60" s="8">
        <v>-0.89</v>
      </c>
      <c r="AB60" s="7">
        <v>3938947</v>
      </c>
      <c r="AC60" s="7">
        <v>4331055</v>
      </c>
      <c r="AD60" s="7">
        <v>2681080</v>
      </c>
      <c r="AE60" s="7">
        <v>2681080</v>
      </c>
      <c r="AF60" s="7">
        <v>3709683</v>
      </c>
      <c r="AG60" s="7">
        <v>3817575</v>
      </c>
      <c r="AH60" s="8">
        <v>4</v>
      </c>
      <c r="AI60" s="8">
        <v>4</v>
      </c>
    </row>
    <row r="61" spans="1:35" x14ac:dyDescent="0.25">
      <c r="A61" s="6" t="str">
        <f>"661402"</f>
        <v>661402</v>
      </c>
      <c r="B61" s="6" t="s">
        <v>96</v>
      </c>
      <c r="C61" s="7">
        <v>50335869</v>
      </c>
      <c r="D61" s="7">
        <v>51466151</v>
      </c>
      <c r="E61" s="8">
        <v>2.25</v>
      </c>
      <c r="F61" s="7">
        <v>39704492</v>
      </c>
      <c r="G61" s="7">
        <v>40345000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39704492</v>
      </c>
      <c r="O61" s="7">
        <v>40345000</v>
      </c>
      <c r="P61" s="8">
        <v>1.61</v>
      </c>
      <c r="Q61" s="7">
        <v>2609472</v>
      </c>
      <c r="R61" s="7">
        <v>2636214</v>
      </c>
      <c r="S61" s="7">
        <v>37104579</v>
      </c>
      <c r="T61" s="7">
        <v>37711175</v>
      </c>
      <c r="U61" s="7">
        <v>37095020</v>
      </c>
      <c r="V61" s="7">
        <v>37708786</v>
      </c>
      <c r="W61" s="7">
        <v>9559</v>
      </c>
      <c r="X61" s="7">
        <v>2389</v>
      </c>
      <c r="Y61" s="7">
        <v>1481</v>
      </c>
      <c r="Z61" s="7">
        <v>1440</v>
      </c>
      <c r="AA61" s="8">
        <v>-2.77</v>
      </c>
      <c r="AB61" s="7">
        <v>2238298</v>
      </c>
      <c r="AC61" s="7">
        <v>3135252</v>
      </c>
      <c r="AD61" s="7">
        <v>1087038</v>
      </c>
      <c r="AE61" s="7">
        <v>1220000</v>
      </c>
      <c r="AF61" s="7">
        <v>1927638</v>
      </c>
      <c r="AG61" s="7">
        <v>2058646</v>
      </c>
      <c r="AH61" s="8">
        <v>3.83</v>
      </c>
      <c r="AI61" s="8">
        <v>4</v>
      </c>
    </row>
    <row r="62" spans="1:35" x14ac:dyDescent="0.25">
      <c r="A62" s="6" t="str">
        <f>"580909"</f>
        <v>580909</v>
      </c>
      <c r="B62" s="6" t="s">
        <v>97</v>
      </c>
      <c r="C62" s="7">
        <v>13778439</v>
      </c>
      <c r="D62" s="7">
        <v>14356463</v>
      </c>
      <c r="E62" s="8">
        <v>4.2</v>
      </c>
      <c r="F62" s="7">
        <v>11960973</v>
      </c>
      <c r="G62" s="7">
        <v>12623558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11960973</v>
      </c>
      <c r="O62" s="7">
        <v>12623558</v>
      </c>
      <c r="P62" s="8">
        <v>5.54</v>
      </c>
      <c r="Q62" s="7">
        <v>392740</v>
      </c>
      <c r="R62" s="7">
        <v>387237</v>
      </c>
      <c r="S62" s="7">
        <v>10944407</v>
      </c>
      <c r="T62" s="7">
        <v>12236321</v>
      </c>
      <c r="U62" s="7">
        <v>11568233</v>
      </c>
      <c r="V62" s="7">
        <v>12236321</v>
      </c>
      <c r="W62" s="7">
        <v>-623826</v>
      </c>
      <c r="X62" s="7">
        <v>0</v>
      </c>
      <c r="Y62" s="7">
        <v>195</v>
      </c>
      <c r="Z62" s="7">
        <v>212</v>
      </c>
      <c r="AA62" s="8">
        <v>8.7200000000000006</v>
      </c>
      <c r="AB62" s="7">
        <v>2002186</v>
      </c>
      <c r="AC62" s="7">
        <v>1808936</v>
      </c>
      <c r="AD62" s="7">
        <v>400000</v>
      </c>
      <c r="AE62" s="7">
        <v>400000</v>
      </c>
      <c r="AF62" s="7">
        <v>550652</v>
      </c>
      <c r="AG62" s="7">
        <v>550652</v>
      </c>
      <c r="AH62" s="8">
        <v>4</v>
      </c>
      <c r="AI62" s="8">
        <v>3.84</v>
      </c>
    </row>
    <row r="63" spans="1:35" x14ac:dyDescent="0.25">
      <c r="A63" s="6" t="str">
        <f>"260101"</f>
        <v>260101</v>
      </c>
      <c r="B63" s="6" t="s">
        <v>98</v>
      </c>
      <c r="C63" s="7">
        <v>74017525</v>
      </c>
      <c r="D63" s="7">
        <v>76082951</v>
      </c>
      <c r="E63" s="8">
        <v>2.79</v>
      </c>
      <c r="F63" s="7">
        <v>50140527</v>
      </c>
      <c r="G63" s="7">
        <v>51069907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50140527</v>
      </c>
      <c r="O63" s="7">
        <v>51069907</v>
      </c>
      <c r="P63" s="8">
        <v>1.85</v>
      </c>
      <c r="Q63" s="7">
        <v>0</v>
      </c>
      <c r="R63" s="7">
        <v>0</v>
      </c>
      <c r="S63" s="7">
        <v>50147527</v>
      </c>
      <c r="T63" s="7">
        <v>51069908</v>
      </c>
      <c r="U63" s="7">
        <v>50140527</v>
      </c>
      <c r="V63" s="7">
        <v>51069907</v>
      </c>
      <c r="W63" s="7">
        <v>7000</v>
      </c>
      <c r="X63" s="7">
        <v>1</v>
      </c>
      <c r="Y63" s="7">
        <v>3607</v>
      </c>
      <c r="Z63" s="7">
        <v>3676</v>
      </c>
      <c r="AA63" s="8">
        <v>1.91</v>
      </c>
      <c r="AB63" s="7">
        <v>18124400</v>
      </c>
      <c r="AC63" s="7">
        <v>14924400</v>
      </c>
      <c r="AD63" s="7">
        <v>2600000</v>
      </c>
      <c r="AE63" s="7">
        <v>2600000</v>
      </c>
      <c r="AF63" s="7">
        <v>2960701</v>
      </c>
      <c r="AG63" s="7">
        <v>3043318</v>
      </c>
      <c r="AH63" s="8">
        <v>4</v>
      </c>
      <c r="AI63" s="8">
        <v>4</v>
      </c>
    </row>
    <row r="64" spans="1:35" x14ac:dyDescent="0.25">
      <c r="A64" s="6" t="str">
        <f>"171102"</f>
        <v>171102</v>
      </c>
      <c r="B64" s="6" t="s">
        <v>99</v>
      </c>
      <c r="C64" s="7">
        <v>33987995</v>
      </c>
      <c r="D64" s="7">
        <v>34697486</v>
      </c>
      <c r="E64" s="8">
        <v>2.09</v>
      </c>
      <c r="F64" s="7">
        <v>14188423</v>
      </c>
      <c r="G64" s="7">
        <v>14492948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14188423</v>
      </c>
      <c r="O64" s="7">
        <v>14492948</v>
      </c>
      <c r="P64" s="8">
        <v>2.15</v>
      </c>
      <c r="Q64" s="7">
        <v>309916</v>
      </c>
      <c r="R64" s="7">
        <v>331818</v>
      </c>
      <c r="S64" s="7">
        <v>13931240</v>
      </c>
      <c r="T64" s="7">
        <v>14161130</v>
      </c>
      <c r="U64" s="7">
        <v>13878507</v>
      </c>
      <c r="V64" s="7">
        <v>14161130</v>
      </c>
      <c r="W64" s="7">
        <v>52733</v>
      </c>
      <c r="X64" s="7">
        <v>0</v>
      </c>
      <c r="Y64" s="7">
        <v>1745</v>
      </c>
      <c r="Z64" s="7">
        <v>1750</v>
      </c>
      <c r="AA64" s="8">
        <v>0.28999999999999998</v>
      </c>
      <c r="AB64" s="7">
        <v>1050791</v>
      </c>
      <c r="AC64" s="7">
        <v>1050791</v>
      </c>
      <c r="AD64" s="7">
        <v>1541355</v>
      </c>
      <c r="AE64" s="7">
        <v>1522496</v>
      </c>
      <c r="AF64" s="7">
        <v>582174</v>
      </c>
      <c r="AG64" s="7">
        <v>600000</v>
      </c>
      <c r="AH64" s="8">
        <v>1.71</v>
      </c>
      <c r="AI64" s="8">
        <v>1.73</v>
      </c>
    </row>
    <row r="65" spans="1:35" x14ac:dyDescent="0.25">
      <c r="A65" s="6" t="str">
        <f>"261801"</f>
        <v>261801</v>
      </c>
      <c r="B65" s="6" t="s">
        <v>100</v>
      </c>
      <c r="C65" s="7">
        <v>78888200</v>
      </c>
      <c r="D65" s="7">
        <v>78847223</v>
      </c>
      <c r="E65" s="8">
        <v>-0.05</v>
      </c>
      <c r="F65" s="7">
        <v>30197980</v>
      </c>
      <c r="G65" s="7">
        <v>30786840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30197980</v>
      </c>
      <c r="O65" s="7">
        <v>30786840</v>
      </c>
      <c r="P65" s="8">
        <v>1.95</v>
      </c>
      <c r="Q65" s="7">
        <v>604762</v>
      </c>
      <c r="R65" s="7">
        <v>664097</v>
      </c>
      <c r="S65" s="7">
        <v>29792948</v>
      </c>
      <c r="T65" s="7">
        <v>30315600</v>
      </c>
      <c r="U65" s="7">
        <v>29593218</v>
      </c>
      <c r="V65" s="7">
        <v>30122743</v>
      </c>
      <c r="W65" s="7">
        <v>199730</v>
      </c>
      <c r="X65" s="7">
        <v>192857</v>
      </c>
      <c r="Y65" s="7">
        <v>3286</v>
      </c>
      <c r="Z65" s="7">
        <v>3237</v>
      </c>
      <c r="AA65" s="8">
        <v>-1.49</v>
      </c>
      <c r="AB65" s="7">
        <v>24748069</v>
      </c>
      <c r="AC65" s="7">
        <v>24748069</v>
      </c>
      <c r="AD65" s="7">
        <v>2523193</v>
      </c>
      <c r="AE65" s="7">
        <v>1674811</v>
      </c>
      <c r="AF65" s="7">
        <v>3155528</v>
      </c>
      <c r="AG65" s="7">
        <v>3153888</v>
      </c>
      <c r="AH65" s="8">
        <v>4</v>
      </c>
      <c r="AI65" s="8">
        <v>4</v>
      </c>
    </row>
    <row r="66" spans="1:35" x14ac:dyDescent="0.25">
      <c r="A66" s="6" t="str">
        <f>"062301"</f>
        <v>062301</v>
      </c>
      <c r="B66" s="6" t="s">
        <v>101</v>
      </c>
      <c r="C66" s="7">
        <v>17468081</v>
      </c>
      <c r="D66" s="7">
        <v>17836171</v>
      </c>
      <c r="E66" s="8">
        <v>2.11</v>
      </c>
      <c r="F66" s="7">
        <v>4558742</v>
      </c>
      <c r="G66" s="7">
        <v>4649917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4558742</v>
      </c>
      <c r="O66" s="7">
        <v>4649917</v>
      </c>
      <c r="P66" s="8">
        <v>2</v>
      </c>
      <c r="Q66" s="7">
        <v>224346</v>
      </c>
      <c r="R66" s="7">
        <v>367432</v>
      </c>
      <c r="S66" s="7">
        <v>4334396</v>
      </c>
      <c r="T66" s="7">
        <v>4282485</v>
      </c>
      <c r="U66" s="7">
        <v>4334396</v>
      </c>
      <c r="V66" s="7">
        <v>4282485</v>
      </c>
      <c r="W66" s="7">
        <v>0</v>
      </c>
      <c r="X66" s="7">
        <v>0</v>
      </c>
      <c r="Y66" s="7">
        <v>617</v>
      </c>
      <c r="Z66" s="7">
        <v>598</v>
      </c>
      <c r="AA66" s="8">
        <v>-3.08</v>
      </c>
      <c r="AB66" s="7">
        <v>1976589</v>
      </c>
      <c r="AC66" s="7">
        <v>1836589</v>
      </c>
      <c r="AD66" s="7">
        <v>464822</v>
      </c>
      <c r="AE66" s="7">
        <v>739337</v>
      </c>
      <c r="AF66" s="7">
        <v>1579365</v>
      </c>
      <c r="AG66" s="7">
        <v>1094850</v>
      </c>
      <c r="AH66" s="8">
        <v>9.0399999999999991</v>
      </c>
      <c r="AI66" s="8">
        <v>6.14</v>
      </c>
    </row>
    <row r="67" spans="1:35" x14ac:dyDescent="0.25">
      <c r="A67" s="6" t="str">
        <f>"660303"</f>
        <v>660303</v>
      </c>
      <c r="B67" s="6" t="s">
        <v>102</v>
      </c>
      <c r="C67" s="7">
        <v>46582858</v>
      </c>
      <c r="D67" s="7">
        <v>47128004</v>
      </c>
      <c r="E67" s="8">
        <v>1.17</v>
      </c>
      <c r="F67" s="7">
        <v>40887858</v>
      </c>
      <c r="G67" s="7">
        <v>41528004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40887858</v>
      </c>
      <c r="O67" s="7">
        <v>41528004</v>
      </c>
      <c r="P67" s="8">
        <v>1.57</v>
      </c>
      <c r="Q67" s="7">
        <v>0</v>
      </c>
      <c r="R67" s="7">
        <v>0</v>
      </c>
      <c r="S67" s="7">
        <v>40889771</v>
      </c>
      <c r="T67" s="7">
        <v>41540144</v>
      </c>
      <c r="U67" s="7">
        <v>40887858</v>
      </c>
      <c r="V67" s="7">
        <v>41528004</v>
      </c>
      <c r="W67" s="7">
        <v>1913</v>
      </c>
      <c r="X67" s="7">
        <v>12140</v>
      </c>
      <c r="Y67" s="7">
        <v>1677</v>
      </c>
      <c r="Z67" s="7">
        <v>1694</v>
      </c>
      <c r="AA67" s="8">
        <v>1.01</v>
      </c>
      <c r="AB67" s="7">
        <v>5990016</v>
      </c>
      <c r="AC67" s="7">
        <v>4190016</v>
      </c>
      <c r="AD67" s="7">
        <v>580000</v>
      </c>
      <c r="AE67" s="7">
        <v>500000</v>
      </c>
      <c r="AF67" s="7">
        <v>1863314</v>
      </c>
      <c r="AG67" s="7">
        <v>1885120</v>
      </c>
      <c r="AH67" s="8">
        <v>4</v>
      </c>
      <c r="AI67" s="8">
        <v>4</v>
      </c>
    </row>
    <row r="68" spans="1:35" x14ac:dyDescent="0.25">
      <c r="A68" s="6" t="str">
        <f>"250109"</f>
        <v>250109</v>
      </c>
      <c r="B68" s="6" t="s">
        <v>103</v>
      </c>
      <c r="C68" s="7">
        <v>6250660</v>
      </c>
      <c r="D68" s="7">
        <v>6154765</v>
      </c>
      <c r="E68" s="8">
        <v>-1.53</v>
      </c>
      <c r="F68" s="7">
        <v>1425700</v>
      </c>
      <c r="G68" s="7">
        <v>1473000</v>
      </c>
      <c r="H68" s="7">
        <v>0</v>
      </c>
      <c r="I68" s="7">
        <v>0</v>
      </c>
      <c r="J68" s="7">
        <v>0</v>
      </c>
      <c r="K68" s="7">
        <v>0</v>
      </c>
      <c r="L68" s="6">
        <v>0</v>
      </c>
      <c r="M68" s="6">
        <v>0</v>
      </c>
      <c r="N68" s="7">
        <v>1425700</v>
      </c>
      <c r="O68" s="7">
        <v>1473000</v>
      </c>
      <c r="P68" s="8">
        <v>3.32</v>
      </c>
      <c r="Q68" s="7">
        <v>34077</v>
      </c>
      <c r="R68" s="7">
        <v>53185</v>
      </c>
      <c r="S68" s="7">
        <v>1348050</v>
      </c>
      <c r="T68" s="7">
        <v>1473026</v>
      </c>
      <c r="U68" s="7">
        <v>1391623</v>
      </c>
      <c r="V68" s="7">
        <v>1419815</v>
      </c>
      <c r="W68" s="7">
        <v>-43573</v>
      </c>
      <c r="X68" s="7">
        <v>53211</v>
      </c>
      <c r="Y68" s="7">
        <v>230</v>
      </c>
      <c r="Z68" s="7">
        <v>241</v>
      </c>
      <c r="AA68" s="8">
        <v>4.78</v>
      </c>
      <c r="AB68" s="7">
        <v>198560</v>
      </c>
      <c r="AC68" s="7">
        <v>198560</v>
      </c>
      <c r="AD68" s="7">
        <v>375956</v>
      </c>
      <c r="AE68" s="7">
        <v>575000</v>
      </c>
      <c r="AF68" s="7">
        <v>0</v>
      </c>
      <c r="AG68" s="7">
        <v>62795</v>
      </c>
      <c r="AH68" s="8">
        <v>0</v>
      </c>
      <c r="AI68" s="8">
        <v>1.02</v>
      </c>
    </row>
    <row r="69" spans="1:35" x14ac:dyDescent="0.25">
      <c r="A69" s="6" t="str">
        <f>"580203"</f>
        <v>580203</v>
      </c>
      <c r="B69" s="6" t="s">
        <v>104</v>
      </c>
      <c r="C69" s="7">
        <v>87237218</v>
      </c>
      <c r="D69" s="7">
        <v>90051337</v>
      </c>
      <c r="E69" s="8">
        <v>3.23</v>
      </c>
      <c r="F69" s="7">
        <v>53527217</v>
      </c>
      <c r="G69" s="7">
        <v>55031337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53527217</v>
      </c>
      <c r="O69" s="7">
        <v>55031337</v>
      </c>
      <c r="P69" s="8">
        <v>2.81</v>
      </c>
      <c r="Q69" s="7">
        <v>1399888</v>
      </c>
      <c r="R69" s="7">
        <v>1778207</v>
      </c>
      <c r="S69" s="7">
        <v>52146425</v>
      </c>
      <c r="T69" s="7">
        <v>53255688</v>
      </c>
      <c r="U69" s="7">
        <v>52127329</v>
      </c>
      <c r="V69" s="7">
        <v>53253130</v>
      </c>
      <c r="W69" s="7">
        <v>19096</v>
      </c>
      <c r="X69" s="7">
        <v>2558</v>
      </c>
      <c r="Y69" s="7">
        <v>3734</v>
      </c>
      <c r="Z69" s="7">
        <v>3797</v>
      </c>
      <c r="AA69" s="8">
        <v>1.69</v>
      </c>
      <c r="AB69" s="7">
        <v>17972120</v>
      </c>
      <c r="AC69" s="7">
        <v>16172120</v>
      </c>
      <c r="AD69" s="7">
        <v>3406442</v>
      </c>
      <c r="AE69" s="7">
        <v>3706442</v>
      </c>
      <c r="AF69" s="7">
        <v>3437954</v>
      </c>
      <c r="AG69" s="7">
        <v>3500000</v>
      </c>
      <c r="AH69" s="8">
        <v>3.94</v>
      </c>
      <c r="AI69" s="8">
        <v>3.89</v>
      </c>
    </row>
    <row r="70" spans="1:35" x14ac:dyDescent="0.25">
      <c r="A70" s="6" t="str">
        <f>"490202"</f>
        <v>490202</v>
      </c>
      <c r="B70" s="6" t="s">
        <v>105</v>
      </c>
      <c r="C70" s="7">
        <v>23105290</v>
      </c>
      <c r="D70" s="7">
        <v>23587405</v>
      </c>
      <c r="E70" s="8">
        <v>2.09</v>
      </c>
      <c r="F70" s="7">
        <v>12114735</v>
      </c>
      <c r="G70" s="7">
        <v>12351993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12114735</v>
      </c>
      <c r="O70" s="7">
        <v>12351993</v>
      </c>
      <c r="P70" s="8">
        <v>1.96</v>
      </c>
      <c r="Q70" s="7">
        <v>0</v>
      </c>
      <c r="R70" s="7">
        <v>0</v>
      </c>
      <c r="S70" s="7">
        <v>12114735</v>
      </c>
      <c r="T70" s="7">
        <v>12351993</v>
      </c>
      <c r="U70" s="7">
        <v>12114735</v>
      </c>
      <c r="V70" s="7">
        <v>12351993</v>
      </c>
      <c r="W70" s="7">
        <v>0</v>
      </c>
      <c r="X70" s="7">
        <v>0</v>
      </c>
      <c r="Y70" s="7">
        <v>1190</v>
      </c>
      <c r="Z70" s="7">
        <v>1180</v>
      </c>
      <c r="AA70" s="8">
        <v>-0.84</v>
      </c>
      <c r="AB70" s="7">
        <v>3202659</v>
      </c>
      <c r="AC70" s="7">
        <v>3202659</v>
      </c>
      <c r="AD70" s="7">
        <v>650000</v>
      </c>
      <c r="AE70" s="7">
        <v>650000</v>
      </c>
      <c r="AF70" s="7">
        <v>924211</v>
      </c>
      <c r="AG70" s="7">
        <v>943496</v>
      </c>
      <c r="AH70" s="8">
        <v>4</v>
      </c>
      <c r="AI70" s="8">
        <v>4</v>
      </c>
    </row>
    <row r="71" spans="1:35" x14ac:dyDescent="0.25">
      <c r="A71" s="6" t="str">
        <f>"161601"</f>
        <v>161601</v>
      </c>
      <c r="B71" s="6" t="s">
        <v>106</v>
      </c>
      <c r="C71" s="7">
        <v>18204866</v>
      </c>
      <c r="D71" s="7">
        <v>18243732</v>
      </c>
      <c r="E71" s="8">
        <v>0.21</v>
      </c>
      <c r="F71" s="7">
        <v>2905109</v>
      </c>
      <c r="G71" s="7">
        <v>2960306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2905109</v>
      </c>
      <c r="O71" s="7">
        <v>2960306</v>
      </c>
      <c r="P71" s="8">
        <v>1.9</v>
      </c>
      <c r="Q71" s="7">
        <v>0</v>
      </c>
      <c r="R71" s="7">
        <v>0</v>
      </c>
      <c r="S71" s="7">
        <v>2905109</v>
      </c>
      <c r="T71" s="7">
        <v>2964070</v>
      </c>
      <c r="U71" s="7">
        <v>2905109</v>
      </c>
      <c r="V71" s="7">
        <v>2960306</v>
      </c>
      <c r="W71" s="7">
        <v>0</v>
      </c>
      <c r="X71" s="7">
        <v>3764</v>
      </c>
      <c r="Y71" s="7">
        <v>807</v>
      </c>
      <c r="Z71" s="7">
        <v>800</v>
      </c>
      <c r="AA71" s="8">
        <v>-0.87</v>
      </c>
      <c r="AB71" s="7">
        <v>2165398</v>
      </c>
      <c r="AC71" s="7">
        <v>3451231</v>
      </c>
      <c r="AD71" s="7">
        <v>569076</v>
      </c>
      <c r="AE71" s="7">
        <v>465543</v>
      </c>
      <c r="AF71" s="7">
        <v>2927424</v>
      </c>
      <c r="AG71" s="7">
        <v>1879522</v>
      </c>
      <c r="AH71" s="8">
        <v>16.079999999999998</v>
      </c>
      <c r="AI71" s="8">
        <v>10.3</v>
      </c>
    </row>
    <row r="72" spans="1:35" x14ac:dyDescent="0.25">
      <c r="A72" s="6" t="str">
        <f>"520101"</f>
        <v>520101</v>
      </c>
      <c r="B72" s="6" t="s">
        <v>107</v>
      </c>
      <c r="C72" s="7">
        <v>63905956</v>
      </c>
      <c r="D72" s="7">
        <v>65492019</v>
      </c>
      <c r="E72" s="8">
        <v>2.48</v>
      </c>
      <c r="F72" s="7">
        <v>38132693</v>
      </c>
      <c r="G72" s="7">
        <v>38882000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38132693</v>
      </c>
      <c r="O72" s="7">
        <v>38882000</v>
      </c>
      <c r="P72" s="8">
        <v>1.96</v>
      </c>
      <c r="Q72" s="7">
        <v>994560</v>
      </c>
      <c r="R72" s="7">
        <v>1078473</v>
      </c>
      <c r="S72" s="7">
        <v>37184171</v>
      </c>
      <c r="T72" s="7">
        <v>37899645</v>
      </c>
      <c r="U72" s="7">
        <v>37138133</v>
      </c>
      <c r="V72" s="7">
        <v>37803527</v>
      </c>
      <c r="W72" s="7">
        <v>46038</v>
      </c>
      <c r="X72" s="7">
        <v>96118</v>
      </c>
      <c r="Y72" s="7">
        <v>3077</v>
      </c>
      <c r="Z72" s="7">
        <v>3102</v>
      </c>
      <c r="AA72" s="8">
        <v>0.81</v>
      </c>
      <c r="AB72" s="7">
        <v>8051327</v>
      </c>
      <c r="AC72" s="7">
        <v>6951327</v>
      </c>
      <c r="AD72" s="7">
        <v>2335000</v>
      </c>
      <c r="AE72" s="7">
        <v>2335000</v>
      </c>
      <c r="AF72" s="7">
        <v>2556196</v>
      </c>
      <c r="AG72" s="7">
        <v>2619600</v>
      </c>
      <c r="AH72" s="8">
        <v>4</v>
      </c>
      <c r="AI72" s="8">
        <v>4</v>
      </c>
    </row>
    <row r="73" spans="1:35" x14ac:dyDescent="0.25">
      <c r="A73" s="6" t="str">
        <f>"661201"</f>
        <v>661201</v>
      </c>
      <c r="B73" s="6" t="s">
        <v>108</v>
      </c>
      <c r="C73" s="7">
        <v>89881446</v>
      </c>
      <c r="D73" s="7">
        <v>90590230</v>
      </c>
      <c r="E73" s="8">
        <v>0.79</v>
      </c>
      <c r="F73" s="7">
        <v>77708495</v>
      </c>
      <c r="G73" s="7">
        <v>78562474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77708495</v>
      </c>
      <c r="O73" s="7">
        <v>78562474</v>
      </c>
      <c r="P73" s="8">
        <v>1.1000000000000001</v>
      </c>
      <c r="Q73" s="7">
        <v>6485980</v>
      </c>
      <c r="R73" s="7">
        <v>6169915</v>
      </c>
      <c r="S73" s="7">
        <v>71238120</v>
      </c>
      <c r="T73" s="7">
        <v>72431048</v>
      </c>
      <c r="U73" s="7">
        <v>71222515</v>
      </c>
      <c r="V73" s="7">
        <v>72392559</v>
      </c>
      <c r="W73" s="7">
        <v>15605</v>
      </c>
      <c r="X73" s="7">
        <v>38489</v>
      </c>
      <c r="Y73" s="7">
        <v>2374</v>
      </c>
      <c r="Z73" s="7">
        <v>2305</v>
      </c>
      <c r="AA73" s="8">
        <v>-2.91</v>
      </c>
      <c r="AB73" s="7">
        <v>17431111</v>
      </c>
      <c r="AC73" s="7">
        <v>18931111</v>
      </c>
      <c r="AD73" s="7">
        <v>3752158</v>
      </c>
      <c r="AE73" s="7">
        <v>3009353</v>
      </c>
      <c r="AF73" s="7">
        <v>3595257</v>
      </c>
      <c r="AG73" s="7">
        <v>3614550</v>
      </c>
      <c r="AH73" s="8">
        <v>4</v>
      </c>
      <c r="AI73" s="8">
        <v>3.99</v>
      </c>
    </row>
    <row r="74" spans="1:35" x14ac:dyDescent="0.25">
      <c r="A74" s="6" t="str">
        <f>"180701"</f>
        <v>180701</v>
      </c>
      <c r="B74" s="6" t="s">
        <v>109</v>
      </c>
      <c r="C74" s="7">
        <v>22874538</v>
      </c>
      <c r="D74" s="7">
        <v>22767497</v>
      </c>
      <c r="E74" s="8">
        <v>-0.47</v>
      </c>
      <c r="F74" s="7">
        <v>8377337</v>
      </c>
      <c r="G74" s="7">
        <v>8529841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8377337</v>
      </c>
      <c r="O74" s="7">
        <v>8529841</v>
      </c>
      <c r="P74" s="8">
        <v>1.82</v>
      </c>
      <c r="Q74" s="7">
        <v>343623</v>
      </c>
      <c r="R74" s="7">
        <v>356633</v>
      </c>
      <c r="S74" s="7">
        <v>8033714</v>
      </c>
      <c r="T74" s="7">
        <v>8173208</v>
      </c>
      <c r="U74" s="7">
        <v>8033714</v>
      </c>
      <c r="V74" s="7">
        <v>8173208</v>
      </c>
      <c r="W74" s="7">
        <v>0</v>
      </c>
      <c r="X74" s="7">
        <v>0</v>
      </c>
      <c r="Y74" s="7">
        <v>954</v>
      </c>
      <c r="Z74" s="7">
        <v>934</v>
      </c>
      <c r="AA74" s="8">
        <v>-2.1</v>
      </c>
      <c r="AB74" s="7">
        <v>3696636</v>
      </c>
      <c r="AC74" s="7">
        <v>3700000</v>
      </c>
      <c r="AD74" s="7">
        <v>751817</v>
      </c>
      <c r="AE74" s="7">
        <v>150000</v>
      </c>
      <c r="AF74" s="7">
        <v>911061</v>
      </c>
      <c r="AG74" s="7">
        <v>912000</v>
      </c>
      <c r="AH74" s="8">
        <v>3.98</v>
      </c>
      <c r="AI74" s="8">
        <v>4.01</v>
      </c>
    </row>
    <row r="75" spans="1:35" x14ac:dyDescent="0.25">
      <c r="A75" s="6" t="str">
        <f>"190301"</f>
        <v>190301</v>
      </c>
      <c r="B75" s="6" t="s">
        <v>110</v>
      </c>
      <c r="C75" s="7">
        <v>28966155</v>
      </c>
      <c r="D75" s="7">
        <v>30103377</v>
      </c>
      <c r="E75" s="8">
        <v>3.93</v>
      </c>
      <c r="F75" s="7">
        <v>13147417</v>
      </c>
      <c r="G75" s="7">
        <v>13484703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13147417</v>
      </c>
      <c r="O75" s="7">
        <v>13484703</v>
      </c>
      <c r="P75" s="8">
        <v>2.57</v>
      </c>
      <c r="Q75" s="7">
        <v>353407</v>
      </c>
      <c r="R75" s="7">
        <v>403004</v>
      </c>
      <c r="S75" s="7">
        <v>12794010</v>
      </c>
      <c r="T75" s="7">
        <v>13081699</v>
      </c>
      <c r="U75" s="7">
        <v>12794010</v>
      </c>
      <c r="V75" s="7">
        <v>13081699</v>
      </c>
      <c r="W75" s="7">
        <v>0</v>
      </c>
      <c r="X75" s="7">
        <v>0</v>
      </c>
      <c r="Y75" s="7">
        <v>1263</v>
      </c>
      <c r="Z75" s="7">
        <v>1254</v>
      </c>
      <c r="AA75" s="8">
        <v>-0.71</v>
      </c>
      <c r="AB75" s="7">
        <v>4231193</v>
      </c>
      <c r="AC75" s="7">
        <v>4031193</v>
      </c>
      <c r="AD75" s="7">
        <v>2560200</v>
      </c>
      <c r="AE75" s="7">
        <v>2400000</v>
      </c>
      <c r="AF75" s="7">
        <v>1389373</v>
      </c>
      <c r="AG75" s="7">
        <v>1204135</v>
      </c>
      <c r="AH75" s="8">
        <v>4.8</v>
      </c>
      <c r="AI75" s="8">
        <v>4</v>
      </c>
    </row>
    <row r="76" spans="1:35" x14ac:dyDescent="0.25">
      <c r="A76" s="6" t="str">
        <f>"240201"</f>
        <v>240201</v>
      </c>
      <c r="B76" s="6" t="s">
        <v>111</v>
      </c>
      <c r="C76" s="7">
        <v>17146664</v>
      </c>
      <c r="D76" s="7">
        <v>17708789</v>
      </c>
      <c r="E76" s="8">
        <v>3.28</v>
      </c>
      <c r="F76" s="7">
        <v>6777783</v>
      </c>
      <c r="G76" s="7">
        <v>6912661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6777783</v>
      </c>
      <c r="O76" s="7">
        <v>6912661</v>
      </c>
      <c r="P76" s="8">
        <v>1.99</v>
      </c>
      <c r="Q76" s="7">
        <v>162383</v>
      </c>
      <c r="R76" s="7">
        <v>165630</v>
      </c>
      <c r="S76" s="7">
        <v>6682408</v>
      </c>
      <c r="T76" s="7">
        <v>6751099</v>
      </c>
      <c r="U76" s="7">
        <v>6615400</v>
      </c>
      <c r="V76" s="7">
        <v>6747031</v>
      </c>
      <c r="W76" s="7">
        <v>67008</v>
      </c>
      <c r="X76" s="7">
        <v>4068</v>
      </c>
      <c r="Y76" s="7">
        <v>795</v>
      </c>
      <c r="Z76" s="7">
        <v>806</v>
      </c>
      <c r="AA76" s="8">
        <v>1.38</v>
      </c>
      <c r="AB76" s="7">
        <v>1600000</v>
      </c>
      <c r="AC76" s="7">
        <v>1700000</v>
      </c>
      <c r="AD76" s="7">
        <v>365000</v>
      </c>
      <c r="AE76" s="7">
        <v>365000</v>
      </c>
      <c r="AF76" s="7">
        <v>630000</v>
      </c>
      <c r="AG76" s="7">
        <v>635000</v>
      </c>
      <c r="AH76" s="8">
        <v>3.67</v>
      </c>
      <c r="AI76" s="8">
        <v>3.59</v>
      </c>
    </row>
    <row r="77" spans="1:35" x14ac:dyDescent="0.25">
      <c r="A77" s="6" t="str">
        <f>"641610"</f>
        <v>641610</v>
      </c>
      <c r="B77" s="6" t="s">
        <v>112</v>
      </c>
      <c r="C77" s="7">
        <v>20582575</v>
      </c>
      <c r="D77" s="7">
        <v>20793846</v>
      </c>
      <c r="E77" s="8">
        <v>1.03</v>
      </c>
      <c r="F77" s="7">
        <v>8424847</v>
      </c>
      <c r="G77" s="7">
        <v>8676588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8424847</v>
      </c>
      <c r="O77" s="7">
        <v>8676588</v>
      </c>
      <c r="P77" s="8">
        <v>2.99</v>
      </c>
      <c r="Q77" s="7">
        <v>565553</v>
      </c>
      <c r="R77" s="7">
        <v>696120</v>
      </c>
      <c r="S77" s="7">
        <v>7859294</v>
      </c>
      <c r="T77" s="7">
        <v>8006468</v>
      </c>
      <c r="U77" s="7">
        <v>7859294</v>
      </c>
      <c r="V77" s="7">
        <v>7980468</v>
      </c>
      <c r="W77" s="7">
        <v>0</v>
      </c>
      <c r="X77" s="7">
        <v>26000</v>
      </c>
      <c r="Y77" s="7">
        <v>884</v>
      </c>
      <c r="Z77" s="7">
        <v>888</v>
      </c>
      <c r="AA77" s="8">
        <v>0.45</v>
      </c>
      <c r="AB77" s="7">
        <v>763969</v>
      </c>
      <c r="AC77" s="7">
        <v>707219</v>
      </c>
      <c r="AD77" s="7">
        <v>700000</v>
      </c>
      <c r="AE77" s="7">
        <v>600000</v>
      </c>
      <c r="AF77" s="7">
        <v>822263</v>
      </c>
      <c r="AG77" s="7">
        <v>825000</v>
      </c>
      <c r="AH77" s="8">
        <v>3.99</v>
      </c>
      <c r="AI77" s="8">
        <v>3.97</v>
      </c>
    </row>
    <row r="78" spans="1:35" x14ac:dyDescent="0.25">
      <c r="A78" s="6" t="str">
        <f>"410601"</f>
        <v>410601</v>
      </c>
      <c r="B78" s="6" t="s">
        <v>113</v>
      </c>
      <c r="C78" s="7">
        <v>51735400</v>
      </c>
      <c r="D78" s="7">
        <v>51981145</v>
      </c>
      <c r="E78" s="8">
        <v>0.48</v>
      </c>
      <c r="F78" s="7">
        <v>10287990</v>
      </c>
      <c r="G78" s="7">
        <v>10488456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10287990</v>
      </c>
      <c r="O78" s="7">
        <v>10488456</v>
      </c>
      <c r="P78" s="8">
        <v>1.95</v>
      </c>
      <c r="Q78" s="7">
        <v>416575</v>
      </c>
      <c r="R78" s="7">
        <v>372593</v>
      </c>
      <c r="S78" s="7">
        <v>10261073</v>
      </c>
      <c r="T78" s="7">
        <v>10115863</v>
      </c>
      <c r="U78" s="7">
        <v>9871415</v>
      </c>
      <c r="V78" s="7">
        <v>10115863</v>
      </c>
      <c r="W78" s="7">
        <v>389658</v>
      </c>
      <c r="X78" s="7">
        <v>0</v>
      </c>
      <c r="Y78" s="7">
        <v>2214</v>
      </c>
      <c r="Z78" s="7">
        <v>2174</v>
      </c>
      <c r="AA78" s="8">
        <v>-1.81</v>
      </c>
      <c r="AB78" s="7">
        <v>4273084</v>
      </c>
      <c r="AC78" s="7">
        <v>3643427</v>
      </c>
      <c r="AD78" s="7">
        <v>2247931</v>
      </c>
      <c r="AE78" s="7">
        <v>1121289</v>
      </c>
      <c r="AF78" s="7">
        <v>1951421</v>
      </c>
      <c r="AG78" s="7">
        <v>2478063</v>
      </c>
      <c r="AH78" s="8">
        <v>3.77</v>
      </c>
      <c r="AI78" s="8">
        <v>4.7699999999999996</v>
      </c>
    </row>
    <row r="79" spans="1:35" x14ac:dyDescent="0.25">
      <c r="A79" s="6" t="str">
        <f>"570603"</f>
        <v>570603</v>
      </c>
      <c r="B79" s="6" t="s">
        <v>114</v>
      </c>
      <c r="C79" s="7">
        <v>22036998</v>
      </c>
      <c r="D79" s="7">
        <v>22036998</v>
      </c>
      <c r="E79" s="8">
        <v>0</v>
      </c>
      <c r="F79" s="7">
        <v>4814182</v>
      </c>
      <c r="G79" s="7">
        <v>4910414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4814182</v>
      </c>
      <c r="O79" s="7">
        <v>4910414</v>
      </c>
      <c r="P79" s="8">
        <v>2</v>
      </c>
      <c r="Q79" s="7">
        <v>0</v>
      </c>
      <c r="R79" s="7">
        <v>0</v>
      </c>
      <c r="S79" s="7">
        <v>4814182</v>
      </c>
      <c r="T79" s="7">
        <v>4910414</v>
      </c>
      <c r="U79" s="7">
        <v>4814182</v>
      </c>
      <c r="V79" s="7">
        <v>4910414</v>
      </c>
      <c r="W79" s="7">
        <v>0</v>
      </c>
      <c r="X79" s="7">
        <v>0</v>
      </c>
      <c r="Y79" s="7">
        <v>837</v>
      </c>
      <c r="Z79" s="7">
        <v>813</v>
      </c>
      <c r="AA79" s="8">
        <v>-2.87</v>
      </c>
      <c r="AB79" s="7">
        <v>982653</v>
      </c>
      <c r="AC79" s="7">
        <v>1003387</v>
      </c>
      <c r="AD79" s="7">
        <v>420734</v>
      </c>
      <c r="AE79" s="7">
        <v>325000</v>
      </c>
      <c r="AF79" s="7">
        <v>826328</v>
      </c>
      <c r="AG79" s="7">
        <v>881480</v>
      </c>
      <c r="AH79" s="8">
        <v>3.75</v>
      </c>
      <c r="AI79" s="8">
        <v>4</v>
      </c>
    </row>
    <row r="80" spans="1:35" x14ac:dyDescent="0.25">
      <c r="A80" s="6" t="str">
        <f>"270301"</f>
        <v>270301</v>
      </c>
      <c r="B80" s="6" t="s">
        <v>115</v>
      </c>
      <c r="C80" s="7">
        <v>21344710</v>
      </c>
      <c r="D80" s="7">
        <v>21885850</v>
      </c>
      <c r="E80" s="8">
        <v>2.54</v>
      </c>
      <c r="F80" s="7">
        <v>6982081</v>
      </c>
      <c r="G80" s="7">
        <v>7089074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6982081</v>
      </c>
      <c r="O80" s="7">
        <v>7089074</v>
      </c>
      <c r="P80" s="8">
        <v>1.53</v>
      </c>
      <c r="Q80" s="7">
        <v>0</v>
      </c>
      <c r="R80" s="7">
        <v>0</v>
      </c>
      <c r="S80" s="7">
        <v>6982081</v>
      </c>
      <c r="T80" s="7">
        <v>7089074</v>
      </c>
      <c r="U80" s="7">
        <v>6982081</v>
      </c>
      <c r="V80" s="7">
        <v>7089074</v>
      </c>
      <c r="W80" s="7">
        <v>0</v>
      </c>
      <c r="X80" s="7">
        <v>0</v>
      </c>
      <c r="Y80" s="7">
        <v>966</v>
      </c>
      <c r="Z80" s="7">
        <v>960</v>
      </c>
      <c r="AA80" s="8">
        <v>-0.62</v>
      </c>
      <c r="AB80" s="7">
        <v>2395779</v>
      </c>
      <c r="AC80" s="7">
        <v>2020779</v>
      </c>
      <c r="AD80" s="7">
        <v>1239236</v>
      </c>
      <c r="AE80" s="7">
        <v>825000</v>
      </c>
      <c r="AF80" s="7">
        <v>1629903</v>
      </c>
      <c r="AG80" s="7">
        <v>1630000</v>
      </c>
      <c r="AH80" s="8">
        <v>7.64</v>
      </c>
      <c r="AI80" s="8">
        <v>7.45</v>
      </c>
    </row>
    <row r="81" spans="1:35" x14ac:dyDescent="0.25">
      <c r="A81" s="6" t="str">
        <f>"430300"</f>
        <v>430300</v>
      </c>
      <c r="B81" s="6" t="s">
        <v>116</v>
      </c>
      <c r="C81" s="7">
        <v>71881434</v>
      </c>
      <c r="D81" s="7">
        <v>73926409</v>
      </c>
      <c r="E81" s="8">
        <v>2.84</v>
      </c>
      <c r="F81" s="7">
        <v>43253522</v>
      </c>
      <c r="G81" s="7">
        <v>44330359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43253522</v>
      </c>
      <c r="O81" s="7">
        <v>44330359</v>
      </c>
      <c r="P81" s="8">
        <v>2.4900000000000002</v>
      </c>
      <c r="Q81" s="7">
        <v>1172899</v>
      </c>
      <c r="R81" s="7">
        <v>1400150</v>
      </c>
      <c r="S81" s="7">
        <v>42337055</v>
      </c>
      <c r="T81" s="7">
        <v>43339990</v>
      </c>
      <c r="U81" s="7">
        <v>42080623</v>
      </c>
      <c r="V81" s="7">
        <v>42930209</v>
      </c>
      <c r="W81" s="7">
        <v>256432</v>
      </c>
      <c r="X81" s="7">
        <v>409781</v>
      </c>
      <c r="Y81" s="7">
        <v>3625</v>
      </c>
      <c r="Z81" s="7">
        <v>3587</v>
      </c>
      <c r="AA81" s="8">
        <v>-1.05</v>
      </c>
      <c r="AB81" s="7">
        <v>9704495</v>
      </c>
      <c r="AC81" s="7">
        <v>8836897</v>
      </c>
      <c r="AD81" s="7">
        <v>269601</v>
      </c>
      <c r="AE81" s="7">
        <v>755000</v>
      </c>
      <c r="AF81" s="7">
        <v>2875257</v>
      </c>
      <c r="AG81" s="7">
        <v>2959856</v>
      </c>
      <c r="AH81" s="8">
        <v>4</v>
      </c>
      <c r="AI81" s="8">
        <v>4</v>
      </c>
    </row>
    <row r="82" spans="1:35" x14ac:dyDescent="0.25">
      <c r="A82" s="6" t="str">
        <f>"021102"</f>
        <v>021102</v>
      </c>
      <c r="B82" s="6" t="s">
        <v>117</v>
      </c>
      <c r="C82" s="7">
        <v>7218236</v>
      </c>
      <c r="D82" s="7">
        <v>7231120</v>
      </c>
      <c r="E82" s="8">
        <v>0.18</v>
      </c>
      <c r="F82" s="7">
        <v>1936312</v>
      </c>
      <c r="G82" s="7">
        <v>1966007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1936312</v>
      </c>
      <c r="O82" s="7">
        <v>1966007</v>
      </c>
      <c r="P82" s="8">
        <v>1.53</v>
      </c>
      <c r="Q82" s="7">
        <v>0</v>
      </c>
      <c r="R82" s="7">
        <v>0</v>
      </c>
      <c r="S82" s="7">
        <v>1936312</v>
      </c>
      <c r="T82" s="7">
        <v>1966007</v>
      </c>
      <c r="U82" s="7">
        <v>1936312</v>
      </c>
      <c r="V82" s="7">
        <v>1966007</v>
      </c>
      <c r="W82" s="7">
        <v>0</v>
      </c>
      <c r="X82" s="7">
        <v>0</v>
      </c>
      <c r="Y82" s="7">
        <v>220</v>
      </c>
      <c r="Z82" s="7">
        <v>220</v>
      </c>
      <c r="AA82" s="8">
        <v>0</v>
      </c>
      <c r="AB82" s="7">
        <v>3022569</v>
      </c>
      <c r="AC82" s="7">
        <v>2943769</v>
      </c>
      <c r="AD82" s="7">
        <v>284500</v>
      </c>
      <c r="AE82" s="7">
        <v>398540</v>
      </c>
      <c r="AF82" s="7">
        <v>432270</v>
      </c>
      <c r="AG82" s="7">
        <v>372270</v>
      </c>
      <c r="AH82" s="8">
        <v>5.99</v>
      </c>
      <c r="AI82" s="8">
        <v>5.15</v>
      </c>
    </row>
    <row r="83" spans="1:35" x14ac:dyDescent="0.25">
      <c r="A83" s="6" t="str">
        <f>"250901"</f>
        <v>250901</v>
      </c>
      <c r="B83" s="6" t="s">
        <v>118</v>
      </c>
      <c r="C83" s="7">
        <v>28605351</v>
      </c>
      <c r="D83" s="7">
        <v>29506361</v>
      </c>
      <c r="E83" s="8">
        <v>3.15</v>
      </c>
      <c r="F83" s="7">
        <v>11549046</v>
      </c>
      <c r="G83" s="7">
        <v>11740000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11549046</v>
      </c>
      <c r="O83" s="7">
        <v>11740000</v>
      </c>
      <c r="P83" s="8">
        <v>1.65</v>
      </c>
      <c r="Q83" s="7">
        <v>352055</v>
      </c>
      <c r="R83" s="7">
        <v>193054</v>
      </c>
      <c r="S83" s="7">
        <v>11196991</v>
      </c>
      <c r="T83" s="7">
        <v>11546946</v>
      </c>
      <c r="U83" s="7">
        <v>11196991</v>
      </c>
      <c r="V83" s="7">
        <v>11546946</v>
      </c>
      <c r="W83" s="7">
        <v>0</v>
      </c>
      <c r="X83" s="7">
        <v>0</v>
      </c>
      <c r="Y83" s="7">
        <v>1545</v>
      </c>
      <c r="Z83" s="7">
        <v>1540</v>
      </c>
      <c r="AA83" s="8">
        <v>-0.32</v>
      </c>
      <c r="AB83" s="7">
        <v>7772415</v>
      </c>
      <c r="AC83" s="7">
        <v>7200000</v>
      </c>
      <c r="AD83" s="7">
        <v>1017334</v>
      </c>
      <c r="AE83" s="7">
        <v>1000000</v>
      </c>
      <c r="AF83" s="7">
        <v>1105500</v>
      </c>
      <c r="AG83" s="7">
        <v>1180200</v>
      </c>
      <c r="AH83" s="8">
        <v>3.86</v>
      </c>
      <c r="AI83" s="8">
        <v>4</v>
      </c>
    </row>
    <row r="84" spans="1:35" x14ac:dyDescent="0.25">
      <c r="A84" s="6" t="str">
        <f>"600301"</f>
        <v>600301</v>
      </c>
      <c r="B84" s="6" t="s">
        <v>119</v>
      </c>
      <c r="C84" s="7">
        <v>17907479</v>
      </c>
      <c r="D84" s="7">
        <v>18756815</v>
      </c>
      <c r="E84" s="8">
        <v>4.74</v>
      </c>
      <c r="F84" s="7">
        <v>5349015</v>
      </c>
      <c r="G84" s="7">
        <v>5554417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5349015</v>
      </c>
      <c r="O84" s="7">
        <v>5554417</v>
      </c>
      <c r="P84" s="8">
        <v>3.84</v>
      </c>
      <c r="Q84" s="7">
        <v>0</v>
      </c>
      <c r="R84" s="7">
        <v>100428</v>
      </c>
      <c r="S84" s="7">
        <v>5349015</v>
      </c>
      <c r="T84" s="7">
        <v>5464077</v>
      </c>
      <c r="U84" s="7">
        <v>5349015</v>
      </c>
      <c r="V84" s="7">
        <v>5453989</v>
      </c>
      <c r="W84" s="7">
        <v>0</v>
      </c>
      <c r="X84" s="7">
        <v>10088</v>
      </c>
      <c r="Y84" s="7">
        <v>735</v>
      </c>
      <c r="Z84" s="7">
        <v>750</v>
      </c>
      <c r="AA84" s="8">
        <v>2.04</v>
      </c>
      <c r="AB84" s="7">
        <v>2469757</v>
      </c>
      <c r="AC84" s="7">
        <v>2563000</v>
      </c>
      <c r="AD84" s="7">
        <v>450000</v>
      </c>
      <c r="AE84" s="7">
        <v>250000</v>
      </c>
      <c r="AF84" s="7">
        <v>1047306</v>
      </c>
      <c r="AG84" s="7">
        <v>750273</v>
      </c>
      <c r="AH84" s="8">
        <v>5.85</v>
      </c>
      <c r="AI84" s="8">
        <v>4</v>
      </c>
    </row>
    <row r="85" spans="1:35" x14ac:dyDescent="0.25">
      <c r="A85" s="6" t="str">
        <f>"571502"</f>
        <v>571502</v>
      </c>
      <c r="B85" s="6" t="s">
        <v>120</v>
      </c>
      <c r="C85" s="7">
        <v>23129936</v>
      </c>
      <c r="D85" s="7">
        <v>23306620</v>
      </c>
      <c r="E85" s="8">
        <v>0.76</v>
      </c>
      <c r="F85" s="7">
        <v>5321677</v>
      </c>
      <c r="G85" s="7">
        <v>5321677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5321677</v>
      </c>
      <c r="O85" s="7">
        <v>5321677</v>
      </c>
      <c r="P85" s="8">
        <v>0</v>
      </c>
      <c r="Q85" s="7">
        <v>0</v>
      </c>
      <c r="R85" s="7">
        <v>0</v>
      </c>
      <c r="S85" s="7">
        <v>5167667</v>
      </c>
      <c r="T85" s="7">
        <v>5391265</v>
      </c>
      <c r="U85" s="7">
        <v>5321677</v>
      </c>
      <c r="V85" s="7">
        <v>5321677</v>
      </c>
      <c r="W85" s="7">
        <v>-154010</v>
      </c>
      <c r="X85" s="7">
        <v>69588</v>
      </c>
      <c r="Y85" s="7">
        <v>989</v>
      </c>
      <c r="Z85" s="7">
        <v>991</v>
      </c>
      <c r="AA85" s="8">
        <v>0.2</v>
      </c>
      <c r="AB85" s="7">
        <v>5580451</v>
      </c>
      <c r="AC85" s="7">
        <v>5738244</v>
      </c>
      <c r="AD85" s="7">
        <v>1150124</v>
      </c>
      <c r="AE85" s="7">
        <v>700301</v>
      </c>
      <c r="AF85" s="7">
        <v>4473924</v>
      </c>
      <c r="AG85" s="7">
        <v>6119886</v>
      </c>
      <c r="AH85" s="8">
        <v>19.34</v>
      </c>
      <c r="AI85" s="8">
        <v>26.26</v>
      </c>
    </row>
    <row r="86" spans="1:35" x14ac:dyDescent="0.25">
      <c r="A86" s="6" t="str">
        <f>"510201"</f>
        <v>510201</v>
      </c>
      <c r="B86" s="6" t="s">
        <v>121</v>
      </c>
      <c r="C86" s="7">
        <v>28451598</v>
      </c>
      <c r="D86" s="7">
        <v>29149718</v>
      </c>
      <c r="E86" s="8">
        <v>2.4500000000000002</v>
      </c>
      <c r="F86" s="7">
        <v>9176363</v>
      </c>
      <c r="G86" s="7">
        <v>9428260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9176363</v>
      </c>
      <c r="O86" s="7">
        <v>9428260</v>
      </c>
      <c r="P86" s="8">
        <v>2.75</v>
      </c>
      <c r="Q86" s="7">
        <v>245706</v>
      </c>
      <c r="R86" s="7">
        <v>306844</v>
      </c>
      <c r="S86" s="7">
        <v>8930657</v>
      </c>
      <c r="T86" s="7">
        <v>9121416</v>
      </c>
      <c r="U86" s="7">
        <v>8930657</v>
      </c>
      <c r="V86" s="7">
        <v>9121416</v>
      </c>
      <c r="W86" s="7">
        <v>0</v>
      </c>
      <c r="X86" s="7">
        <v>0</v>
      </c>
      <c r="Y86" s="7">
        <v>1240</v>
      </c>
      <c r="Z86" s="7">
        <v>1220</v>
      </c>
      <c r="AA86" s="8">
        <v>-1.61</v>
      </c>
      <c r="AB86" s="7">
        <v>740930</v>
      </c>
      <c r="AC86" s="7">
        <v>740930</v>
      </c>
      <c r="AD86" s="7">
        <v>1574625</v>
      </c>
      <c r="AE86" s="7">
        <v>2052174</v>
      </c>
      <c r="AF86" s="7">
        <v>1710930</v>
      </c>
      <c r="AG86" s="7">
        <v>1490243</v>
      </c>
      <c r="AH86" s="8">
        <v>6.01</v>
      </c>
      <c r="AI86" s="8">
        <v>5.1100000000000003</v>
      </c>
    </row>
    <row r="87" spans="1:35" x14ac:dyDescent="0.25">
      <c r="A87" s="6" t="str">
        <f>"280411"</f>
        <v>280411</v>
      </c>
      <c r="B87" s="6" t="s">
        <v>122</v>
      </c>
      <c r="C87" s="7">
        <v>48466946</v>
      </c>
      <c r="D87" s="7">
        <v>49279492</v>
      </c>
      <c r="E87" s="8">
        <v>1.68</v>
      </c>
      <c r="F87" s="7">
        <v>41398350</v>
      </c>
      <c r="G87" s="7">
        <v>41690546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41398350</v>
      </c>
      <c r="O87" s="7">
        <v>41690546</v>
      </c>
      <c r="P87" s="8">
        <v>0.71</v>
      </c>
      <c r="Q87" s="7">
        <v>726791</v>
      </c>
      <c r="R87" s="7">
        <v>388769</v>
      </c>
      <c r="S87" s="7">
        <v>40672199</v>
      </c>
      <c r="T87" s="7">
        <v>41356605</v>
      </c>
      <c r="U87" s="7">
        <v>40671559</v>
      </c>
      <c r="V87" s="7">
        <v>41301777</v>
      </c>
      <c r="W87" s="7">
        <v>640</v>
      </c>
      <c r="X87" s="7">
        <v>54828</v>
      </c>
      <c r="Y87" s="7">
        <v>1359</v>
      </c>
      <c r="Z87" s="7">
        <v>1340</v>
      </c>
      <c r="AA87" s="8">
        <v>-1.4</v>
      </c>
      <c r="AB87" s="7">
        <v>10008888</v>
      </c>
      <c r="AC87" s="7">
        <v>9000000</v>
      </c>
      <c r="AD87" s="7">
        <v>300000</v>
      </c>
      <c r="AE87" s="7">
        <v>300000</v>
      </c>
      <c r="AF87" s="7">
        <v>1938678</v>
      </c>
      <c r="AG87" s="7">
        <v>1972900</v>
      </c>
      <c r="AH87" s="8">
        <v>4</v>
      </c>
      <c r="AI87" s="8">
        <v>4</v>
      </c>
    </row>
    <row r="88" spans="1:35" x14ac:dyDescent="0.25">
      <c r="A88" s="6" t="str">
        <f>"480102"</f>
        <v>480102</v>
      </c>
      <c r="B88" s="6" t="s">
        <v>123</v>
      </c>
      <c r="C88" s="7">
        <v>121040506</v>
      </c>
      <c r="D88" s="7">
        <v>123115443</v>
      </c>
      <c r="E88" s="8">
        <v>1.71</v>
      </c>
      <c r="F88" s="7">
        <v>91035537</v>
      </c>
      <c r="G88" s="7">
        <v>91918443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91035537</v>
      </c>
      <c r="O88" s="7">
        <v>91918443</v>
      </c>
      <c r="P88" s="8">
        <v>0.97</v>
      </c>
      <c r="Q88" s="7">
        <v>2127710</v>
      </c>
      <c r="R88" s="7">
        <v>1938824</v>
      </c>
      <c r="S88" s="7">
        <v>89036151</v>
      </c>
      <c r="T88" s="7">
        <v>90171244</v>
      </c>
      <c r="U88" s="7">
        <v>88907827</v>
      </c>
      <c r="V88" s="7">
        <v>89979619</v>
      </c>
      <c r="W88" s="7">
        <v>128324</v>
      </c>
      <c r="X88" s="7">
        <v>191625</v>
      </c>
      <c r="Y88" s="7">
        <v>4224</v>
      </c>
      <c r="Z88" s="7">
        <v>4182</v>
      </c>
      <c r="AA88" s="8">
        <v>-0.99</v>
      </c>
      <c r="AB88" s="7">
        <v>6675444</v>
      </c>
      <c r="AC88" s="7">
        <v>5767015</v>
      </c>
      <c r="AD88" s="7">
        <v>2250000</v>
      </c>
      <c r="AE88" s="7">
        <v>2250000</v>
      </c>
      <c r="AF88" s="7">
        <v>4841620</v>
      </c>
      <c r="AG88" s="7">
        <v>4924617</v>
      </c>
      <c r="AH88" s="8">
        <v>4</v>
      </c>
      <c r="AI88" s="8">
        <v>4</v>
      </c>
    </row>
    <row r="89" spans="1:35" x14ac:dyDescent="0.25">
      <c r="A89" s="6" t="str">
        <f>"222201"</f>
        <v>222201</v>
      </c>
      <c r="B89" s="6" t="s">
        <v>124</v>
      </c>
      <c r="C89" s="7">
        <v>60950793</v>
      </c>
      <c r="D89" s="7">
        <v>62437739</v>
      </c>
      <c r="E89" s="8">
        <v>2.44</v>
      </c>
      <c r="F89" s="7">
        <v>6938057</v>
      </c>
      <c r="G89" s="7">
        <v>6591154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6938057</v>
      </c>
      <c r="O89" s="7">
        <v>6591154</v>
      </c>
      <c r="P89" s="8">
        <v>-5</v>
      </c>
      <c r="Q89" s="7">
        <v>1303208</v>
      </c>
      <c r="R89" s="7">
        <v>1430485</v>
      </c>
      <c r="S89" s="7">
        <v>6232693</v>
      </c>
      <c r="T89" s="7">
        <v>5719669</v>
      </c>
      <c r="U89" s="7">
        <v>5634849</v>
      </c>
      <c r="V89" s="7">
        <v>5160669</v>
      </c>
      <c r="W89" s="7">
        <v>597844</v>
      </c>
      <c r="X89" s="7">
        <v>559000</v>
      </c>
      <c r="Y89" s="7">
        <v>3600</v>
      </c>
      <c r="Z89" s="7">
        <v>3600</v>
      </c>
      <c r="AA89" s="8">
        <v>0</v>
      </c>
      <c r="AB89" s="7">
        <v>6373971</v>
      </c>
      <c r="AC89" s="7">
        <v>10821606</v>
      </c>
      <c r="AD89" s="7">
        <v>6139967</v>
      </c>
      <c r="AE89" s="7">
        <v>6220000</v>
      </c>
      <c r="AF89" s="7">
        <v>6062959</v>
      </c>
      <c r="AG89" s="7">
        <v>6100000</v>
      </c>
      <c r="AH89" s="8">
        <v>9.9499999999999993</v>
      </c>
      <c r="AI89" s="8">
        <v>9.77</v>
      </c>
    </row>
    <row r="90" spans="1:35" x14ac:dyDescent="0.25">
      <c r="A90" s="6" t="str">
        <f>"060401"</f>
        <v>060401</v>
      </c>
      <c r="B90" s="6" t="s">
        <v>125</v>
      </c>
      <c r="C90" s="7">
        <v>20173163</v>
      </c>
      <c r="D90" s="7">
        <v>21110257</v>
      </c>
      <c r="E90" s="8">
        <v>4.6500000000000004</v>
      </c>
      <c r="F90" s="7">
        <v>5044220</v>
      </c>
      <c r="G90" s="7">
        <v>5044220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5044220</v>
      </c>
      <c r="O90" s="7">
        <v>5044220</v>
      </c>
      <c r="P90" s="8">
        <v>0</v>
      </c>
      <c r="Q90" s="7">
        <v>137359</v>
      </c>
      <c r="R90" s="7">
        <v>136284</v>
      </c>
      <c r="S90" s="7">
        <v>5044220</v>
      </c>
      <c r="T90" s="7">
        <v>5094662</v>
      </c>
      <c r="U90" s="7">
        <v>4906861</v>
      </c>
      <c r="V90" s="7">
        <v>4907936</v>
      </c>
      <c r="W90" s="7">
        <v>137359</v>
      </c>
      <c r="X90" s="7">
        <v>186726</v>
      </c>
      <c r="Y90" s="7">
        <v>892</v>
      </c>
      <c r="Z90" s="7">
        <v>873</v>
      </c>
      <c r="AA90" s="8">
        <v>-2.13</v>
      </c>
      <c r="AB90" s="7">
        <v>2225824</v>
      </c>
      <c r="AC90" s="7">
        <v>3910015</v>
      </c>
      <c r="AD90" s="7">
        <v>154045</v>
      </c>
      <c r="AE90" s="7">
        <v>51375</v>
      </c>
      <c r="AF90" s="7">
        <v>2164947</v>
      </c>
      <c r="AG90" s="7">
        <v>782850</v>
      </c>
      <c r="AH90" s="8">
        <v>10.73</v>
      </c>
      <c r="AI90" s="8">
        <v>3.71</v>
      </c>
    </row>
    <row r="91" spans="1:35" x14ac:dyDescent="0.25">
      <c r="A91" s="6" t="str">
        <f>"050401"</f>
        <v>050401</v>
      </c>
      <c r="B91" s="6" t="s">
        <v>126</v>
      </c>
      <c r="C91" s="7">
        <v>20529885</v>
      </c>
      <c r="D91" s="7">
        <v>20817405</v>
      </c>
      <c r="E91" s="8">
        <v>1.4</v>
      </c>
      <c r="F91" s="7">
        <v>5809854</v>
      </c>
      <c r="G91" s="7">
        <v>5759854</v>
      </c>
      <c r="H91" s="7">
        <v>0</v>
      </c>
      <c r="I91" s="7">
        <v>50000</v>
      </c>
      <c r="J91" s="7">
        <v>0</v>
      </c>
      <c r="K91" s="7">
        <v>0</v>
      </c>
      <c r="L91" s="7">
        <v>0</v>
      </c>
      <c r="M91" s="7">
        <v>0</v>
      </c>
      <c r="N91" s="7">
        <v>5809854</v>
      </c>
      <c r="O91" s="7">
        <v>5809854</v>
      </c>
      <c r="P91" s="8">
        <v>0</v>
      </c>
      <c r="Q91" s="7">
        <v>316558</v>
      </c>
      <c r="R91" s="7">
        <v>259696</v>
      </c>
      <c r="S91" s="7">
        <v>5493296</v>
      </c>
      <c r="T91" s="7">
        <v>5571924</v>
      </c>
      <c r="U91" s="7">
        <v>5493296</v>
      </c>
      <c r="V91" s="7">
        <v>5500158</v>
      </c>
      <c r="W91" s="7">
        <v>0</v>
      </c>
      <c r="X91" s="7">
        <v>71766</v>
      </c>
      <c r="Y91" s="7">
        <v>988</v>
      </c>
      <c r="Z91" s="7">
        <v>958</v>
      </c>
      <c r="AA91" s="8">
        <v>-3.04</v>
      </c>
      <c r="AB91" s="7">
        <v>1749727</v>
      </c>
      <c r="AC91" s="7">
        <v>2499599</v>
      </c>
      <c r="AD91" s="7">
        <v>320028</v>
      </c>
      <c r="AE91" s="7">
        <v>300000</v>
      </c>
      <c r="AF91" s="7">
        <v>1362540</v>
      </c>
      <c r="AG91" s="7">
        <v>832696</v>
      </c>
      <c r="AH91" s="8">
        <v>6.64</v>
      </c>
      <c r="AI91" s="8">
        <v>4</v>
      </c>
    </row>
    <row r="92" spans="1:35" x14ac:dyDescent="0.25">
      <c r="A92" s="6" t="str">
        <f>"190401"</f>
        <v>190401</v>
      </c>
      <c r="B92" s="6" t="s">
        <v>127</v>
      </c>
      <c r="C92" s="7">
        <v>39417150</v>
      </c>
      <c r="D92" s="7">
        <v>39950000</v>
      </c>
      <c r="E92" s="8">
        <v>1.35</v>
      </c>
      <c r="F92" s="7">
        <v>17571236</v>
      </c>
      <c r="G92" s="7">
        <v>17746948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17571236</v>
      </c>
      <c r="O92" s="7">
        <v>17746948</v>
      </c>
      <c r="P92" s="8">
        <v>1</v>
      </c>
      <c r="Q92" s="7">
        <v>0</v>
      </c>
      <c r="R92" s="7">
        <v>0</v>
      </c>
      <c r="S92" s="7">
        <v>17571236</v>
      </c>
      <c r="T92" s="7">
        <v>18103896</v>
      </c>
      <c r="U92" s="7">
        <v>17571236</v>
      </c>
      <c r="V92" s="7">
        <v>17746948</v>
      </c>
      <c r="W92" s="7">
        <v>0</v>
      </c>
      <c r="X92" s="7">
        <v>356948</v>
      </c>
      <c r="Y92" s="7">
        <v>1650</v>
      </c>
      <c r="Z92" s="7">
        <v>1550</v>
      </c>
      <c r="AA92" s="8">
        <v>-6.06</v>
      </c>
      <c r="AB92" s="7">
        <v>3700000</v>
      </c>
      <c r="AC92" s="7">
        <v>3943362</v>
      </c>
      <c r="AD92" s="7">
        <v>88000</v>
      </c>
      <c r="AE92" s="7">
        <v>352212</v>
      </c>
      <c r="AF92" s="7">
        <v>3000000</v>
      </c>
      <c r="AG92" s="7">
        <v>5501335</v>
      </c>
      <c r="AH92" s="8">
        <v>7.61</v>
      </c>
      <c r="AI92" s="8">
        <v>13.77</v>
      </c>
    </row>
    <row r="93" spans="1:35" x14ac:dyDescent="0.25">
      <c r="A93" s="6" t="str">
        <f>"042302"</f>
        <v>042302</v>
      </c>
      <c r="B93" s="6" t="s">
        <v>128</v>
      </c>
      <c r="C93" s="7">
        <v>25043397</v>
      </c>
      <c r="D93" s="7">
        <v>25998248</v>
      </c>
      <c r="E93" s="8">
        <v>3.81</v>
      </c>
      <c r="F93" s="7">
        <v>5302320</v>
      </c>
      <c r="G93" s="7">
        <v>5199729</v>
      </c>
      <c r="H93" s="7">
        <v>25000</v>
      </c>
      <c r="I93" s="7">
        <v>25000</v>
      </c>
      <c r="J93" s="7">
        <v>0</v>
      </c>
      <c r="K93" s="7">
        <v>0</v>
      </c>
      <c r="L93" s="7">
        <v>0</v>
      </c>
      <c r="M93" s="7">
        <v>0</v>
      </c>
      <c r="N93" s="7">
        <v>5327320</v>
      </c>
      <c r="O93" s="7">
        <v>5224729</v>
      </c>
      <c r="P93" s="8">
        <v>-1.93</v>
      </c>
      <c r="Q93" s="7">
        <v>206184</v>
      </c>
      <c r="R93" s="7">
        <v>39185</v>
      </c>
      <c r="S93" s="7">
        <v>5303374</v>
      </c>
      <c r="T93" s="7">
        <v>5181701</v>
      </c>
      <c r="U93" s="7">
        <v>5096136</v>
      </c>
      <c r="V93" s="7">
        <v>5160544</v>
      </c>
      <c r="W93" s="7">
        <v>207238</v>
      </c>
      <c r="X93" s="7">
        <v>21157</v>
      </c>
      <c r="Y93" s="7">
        <v>991</v>
      </c>
      <c r="Z93" s="7">
        <v>991</v>
      </c>
      <c r="AA93" s="8">
        <v>0</v>
      </c>
      <c r="AB93" s="7">
        <v>1718701</v>
      </c>
      <c r="AC93" s="7">
        <v>1724700</v>
      </c>
      <c r="AD93" s="7">
        <v>500000</v>
      </c>
      <c r="AE93" s="7">
        <v>500000</v>
      </c>
      <c r="AF93" s="7">
        <v>4742136</v>
      </c>
      <c r="AG93" s="7">
        <v>4242136</v>
      </c>
      <c r="AH93" s="8">
        <v>18.940000000000001</v>
      </c>
      <c r="AI93" s="8">
        <v>16.32</v>
      </c>
    </row>
    <row r="94" spans="1:35" x14ac:dyDescent="0.25">
      <c r="A94" s="6" t="str">
        <f>"250201"</f>
        <v>250201</v>
      </c>
      <c r="B94" s="6" t="s">
        <v>129</v>
      </c>
      <c r="C94" s="7">
        <v>28067653</v>
      </c>
      <c r="D94" s="7">
        <v>28426155</v>
      </c>
      <c r="E94" s="8">
        <v>1.28</v>
      </c>
      <c r="F94" s="7">
        <v>17199310</v>
      </c>
      <c r="G94" s="7">
        <v>18025164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17199310</v>
      </c>
      <c r="O94" s="7">
        <v>18025164</v>
      </c>
      <c r="P94" s="8">
        <v>4.8</v>
      </c>
      <c r="Q94" s="7">
        <v>638202</v>
      </c>
      <c r="R94" s="7">
        <v>889755</v>
      </c>
      <c r="S94" s="7">
        <v>16561108</v>
      </c>
      <c r="T94" s="7">
        <v>17175434</v>
      </c>
      <c r="U94" s="7">
        <v>16561108</v>
      </c>
      <c r="V94" s="7">
        <v>17135409</v>
      </c>
      <c r="W94" s="7">
        <v>0</v>
      </c>
      <c r="X94" s="7">
        <v>40025</v>
      </c>
      <c r="Y94" s="7">
        <v>1456</v>
      </c>
      <c r="Z94" s="7">
        <v>1454</v>
      </c>
      <c r="AA94" s="8">
        <v>-0.14000000000000001</v>
      </c>
      <c r="AB94" s="7">
        <v>1755079</v>
      </c>
      <c r="AC94" s="7">
        <v>2229850</v>
      </c>
      <c r="AD94" s="7">
        <v>0</v>
      </c>
      <c r="AE94" s="7">
        <v>0</v>
      </c>
      <c r="AF94" s="7">
        <v>1011817</v>
      </c>
      <c r="AG94" s="7">
        <v>1137046</v>
      </c>
      <c r="AH94" s="8">
        <v>3.6</v>
      </c>
      <c r="AI94" s="8">
        <v>4</v>
      </c>
    </row>
    <row r="95" spans="1:35" x14ac:dyDescent="0.25">
      <c r="A95" s="6" t="str">
        <f>"580233"</f>
        <v>580233</v>
      </c>
      <c r="B95" s="6" t="s">
        <v>130</v>
      </c>
      <c r="C95" s="7">
        <v>41232733</v>
      </c>
      <c r="D95" s="7">
        <v>42127133</v>
      </c>
      <c r="E95" s="8">
        <v>2.17</v>
      </c>
      <c r="F95" s="7">
        <v>22141324</v>
      </c>
      <c r="G95" s="7">
        <v>22653881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22141324</v>
      </c>
      <c r="O95" s="7">
        <v>22653881</v>
      </c>
      <c r="P95" s="8">
        <v>2.31</v>
      </c>
      <c r="Q95" s="7">
        <v>994993</v>
      </c>
      <c r="R95" s="7">
        <v>913770</v>
      </c>
      <c r="S95" s="7">
        <v>21307123</v>
      </c>
      <c r="T95" s="7">
        <v>21740111</v>
      </c>
      <c r="U95" s="7">
        <v>21146331</v>
      </c>
      <c r="V95" s="7">
        <v>21740111</v>
      </c>
      <c r="W95" s="7">
        <v>160792</v>
      </c>
      <c r="X95" s="7">
        <v>0</v>
      </c>
      <c r="Y95" s="7">
        <v>1598</v>
      </c>
      <c r="Z95" s="7">
        <v>1581</v>
      </c>
      <c r="AA95" s="8">
        <v>-1.06</v>
      </c>
      <c r="AB95" s="7">
        <v>3272252</v>
      </c>
      <c r="AC95" s="7">
        <v>3372252</v>
      </c>
      <c r="AD95" s="7">
        <v>1321852</v>
      </c>
      <c r="AE95" s="7">
        <v>1321852</v>
      </c>
      <c r="AF95" s="7">
        <v>1649311</v>
      </c>
      <c r="AG95" s="7">
        <v>1685085</v>
      </c>
      <c r="AH95" s="8">
        <v>4</v>
      </c>
      <c r="AI95" s="8">
        <v>4</v>
      </c>
    </row>
    <row r="96" spans="1:35" x14ac:dyDescent="0.25">
      <c r="A96" s="6" t="str">
        <f>"580513"</f>
        <v>580513</v>
      </c>
      <c r="B96" s="6" t="s">
        <v>131</v>
      </c>
      <c r="C96" s="7">
        <v>200962132</v>
      </c>
      <c r="D96" s="7">
        <v>203623675</v>
      </c>
      <c r="E96" s="8">
        <v>1.32</v>
      </c>
      <c r="F96" s="7">
        <v>89703273</v>
      </c>
      <c r="G96" s="7">
        <v>90494353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89703273</v>
      </c>
      <c r="O96" s="7">
        <v>90494353</v>
      </c>
      <c r="P96" s="8">
        <v>0.88</v>
      </c>
      <c r="Q96" s="7">
        <v>983794</v>
      </c>
      <c r="R96" s="7">
        <v>1018753</v>
      </c>
      <c r="S96" s="7">
        <v>88719495</v>
      </c>
      <c r="T96" s="7">
        <v>89475601</v>
      </c>
      <c r="U96" s="7">
        <v>88719479</v>
      </c>
      <c r="V96" s="7">
        <v>89475600</v>
      </c>
      <c r="W96" s="7">
        <v>16</v>
      </c>
      <c r="X96" s="7">
        <v>1</v>
      </c>
      <c r="Y96" s="7">
        <v>7275</v>
      </c>
      <c r="Z96" s="7">
        <v>7666</v>
      </c>
      <c r="AA96" s="8">
        <v>5.37</v>
      </c>
      <c r="AB96" s="7">
        <v>22832727</v>
      </c>
      <c r="AC96" s="7">
        <v>21232727</v>
      </c>
      <c r="AD96" s="7">
        <v>3100000</v>
      </c>
      <c r="AE96" s="7">
        <v>2050000</v>
      </c>
      <c r="AF96" s="7">
        <v>7999097</v>
      </c>
      <c r="AG96" s="7">
        <v>5358347</v>
      </c>
      <c r="AH96" s="8">
        <v>3.98</v>
      </c>
      <c r="AI96" s="8">
        <v>2.63</v>
      </c>
    </row>
    <row r="97" spans="1:35" x14ac:dyDescent="0.25">
      <c r="A97" s="6" t="str">
        <f>"460801"</f>
        <v>460801</v>
      </c>
      <c r="B97" s="6" t="s">
        <v>132</v>
      </c>
      <c r="C97" s="7">
        <v>75258600</v>
      </c>
      <c r="D97" s="7">
        <v>75041313</v>
      </c>
      <c r="E97" s="8">
        <v>-0.28999999999999998</v>
      </c>
      <c r="F97" s="7">
        <v>27229917</v>
      </c>
      <c r="G97" s="7">
        <v>27504896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27229917</v>
      </c>
      <c r="O97" s="7">
        <v>27504896</v>
      </c>
      <c r="P97" s="8">
        <v>1.01</v>
      </c>
      <c r="Q97" s="7">
        <v>976305</v>
      </c>
      <c r="R97" s="7">
        <v>691763</v>
      </c>
      <c r="S97" s="7">
        <v>26253612</v>
      </c>
      <c r="T97" s="7">
        <v>26813133</v>
      </c>
      <c r="U97" s="7">
        <v>26253612</v>
      </c>
      <c r="V97" s="7">
        <v>26813133</v>
      </c>
      <c r="W97" s="7">
        <v>0</v>
      </c>
      <c r="X97" s="7">
        <v>0</v>
      </c>
      <c r="Y97" s="7">
        <v>3788</v>
      </c>
      <c r="Z97" s="7">
        <v>3736</v>
      </c>
      <c r="AA97" s="8">
        <v>-1.37</v>
      </c>
      <c r="AB97" s="7">
        <v>2909213</v>
      </c>
      <c r="AC97" s="7">
        <v>2009213</v>
      </c>
      <c r="AD97" s="7">
        <v>1000000</v>
      </c>
      <c r="AE97" s="7">
        <v>1000000</v>
      </c>
      <c r="AF97" s="7">
        <v>2991800</v>
      </c>
      <c r="AG97" s="7">
        <v>1991800</v>
      </c>
      <c r="AH97" s="8">
        <v>3.98</v>
      </c>
      <c r="AI97" s="8">
        <v>2.65</v>
      </c>
    </row>
    <row r="98" spans="1:35" x14ac:dyDescent="0.25">
      <c r="A98" s="6" t="str">
        <f>"212101"</f>
        <v>212101</v>
      </c>
      <c r="B98" s="6" t="s">
        <v>133</v>
      </c>
      <c r="C98" s="7">
        <v>45094500</v>
      </c>
      <c r="D98" s="7">
        <v>44975000</v>
      </c>
      <c r="E98" s="8">
        <v>-0.26</v>
      </c>
      <c r="F98" s="7">
        <v>8529966</v>
      </c>
      <c r="G98" s="7">
        <v>8436000</v>
      </c>
      <c r="H98" s="7">
        <v>0</v>
      </c>
      <c r="I98" s="7">
        <v>0</v>
      </c>
      <c r="J98" s="7">
        <v>0</v>
      </c>
      <c r="K98" s="7">
        <v>0</v>
      </c>
      <c r="L98" s="7">
        <v>233766</v>
      </c>
      <c r="M98" s="7">
        <v>0</v>
      </c>
      <c r="N98" s="7">
        <v>8296200</v>
      </c>
      <c r="O98" s="7">
        <v>8436000</v>
      </c>
      <c r="P98" s="8">
        <v>1.69</v>
      </c>
      <c r="Q98" s="7">
        <v>285575</v>
      </c>
      <c r="R98" s="7">
        <v>560114</v>
      </c>
      <c r="S98" s="7">
        <v>7492397</v>
      </c>
      <c r="T98" s="7">
        <v>8143696</v>
      </c>
      <c r="U98" s="7">
        <v>8244391</v>
      </c>
      <c r="V98" s="7">
        <v>7875886</v>
      </c>
      <c r="W98" s="7">
        <v>-751994</v>
      </c>
      <c r="X98" s="7">
        <v>267810</v>
      </c>
      <c r="Y98" s="7">
        <v>2320</v>
      </c>
      <c r="Z98" s="7">
        <v>2324</v>
      </c>
      <c r="AA98" s="8">
        <v>0.17</v>
      </c>
      <c r="AB98" s="7">
        <v>1367405</v>
      </c>
      <c r="AC98" s="7">
        <v>1367500</v>
      </c>
      <c r="AD98" s="7">
        <v>300000</v>
      </c>
      <c r="AE98" s="7">
        <v>0</v>
      </c>
      <c r="AF98" s="7">
        <v>1792981</v>
      </c>
      <c r="AG98" s="7">
        <v>1790000</v>
      </c>
      <c r="AH98" s="8">
        <v>3.98</v>
      </c>
      <c r="AI98" s="8">
        <v>3.98</v>
      </c>
    </row>
    <row r="99" spans="1:35" x14ac:dyDescent="0.25">
      <c r="A99" s="6" t="str">
        <f>"661004"</f>
        <v>661004</v>
      </c>
      <c r="B99" s="6" t="s">
        <v>134</v>
      </c>
      <c r="C99" s="7">
        <v>118225288</v>
      </c>
      <c r="D99" s="7">
        <v>119571688</v>
      </c>
      <c r="E99" s="8">
        <v>1.1399999999999999</v>
      </c>
      <c r="F99" s="7">
        <v>105968116</v>
      </c>
      <c r="G99" s="7">
        <v>106726146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105968116</v>
      </c>
      <c r="O99" s="7">
        <v>106726146</v>
      </c>
      <c r="P99" s="8">
        <v>0.72</v>
      </c>
      <c r="Q99" s="7">
        <v>3751146</v>
      </c>
      <c r="R99" s="7">
        <v>3898700</v>
      </c>
      <c r="S99" s="7">
        <v>103028016</v>
      </c>
      <c r="T99" s="7">
        <v>103762432</v>
      </c>
      <c r="U99" s="7">
        <v>102216970</v>
      </c>
      <c r="V99" s="7">
        <v>102827446</v>
      </c>
      <c r="W99" s="7">
        <v>811046</v>
      </c>
      <c r="X99" s="7">
        <v>934986</v>
      </c>
      <c r="Y99" s="7">
        <v>3860</v>
      </c>
      <c r="Z99" s="7">
        <v>3838</v>
      </c>
      <c r="AA99" s="8">
        <v>-0.56999999999999995</v>
      </c>
      <c r="AB99" s="7">
        <v>10552504</v>
      </c>
      <c r="AC99" s="7">
        <v>10290631</v>
      </c>
      <c r="AD99" s="7">
        <v>5159859</v>
      </c>
      <c r="AE99" s="7">
        <v>4500000</v>
      </c>
      <c r="AF99" s="7">
        <v>4709527</v>
      </c>
      <c r="AG99" s="7">
        <v>4772868</v>
      </c>
      <c r="AH99" s="8">
        <v>3.98</v>
      </c>
      <c r="AI99" s="8">
        <v>3.99</v>
      </c>
    </row>
    <row r="100" spans="1:35" x14ac:dyDescent="0.25">
      <c r="A100" s="6" t="str">
        <f>"120401"</f>
        <v>120401</v>
      </c>
      <c r="B100" s="6" t="s">
        <v>135</v>
      </c>
      <c r="C100" s="7">
        <v>9088338</v>
      </c>
      <c r="D100" s="7">
        <v>9415340</v>
      </c>
      <c r="E100" s="8">
        <v>3.6</v>
      </c>
      <c r="F100" s="7">
        <v>3109286</v>
      </c>
      <c r="G100" s="7">
        <v>3170688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3109286</v>
      </c>
      <c r="O100" s="7">
        <v>3170688</v>
      </c>
      <c r="P100" s="8">
        <v>1.97</v>
      </c>
      <c r="Q100" s="7">
        <v>93406</v>
      </c>
      <c r="R100" s="7">
        <v>99806</v>
      </c>
      <c r="S100" s="7">
        <v>3015880</v>
      </c>
      <c r="T100" s="7">
        <v>3070882</v>
      </c>
      <c r="U100" s="7">
        <v>3015880</v>
      </c>
      <c r="V100" s="7">
        <v>3070882</v>
      </c>
      <c r="W100" s="7">
        <v>0</v>
      </c>
      <c r="X100" s="7">
        <v>0</v>
      </c>
      <c r="Y100" s="7">
        <v>390</v>
      </c>
      <c r="Z100" s="7">
        <v>390</v>
      </c>
      <c r="AA100" s="8">
        <v>0</v>
      </c>
      <c r="AB100" s="7">
        <v>957647</v>
      </c>
      <c r="AC100" s="7">
        <v>958603</v>
      </c>
      <c r="AD100" s="7">
        <v>320000</v>
      </c>
      <c r="AE100" s="7">
        <v>278422</v>
      </c>
      <c r="AF100" s="7">
        <v>1349446</v>
      </c>
      <c r="AG100" s="7">
        <v>1288496</v>
      </c>
      <c r="AH100" s="8">
        <v>14.85</v>
      </c>
      <c r="AI100" s="8">
        <v>13.69</v>
      </c>
    </row>
    <row r="101" spans="1:35" x14ac:dyDescent="0.25">
      <c r="A101" s="6" t="str">
        <f>"160801"</f>
        <v>160801</v>
      </c>
      <c r="B101" s="6" t="s">
        <v>136</v>
      </c>
      <c r="C101" s="7">
        <v>12754673</v>
      </c>
      <c r="D101" s="7">
        <v>13520879</v>
      </c>
      <c r="E101" s="8">
        <v>6.01</v>
      </c>
      <c r="F101" s="7">
        <v>2971559</v>
      </c>
      <c r="G101" s="7">
        <v>2902173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2971559</v>
      </c>
      <c r="O101" s="7">
        <v>2902173</v>
      </c>
      <c r="P101" s="8">
        <v>-2.34</v>
      </c>
      <c r="Q101" s="7">
        <v>104056</v>
      </c>
      <c r="R101" s="7">
        <v>209671</v>
      </c>
      <c r="S101" s="7">
        <v>2875740</v>
      </c>
      <c r="T101" s="7">
        <v>2697151</v>
      </c>
      <c r="U101" s="7">
        <v>2867503</v>
      </c>
      <c r="V101" s="7">
        <v>2692502</v>
      </c>
      <c r="W101" s="7">
        <v>8237</v>
      </c>
      <c r="X101" s="7">
        <v>4649</v>
      </c>
      <c r="Y101" s="7">
        <v>510</v>
      </c>
      <c r="Z101" s="7">
        <v>515</v>
      </c>
      <c r="AA101" s="8">
        <v>0.98</v>
      </c>
      <c r="AB101" s="7">
        <v>315113</v>
      </c>
      <c r="AC101" s="7">
        <v>308858</v>
      </c>
      <c r="AD101" s="7">
        <v>575000</v>
      </c>
      <c r="AE101" s="7">
        <v>1465000</v>
      </c>
      <c r="AF101" s="7">
        <v>1642218</v>
      </c>
      <c r="AG101" s="7">
        <v>758473</v>
      </c>
      <c r="AH101" s="8">
        <v>12.88</v>
      </c>
      <c r="AI101" s="8">
        <v>5.61</v>
      </c>
    </row>
    <row r="102" spans="1:35" x14ac:dyDescent="0.25">
      <c r="A102" s="6" t="str">
        <f>"101001"</f>
        <v>101001</v>
      </c>
      <c r="B102" s="6" t="s">
        <v>137</v>
      </c>
      <c r="C102" s="7">
        <v>30542416</v>
      </c>
      <c r="D102" s="7">
        <v>30836975</v>
      </c>
      <c r="E102" s="8">
        <v>0.96</v>
      </c>
      <c r="F102" s="7">
        <v>21375578</v>
      </c>
      <c r="G102" s="7">
        <v>21653460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21375578</v>
      </c>
      <c r="O102" s="7">
        <v>21653460</v>
      </c>
      <c r="P102" s="8">
        <v>1.3</v>
      </c>
      <c r="Q102" s="7">
        <v>887987</v>
      </c>
      <c r="R102" s="7">
        <v>837253</v>
      </c>
      <c r="S102" s="7">
        <v>20487591</v>
      </c>
      <c r="T102" s="7">
        <v>20858140</v>
      </c>
      <c r="U102" s="7">
        <v>20487591</v>
      </c>
      <c r="V102" s="7">
        <v>20816207</v>
      </c>
      <c r="W102" s="7">
        <v>0</v>
      </c>
      <c r="X102" s="7">
        <v>41933</v>
      </c>
      <c r="Y102" s="7">
        <v>1049</v>
      </c>
      <c r="Z102" s="7">
        <v>1045</v>
      </c>
      <c r="AA102" s="8">
        <v>-0.38</v>
      </c>
      <c r="AB102" s="7">
        <v>10323839</v>
      </c>
      <c r="AC102" s="7">
        <v>10823839</v>
      </c>
      <c r="AD102" s="7">
        <v>1616166</v>
      </c>
      <c r="AE102" s="7">
        <v>1616166</v>
      </c>
      <c r="AF102" s="7">
        <v>1221697</v>
      </c>
      <c r="AG102" s="7">
        <v>1233479</v>
      </c>
      <c r="AH102" s="8">
        <v>4</v>
      </c>
      <c r="AI102" s="8">
        <v>4</v>
      </c>
    </row>
    <row r="103" spans="1:35" x14ac:dyDescent="0.25">
      <c r="A103" s="6" t="str">
        <f>"060503"</f>
        <v>060503</v>
      </c>
      <c r="B103" s="6" t="s">
        <v>138</v>
      </c>
      <c r="C103" s="7">
        <v>22040495</v>
      </c>
      <c r="D103" s="7">
        <v>22902956</v>
      </c>
      <c r="E103" s="8">
        <v>3.91</v>
      </c>
      <c r="F103" s="7">
        <v>11261424</v>
      </c>
      <c r="G103" s="7">
        <v>11495319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11261424</v>
      </c>
      <c r="O103" s="7">
        <v>11495319</v>
      </c>
      <c r="P103" s="8">
        <v>2.08</v>
      </c>
      <c r="Q103" s="7">
        <v>0</v>
      </c>
      <c r="R103" s="7">
        <v>0</v>
      </c>
      <c r="S103" s="7">
        <v>11261424</v>
      </c>
      <c r="T103" s="7">
        <v>11495319</v>
      </c>
      <c r="U103" s="7">
        <v>11261424</v>
      </c>
      <c r="V103" s="7">
        <v>11495319</v>
      </c>
      <c r="W103" s="7">
        <v>0</v>
      </c>
      <c r="X103" s="7">
        <v>0</v>
      </c>
      <c r="Y103" s="7">
        <v>945</v>
      </c>
      <c r="Z103" s="7">
        <v>889</v>
      </c>
      <c r="AA103" s="8">
        <v>-5.93</v>
      </c>
      <c r="AB103" s="7">
        <v>998223</v>
      </c>
      <c r="AC103" s="7">
        <v>1291589</v>
      </c>
      <c r="AD103" s="7">
        <v>750000</v>
      </c>
      <c r="AE103" s="7">
        <v>1000000</v>
      </c>
      <c r="AF103" s="7">
        <v>2120465</v>
      </c>
      <c r="AG103" s="7">
        <v>916118</v>
      </c>
      <c r="AH103" s="8">
        <v>9.6199999999999992</v>
      </c>
      <c r="AI103" s="8">
        <v>4</v>
      </c>
    </row>
    <row r="104" spans="1:35" x14ac:dyDescent="0.25">
      <c r="A104" s="6" t="str">
        <f>"090601"</f>
        <v>090601</v>
      </c>
      <c r="B104" s="6" t="s">
        <v>139</v>
      </c>
      <c r="C104" s="7">
        <v>10571553</v>
      </c>
      <c r="D104" s="7">
        <v>10882578</v>
      </c>
      <c r="E104" s="8">
        <v>2.94</v>
      </c>
      <c r="F104" s="7">
        <v>4535844</v>
      </c>
      <c r="G104" s="7">
        <v>4658111</v>
      </c>
      <c r="H104" s="7">
        <v>37500</v>
      </c>
      <c r="I104" s="7">
        <v>37500</v>
      </c>
      <c r="J104" s="7">
        <v>0</v>
      </c>
      <c r="K104" s="7">
        <v>0</v>
      </c>
      <c r="L104" s="7">
        <v>0</v>
      </c>
      <c r="M104" s="7">
        <v>0</v>
      </c>
      <c r="N104" s="7">
        <v>4573344</v>
      </c>
      <c r="O104" s="7">
        <v>4695611</v>
      </c>
      <c r="P104" s="8">
        <v>2.67</v>
      </c>
      <c r="Q104" s="7">
        <v>73273</v>
      </c>
      <c r="R104" s="7">
        <v>252698</v>
      </c>
      <c r="S104" s="7">
        <v>4462665</v>
      </c>
      <c r="T104" s="7">
        <v>4531624</v>
      </c>
      <c r="U104" s="7">
        <v>4462571</v>
      </c>
      <c r="V104" s="7">
        <v>4405413</v>
      </c>
      <c r="W104" s="7">
        <v>94</v>
      </c>
      <c r="X104" s="7">
        <v>126211</v>
      </c>
      <c r="Y104" s="7">
        <v>455</v>
      </c>
      <c r="Z104" s="7">
        <v>455</v>
      </c>
      <c r="AA104" s="8">
        <v>0</v>
      </c>
      <c r="AB104" s="7">
        <v>1041402</v>
      </c>
      <c r="AC104" s="7">
        <v>1623584</v>
      </c>
      <c r="AD104" s="7">
        <v>550000</v>
      </c>
      <c r="AE104" s="7">
        <v>600000</v>
      </c>
      <c r="AF104" s="7">
        <v>491402</v>
      </c>
      <c r="AG104" s="7">
        <v>1023584</v>
      </c>
      <c r="AH104" s="8">
        <v>4.6500000000000004</v>
      </c>
      <c r="AI104" s="8">
        <v>9.41</v>
      </c>
    </row>
    <row r="105" spans="1:35" x14ac:dyDescent="0.25">
      <c r="A105" s="6" t="str">
        <f>"140701"</f>
        <v>140701</v>
      </c>
      <c r="B105" s="6" t="s">
        <v>140</v>
      </c>
      <c r="C105" s="7">
        <v>40648348</v>
      </c>
      <c r="D105" s="7">
        <v>43252020</v>
      </c>
      <c r="E105" s="8">
        <v>6.41</v>
      </c>
      <c r="F105" s="7">
        <v>23316567</v>
      </c>
      <c r="G105" s="7">
        <v>23997259</v>
      </c>
      <c r="H105" s="7">
        <v>0</v>
      </c>
      <c r="I105" s="7">
        <v>0</v>
      </c>
      <c r="J105" s="7">
        <v>0</v>
      </c>
      <c r="K105" s="7">
        <v>0</v>
      </c>
      <c r="L105" s="7">
        <v>9838</v>
      </c>
      <c r="M105" s="7">
        <v>0</v>
      </c>
      <c r="N105" s="7">
        <v>23306729</v>
      </c>
      <c r="O105" s="7">
        <v>23997259</v>
      </c>
      <c r="P105" s="8">
        <v>2.96</v>
      </c>
      <c r="Q105" s="7">
        <v>646603</v>
      </c>
      <c r="R105" s="7">
        <v>787991</v>
      </c>
      <c r="S105" s="7">
        <v>22779802</v>
      </c>
      <c r="T105" s="7">
        <v>23259268</v>
      </c>
      <c r="U105" s="7">
        <v>22669964</v>
      </c>
      <c r="V105" s="7">
        <v>23209268</v>
      </c>
      <c r="W105" s="7">
        <v>109838</v>
      </c>
      <c r="X105" s="7">
        <v>50000</v>
      </c>
      <c r="Y105" s="7">
        <v>2221</v>
      </c>
      <c r="Z105" s="7">
        <v>2236</v>
      </c>
      <c r="AA105" s="8">
        <v>0.68</v>
      </c>
      <c r="AB105" s="7">
        <v>2275111</v>
      </c>
      <c r="AC105" s="7">
        <v>1975111</v>
      </c>
      <c r="AD105" s="7">
        <v>500000</v>
      </c>
      <c r="AE105" s="7">
        <v>982616</v>
      </c>
      <c r="AF105" s="7">
        <v>2890094</v>
      </c>
      <c r="AG105" s="7">
        <v>1994583</v>
      </c>
      <c r="AH105" s="8">
        <v>7.11</v>
      </c>
      <c r="AI105" s="8">
        <v>4.6100000000000003</v>
      </c>
    </row>
    <row r="106" spans="1:35" x14ac:dyDescent="0.25">
      <c r="A106" s="6" t="str">
        <f>"140702"</f>
        <v>140702</v>
      </c>
      <c r="B106" s="6" t="s">
        <v>141</v>
      </c>
      <c r="C106" s="7">
        <v>42168145</v>
      </c>
      <c r="D106" s="7">
        <v>43165468</v>
      </c>
      <c r="E106" s="8">
        <v>2.37</v>
      </c>
      <c r="F106" s="7">
        <v>20369120</v>
      </c>
      <c r="G106" s="7">
        <v>20775361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20369120</v>
      </c>
      <c r="O106" s="7">
        <v>20775361</v>
      </c>
      <c r="P106" s="8">
        <v>1.99</v>
      </c>
      <c r="Q106" s="7">
        <v>1076653</v>
      </c>
      <c r="R106" s="7">
        <v>840200</v>
      </c>
      <c r="S106" s="7">
        <v>19292467</v>
      </c>
      <c r="T106" s="7">
        <v>19617703</v>
      </c>
      <c r="U106" s="7">
        <v>19292467</v>
      </c>
      <c r="V106" s="7">
        <v>19935161</v>
      </c>
      <c r="W106" s="7">
        <v>0</v>
      </c>
      <c r="X106" s="7">
        <v>-317458</v>
      </c>
      <c r="Y106" s="7">
        <v>2214</v>
      </c>
      <c r="Z106" s="7">
        <v>2225</v>
      </c>
      <c r="AA106" s="8">
        <v>0.5</v>
      </c>
      <c r="AB106" s="7">
        <v>11217336</v>
      </c>
      <c r="AC106" s="7">
        <v>11648426</v>
      </c>
      <c r="AD106" s="7">
        <v>865000</v>
      </c>
      <c r="AE106" s="7">
        <v>925000</v>
      </c>
      <c r="AF106" s="7">
        <v>1663280</v>
      </c>
      <c r="AG106" s="7">
        <v>1702618</v>
      </c>
      <c r="AH106" s="8">
        <v>3.94</v>
      </c>
      <c r="AI106" s="8">
        <v>3.94</v>
      </c>
    </row>
    <row r="107" spans="1:35" x14ac:dyDescent="0.25">
      <c r="A107" s="6" t="str">
        <f>"140709"</f>
        <v>140709</v>
      </c>
      <c r="B107" s="6" t="s">
        <v>142</v>
      </c>
      <c r="C107" s="7">
        <v>34396049</v>
      </c>
      <c r="D107" s="7">
        <v>35040536</v>
      </c>
      <c r="E107" s="8">
        <v>1.87</v>
      </c>
      <c r="F107" s="7">
        <v>15236351</v>
      </c>
      <c r="G107" s="7">
        <v>15364004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15236351</v>
      </c>
      <c r="O107" s="7">
        <v>15364004</v>
      </c>
      <c r="P107" s="8">
        <v>0.84</v>
      </c>
      <c r="Q107" s="7">
        <v>187475</v>
      </c>
      <c r="R107" s="7">
        <v>339759</v>
      </c>
      <c r="S107" s="7">
        <v>15204210</v>
      </c>
      <c r="T107" s="7">
        <v>15238526</v>
      </c>
      <c r="U107" s="7">
        <v>15048876</v>
      </c>
      <c r="V107" s="7">
        <v>15024245</v>
      </c>
      <c r="W107" s="7">
        <v>155334</v>
      </c>
      <c r="X107" s="7">
        <v>214281</v>
      </c>
      <c r="Y107" s="7">
        <v>1347</v>
      </c>
      <c r="Z107" s="7">
        <v>1350</v>
      </c>
      <c r="AA107" s="8">
        <v>0.22</v>
      </c>
      <c r="AB107" s="7">
        <v>5235014</v>
      </c>
      <c r="AC107" s="7">
        <v>5238095</v>
      </c>
      <c r="AD107" s="7">
        <v>2592379</v>
      </c>
      <c r="AE107" s="7">
        <v>1900000</v>
      </c>
      <c r="AF107" s="7">
        <v>1358107</v>
      </c>
      <c r="AG107" s="7">
        <v>1337528</v>
      </c>
      <c r="AH107" s="8">
        <v>3.95</v>
      </c>
      <c r="AI107" s="8">
        <v>3.82</v>
      </c>
    </row>
    <row r="108" spans="1:35" x14ac:dyDescent="0.25">
      <c r="A108" s="6" t="str">
        <f>"030101"</f>
        <v>030101</v>
      </c>
      <c r="B108" s="6" t="s">
        <v>143</v>
      </c>
      <c r="C108" s="7">
        <v>33791869</v>
      </c>
      <c r="D108" s="7">
        <v>35022521</v>
      </c>
      <c r="E108" s="8">
        <v>3.64</v>
      </c>
      <c r="F108" s="7">
        <v>11533996</v>
      </c>
      <c r="G108" s="7">
        <v>11533996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11533996</v>
      </c>
      <c r="O108" s="7">
        <v>11533996</v>
      </c>
      <c r="P108" s="8">
        <v>0</v>
      </c>
      <c r="Q108" s="7">
        <v>761448</v>
      </c>
      <c r="R108" s="7">
        <v>652550</v>
      </c>
      <c r="S108" s="7">
        <v>10962980</v>
      </c>
      <c r="T108" s="7">
        <v>10930473</v>
      </c>
      <c r="U108" s="7">
        <v>10772548</v>
      </c>
      <c r="V108" s="7">
        <v>10881446</v>
      </c>
      <c r="W108" s="7">
        <v>190432</v>
      </c>
      <c r="X108" s="7">
        <v>49027</v>
      </c>
      <c r="Y108" s="7">
        <v>1534</v>
      </c>
      <c r="Z108" s="7">
        <v>1534</v>
      </c>
      <c r="AA108" s="8">
        <v>0</v>
      </c>
      <c r="AB108" s="7">
        <v>2916713</v>
      </c>
      <c r="AC108" s="7">
        <v>3389961</v>
      </c>
      <c r="AD108" s="7">
        <v>1415000</v>
      </c>
      <c r="AE108" s="7">
        <v>915000</v>
      </c>
      <c r="AF108" s="7">
        <v>1257512</v>
      </c>
      <c r="AG108" s="7">
        <v>1289462</v>
      </c>
      <c r="AH108" s="8">
        <v>3.72</v>
      </c>
      <c r="AI108" s="8">
        <v>3.68</v>
      </c>
    </row>
    <row r="109" spans="1:35" x14ac:dyDescent="0.25">
      <c r="A109" s="6" t="str">
        <f>"030701"</f>
        <v>030701</v>
      </c>
      <c r="B109" s="6" t="s">
        <v>144</v>
      </c>
      <c r="C109" s="7">
        <v>35741512</v>
      </c>
      <c r="D109" s="7">
        <v>37342387</v>
      </c>
      <c r="E109" s="8">
        <v>4.4800000000000004</v>
      </c>
      <c r="F109" s="7">
        <v>18641797</v>
      </c>
      <c r="G109" s="7">
        <v>18898888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18641797</v>
      </c>
      <c r="O109" s="7">
        <v>18898888</v>
      </c>
      <c r="P109" s="8">
        <v>1.38</v>
      </c>
      <c r="Q109" s="7">
        <v>0</v>
      </c>
      <c r="R109" s="7">
        <v>0</v>
      </c>
      <c r="S109" s="7">
        <v>18641797</v>
      </c>
      <c r="T109" s="7">
        <v>18898888</v>
      </c>
      <c r="U109" s="7">
        <v>18641797</v>
      </c>
      <c r="V109" s="7">
        <v>18898888</v>
      </c>
      <c r="W109" s="7">
        <v>0</v>
      </c>
      <c r="X109" s="7">
        <v>0</v>
      </c>
      <c r="Y109" s="7">
        <v>1692</v>
      </c>
      <c r="Z109" s="7">
        <v>1692</v>
      </c>
      <c r="AA109" s="8">
        <v>0</v>
      </c>
      <c r="AB109" s="7">
        <v>4312280</v>
      </c>
      <c r="AC109" s="7">
        <v>5411245</v>
      </c>
      <c r="AD109" s="7">
        <v>250000</v>
      </c>
      <c r="AE109" s="7">
        <v>250000</v>
      </c>
      <c r="AF109" s="7">
        <v>1347713</v>
      </c>
      <c r="AG109" s="7">
        <v>1354598</v>
      </c>
      <c r="AH109" s="8">
        <v>3.77</v>
      </c>
      <c r="AI109" s="8">
        <v>3.63</v>
      </c>
    </row>
    <row r="110" spans="1:35" x14ac:dyDescent="0.25">
      <c r="A110" s="6" t="str">
        <f>"472202"</f>
        <v>472202</v>
      </c>
      <c r="B110" s="6" t="s">
        <v>145</v>
      </c>
      <c r="C110" s="7">
        <v>13344283</v>
      </c>
      <c r="D110" s="7">
        <v>13500708</v>
      </c>
      <c r="E110" s="8">
        <v>1.17</v>
      </c>
      <c r="F110" s="7">
        <v>5155142</v>
      </c>
      <c r="G110" s="7">
        <v>5155142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5155142</v>
      </c>
      <c r="O110" s="7">
        <v>5155142</v>
      </c>
      <c r="P110" s="8">
        <v>0</v>
      </c>
      <c r="Q110" s="7">
        <v>184152</v>
      </c>
      <c r="R110" s="7">
        <v>191229</v>
      </c>
      <c r="S110" s="7">
        <v>4970989</v>
      </c>
      <c r="T110" s="7">
        <v>5062857</v>
      </c>
      <c r="U110" s="7">
        <v>4970990</v>
      </c>
      <c r="V110" s="7">
        <v>4963913</v>
      </c>
      <c r="W110" s="7">
        <v>-1</v>
      </c>
      <c r="X110" s="7">
        <v>98944</v>
      </c>
      <c r="Y110" s="7">
        <v>476</v>
      </c>
      <c r="Z110" s="7">
        <v>481</v>
      </c>
      <c r="AA110" s="8">
        <v>1.05</v>
      </c>
      <c r="AB110" s="7">
        <v>1811188</v>
      </c>
      <c r="AC110" s="7">
        <v>1800000</v>
      </c>
      <c r="AD110" s="7">
        <v>320000</v>
      </c>
      <c r="AE110" s="7">
        <v>322281</v>
      </c>
      <c r="AF110" s="7">
        <v>718089</v>
      </c>
      <c r="AG110" s="7">
        <v>540000</v>
      </c>
      <c r="AH110" s="8">
        <v>5.38</v>
      </c>
      <c r="AI110" s="8">
        <v>4</v>
      </c>
    </row>
    <row r="111" spans="1:35" x14ac:dyDescent="0.25">
      <c r="A111" s="6" t="str">
        <f>"440201"</f>
        <v>440201</v>
      </c>
      <c r="B111" s="6" t="s">
        <v>146</v>
      </c>
      <c r="C111" s="7">
        <v>26488341</v>
      </c>
      <c r="D111" s="7">
        <v>26958194</v>
      </c>
      <c r="E111" s="8">
        <v>1.77</v>
      </c>
      <c r="F111" s="7">
        <v>15696688</v>
      </c>
      <c r="G111" s="7">
        <v>16710547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15696688</v>
      </c>
      <c r="O111" s="7">
        <v>16710547</v>
      </c>
      <c r="P111" s="8">
        <v>6.46</v>
      </c>
      <c r="Q111" s="7">
        <v>510454</v>
      </c>
      <c r="R111" s="7">
        <v>531333</v>
      </c>
      <c r="S111" s="7">
        <v>15193744</v>
      </c>
      <c r="T111" s="7">
        <v>16179460</v>
      </c>
      <c r="U111" s="7">
        <v>15186234</v>
      </c>
      <c r="V111" s="7">
        <v>16179214</v>
      </c>
      <c r="W111" s="7">
        <v>7510</v>
      </c>
      <c r="X111" s="7">
        <v>246</v>
      </c>
      <c r="Y111" s="7">
        <v>1073</v>
      </c>
      <c r="Z111" s="7">
        <v>1102</v>
      </c>
      <c r="AA111" s="8">
        <v>2.7</v>
      </c>
      <c r="AB111" s="7">
        <v>1945438</v>
      </c>
      <c r="AC111" s="7">
        <v>2000000</v>
      </c>
      <c r="AD111" s="7">
        <v>1183022</v>
      </c>
      <c r="AE111" s="7">
        <v>1200000</v>
      </c>
      <c r="AF111" s="7">
        <v>1241064</v>
      </c>
      <c r="AG111" s="7">
        <v>1050000</v>
      </c>
      <c r="AH111" s="8">
        <v>4.6900000000000004</v>
      </c>
      <c r="AI111" s="8">
        <v>3.89</v>
      </c>
    </row>
    <row r="112" spans="1:35" x14ac:dyDescent="0.25">
      <c r="A112" s="6" t="str">
        <f>"251601"</f>
        <v>251601</v>
      </c>
      <c r="B112" s="6" t="s">
        <v>147</v>
      </c>
      <c r="C112" s="7">
        <v>37468962</v>
      </c>
      <c r="D112" s="7">
        <v>37891782</v>
      </c>
      <c r="E112" s="8">
        <v>1.1299999999999999</v>
      </c>
      <c r="F112" s="7">
        <v>17538890</v>
      </c>
      <c r="G112" s="7">
        <v>17538890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17538890</v>
      </c>
      <c r="O112" s="7">
        <v>17538890</v>
      </c>
      <c r="P112" s="8">
        <v>0</v>
      </c>
      <c r="Q112" s="7">
        <v>398856</v>
      </c>
      <c r="R112" s="7">
        <v>410825</v>
      </c>
      <c r="S112" s="7">
        <v>17140034</v>
      </c>
      <c r="T112" s="7">
        <v>17128065</v>
      </c>
      <c r="U112" s="7">
        <v>17140034</v>
      </c>
      <c r="V112" s="7">
        <v>17128065</v>
      </c>
      <c r="W112" s="7">
        <v>0</v>
      </c>
      <c r="X112" s="7">
        <v>0</v>
      </c>
      <c r="Y112" s="7">
        <v>1877</v>
      </c>
      <c r="Z112" s="7">
        <v>1913</v>
      </c>
      <c r="AA112" s="8">
        <v>1.92</v>
      </c>
      <c r="AB112" s="7">
        <v>5350345</v>
      </c>
      <c r="AC112" s="7">
        <v>5400000</v>
      </c>
      <c r="AD112" s="7">
        <v>0</v>
      </c>
      <c r="AE112" s="7">
        <v>0</v>
      </c>
      <c r="AF112" s="7">
        <v>1315000</v>
      </c>
      <c r="AG112" s="7">
        <v>1250000</v>
      </c>
      <c r="AH112" s="8">
        <v>3.51</v>
      </c>
      <c r="AI112" s="8">
        <v>3.3</v>
      </c>
    </row>
    <row r="113" spans="1:35" x14ac:dyDescent="0.25">
      <c r="A113" s="6" t="str">
        <f>"261501"</f>
        <v>261501</v>
      </c>
      <c r="B113" s="6" t="s">
        <v>148</v>
      </c>
      <c r="C113" s="7">
        <v>82563092</v>
      </c>
      <c r="D113" s="7">
        <v>83919346</v>
      </c>
      <c r="E113" s="8">
        <v>1.64</v>
      </c>
      <c r="F113" s="7">
        <v>34684703</v>
      </c>
      <c r="G113" s="7">
        <v>35378398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34684703</v>
      </c>
      <c r="O113" s="7">
        <v>35378398</v>
      </c>
      <c r="P113" s="8">
        <v>2</v>
      </c>
      <c r="Q113" s="7">
        <v>0</v>
      </c>
      <c r="R113" s="7">
        <v>0</v>
      </c>
      <c r="S113" s="7">
        <v>34790950</v>
      </c>
      <c r="T113" s="7">
        <v>35600236</v>
      </c>
      <c r="U113" s="7">
        <v>34684703</v>
      </c>
      <c r="V113" s="7">
        <v>35378398</v>
      </c>
      <c r="W113" s="7">
        <v>106247</v>
      </c>
      <c r="X113" s="7">
        <v>221838</v>
      </c>
      <c r="Y113" s="7">
        <v>3827</v>
      </c>
      <c r="Z113" s="7">
        <v>3799</v>
      </c>
      <c r="AA113" s="8">
        <v>-0.73</v>
      </c>
      <c r="AB113" s="7">
        <v>18565316</v>
      </c>
      <c r="AC113" s="7">
        <v>17293331</v>
      </c>
      <c r="AD113" s="7">
        <v>1662181</v>
      </c>
      <c r="AE113" s="7">
        <v>1662181</v>
      </c>
      <c r="AF113" s="7">
        <v>3220357</v>
      </c>
      <c r="AG113" s="7">
        <v>3356774</v>
      </c>
      <c r="AH113" s="8">
        <v>3.9</v>
      </c>
      <c r="AI113" s="8">
        <v>4</v>
      </c>
    </row>
    <row r="114" spans="1:35" x14ac:dyDescent="0.25">
      <c r="A114" s="6" t="str">
        <f>"110101"</f>
        <v>110101</v>
      </c>
      <c r="B114" s="6" t="s">
        <v>149</v>
      </c>
      <c r="C114" s="7">
        <v>15016682</v>
      </c>
      <c r="D114" s="7">
        <v>15438314</v>
      </c>
      <c r="E114" s="8">
        <v>2.81</v>
      </c>
      <c r="F114" s="7">
        <v>3674331</v>
      </c>
      <c r="G114" s="7">
        <v>3709010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3674331</v>
      </c>
      <c r="O114" s="7">
        <v>3709010</v>
      </c>
      <c r="P114" s="8">
        <v>0.94</v>
      </c>
      <c r="Q114" s="7">
        <v>208014</v>
      </c>
      <c r="R114" s="7">
        <v>183394</v>
      </c>
      <c r="S114" s="7">
        <v>3466317</v>
      </c>
      <c r="T114" s="7">
        <v>3525619</v>
      </c>
      <c r="U114" s="7">
        <v>3466317</v>
      </c>
      <c r="V114" s="7">
        <v>3525616</v>
      </c>
      <c r="W114" s="7">
        <v>0</v>
      </c>
      <c r="X114" s="7">
        <v>3</v>
      </c>
      <c r="Y114" s="7">
        <v>571</v>
      </c>
      <c r="Z114" s="7">
        <v>567</v>
      </c>
      <c r="AA114" s="8">
        <v>-0.7</v>
      </c>
      <c r="AB114" s="7">
        <v>1611464</v>
      </c>
      <c r="AC114" s="7">
        <v>1812628</v>
      </c>
      <c r="AD114" s="7">
        <v>480000</v>
      </c>
      <c r="AE114" s="7">
        <v>480000</v>
      </c>
      <c r="AF114" s="7">
        <v>600666</v>
      </c>
      <c r="AG114" s="7">
        <v>617533</v>
      </c>
      <c r="AH114" s="8">
        <v>4</v>
      </c>
      <c r="AI114" s="8">
        <v>4</v>
      </c>
    </row>
    <row r="115" spans="1:35" x14ac:dyDescent="0.25">
      <c r="A115" s="6" t="str">
        <f>"140801"</f>
        <v>140801</v>
      </c>
      <c r="B115" s="6" t="s">
        <v>150</v>
      </c>
      <c r="C115" s="7">
        <v>78113100</v>
      </c>
      <c r="D115" s="7">
        <v>80209240</v>
      </c>
      <c r="E115" s="8">
        <v>2.68</v>
      </c>
      <c r="F115" s="7">
        <v>45286097</v>
      </c>
      <c r="G115" s="7">
        <v>46074075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45286097</v>
      </c>
      <c r="O115" s="7">
        <v>46074075</v>
      </c>
      <c r="P115" s="8">
        <v>1.74</v>
      </c>
      <c r="Q115" s="7">
        <v>2663007</v>
      </c>
      <c r="R115" s="7">
        <v>2272479</v>
      </c>
      <c r="S115" s="7">
        <v>42775866</v>
      </c>
      <c r="T115" s="7">
        <v>43803782</v>
      </c>
      <c r="U115" s="7">
        <v>42623090</v>
      </c>
      <c r="V115" s="7">
        <v>43801596</v>
      </c>
      <c r="W115" s="7">
        <v>152776</v>
      </c>
      <c r="X115" s="7">
        <v>2186</v>
      </c>
      <c r="Y115" s="7">
        <v>4461</v>
      </c>
      <c r="Z115" s="7">
        <v>4381</v>
      </c>
      <c r="AA115" s="8">
        <v>-1.79</v>
      </c>
      <c r="AB115" s="7">
        <v>1435293</v>
      </c>
      <c r="AC115" s="7">
        <v>1795293</v>
      </c>
      <c r="AD115" s="7">
        <v>1200000</v>
      </c>
      <c r="AE115" s="7">
        <v>1700000</v>
      </c>
      <c r="AF115" s="7">
        <v>3824569</v>
      </c>
      <c r="AG115" s="7">
        <v>3424569</v>
      </c>
      <c r="AH115" s="8">
        <v>4.9000000000000004</v>
      </c>
      <c r="AI115" s="8">
        <v>4.2699999999999996</v>
      </c>
    </row>
    <row r="116" spans="1:35" x14ac:dyDescent="0.25">
      <c r="A116" s="6" t="str">
        <f>"500101"</f>
        <v>500101</v>
      </c>
      <c r="B116" s="6" t="s">
        <v>151</v>
      </c>
      <c r="C116" s="7">
        <v>195518048</v>
      </c>
      <c r="D116" s="7">
        <v>200548605</v>
      </c>
      <c r="E116" s="8">
        <v>2.57</v>
      </c>
      <c r="F116" s="7">
        <v>157302018</v>
      </c>
      <c r="G116" s="7">
        <v>160305120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157302018</v>
      </c>
      <c r="O116" s="7">
        <v>160305120</v>
      </c>
      <c r="P116" s="8">
        <v>1.91</v>
      </c>
      <c r="Q116" s="7">
        <v>5035876</v>
      </c>
      <c r="R116" s="7">
        <v>5288034</v>
      </c>
      <c r="S116" s="7">
        <v>152266142</v>
      </c>
      <c r="T116" s="7">
        <v>155017086</v>
      </c>
      <c r="U116" s="7">
        <v>152266142</v>
      </c>
      <c r="V116" s="7">
        <v>155017086</v>
      </c>
      <c r="W116" s="7">
        <v>0</v>
      </c>
      <c r="X116" s="7">
        <v>0</v>
      </c>
      <c r="Y116" s="7">
        <v>7903</v>
      </c>
      <c r="Z116" s="7">
        <v>7943</v>
      </c>
      <c r="AA116" s="8">
        <v>0.51</v>
      </c>
      <c r="AB116" s="7">
        <v>14856294</v>
      </c>
      <c r="AC116" s="7">
        <v>14600000</v>
      </c>
      <c r="AD116" s="7">
        <v>1763787</v>
      </c>
      <c r="AE116" s="7">
        <v>750000</v>
      </c>
      <c r="AF116" s="7">
        <v>7820722</v>
      </c>
      <c r="AG116" s="7">
        <v>8022000</v>
      </c>
      <c r="AH116" s="8">
        <v>4</v>
      </c>
      <c r="AI116" s="8">
        <v>4</v>
      </c>
    </row>
    <row r="117" spans="1:35" x14ac:dyDescent="0.25">
      <c r="A117" s="6" t="str">
        <f>"140703"</f>
        <v>140703</v>
      </c>
      <c r="B117" s="6" t="s">
        <v>152</v>
      </c>
      <c r="C117" s="7">
        <v>31044709</v>
      </c>
      <c r="D117" s="7">
        <v>31553898</v>
      </c>
      <c r="E117" s="8">
        <v>1.64</v>
      </c>
      <c r="F117" s="7">
        <v>12060755</v>
      </c>
      <c r="G117" s="7">
        <v>12299558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12060755</v>
      </c>
      <c r="O117" s="7">
        <v>12299558</v>
      </c>
      <c r="P117" s="8">
        <v>1.98</v>
      </c>
      <c r="Q117" s="7">
        <v>0</v>
      </c>
      <c r="R117" s="7">
        <v>0</v>
      </c>
      <c r="S117" s="7">
        <v>12396968</v>
      </c>
      <c r="T117" s="7">
        <v>12410746</v>
      </c>
      <c r="U117" s="7">
        <v>12060755</v>
      </c>
      <c r="V117" s="7">
        <v>12299558</v>
      </c>
      <c r="W117" s="7">
        <v>336213</v>
      </c>
      <c r="X117" s="7">
        <v>111188</v>
      </c>
      <c r="Y117" s="7">
        <v>1289</v>
      </c>
      <c r="Z117" s="7">
        <v>1270</v>
      </c>
      <c r="AA117" s="8">
        <v>-1.47</v>
      </c>
      <c r="AB117" s="7">
        <v>5497787</v>
      </c>
      <c r="AC117" s="7">
        <v>6096540</v>
      </c>
      <c r="AD117" s="7">
        <v>2746639</v>
      </c>
      <c r="AE117" s="7">
        <v>2842744</v>
      </c>
      <c r="AF117" s="7">
        <v>6064795</v>
      </c>
      <c r="AG117" s="7">
        <v>3150000</v>
      </c>
      <c r="AH117" s="8">
        <v>19.54</v>
      </c>
      <c r="AI117" s="8">
        <v>9.98</v>
      </c>
    </row>
    <row r="118" spans="1:35" x14ac:dyDescent="0.25">
      <c r="A118" s="6" t="str">
        <f>"510401"</f>
        <v>510401</v>
      </c>
      <c r="B118" s="6" t="s">
        <v>153</v>
      </c>
      <c r="C118" s="7">
        <v>10485663</v>
      </c>
      <c r="D118" s="7">
        <v>10638805</v>
      </c>
      <c r="E118" s="8">
        <v>1.46</v>
      </c>
      <c r="F118" s="7">
        <v>4068100</v>
      </c>
      <c r="G118" s="7">
        <v>4114015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4068100</v>
      </c>
      <c r="O118" s="7">
        <v>4114015</v>
      </c>
      <c r="P118" s="8">
        <v>1.1299999999999999</v>
      </c>
      <c r="Q118" s="7">
        <v>152746</v>
      </c>
      <c r="R118" s="7">
        <v>136970</v>
      </c>
      <c r="S118" s="7">
        <v>3915354</v>
      </c>
      <c r="T118" s="7">
        <v>3977046</v>
      </c>
      <c r="U118" s="7">
        <v>3915354</v>
      </c>
      <c r="V118" s="7">
        <v>3977045</v>
      </c>
      <c r="W118" s="7">
        <v>0</v>
      </c>
      <c r="X118" s="7">
        <v>1</v>
      </c>
      <c r="Y118" s="7">
        <v>320</v>
      </c>
      <c r="Z118" s="7">
        <v>310</v>
      </c>
      <c r="AA118" s="8">
        <v>-3.12</v>
      </c>
      <c r="AB118" s="7">
        <v>3535003</v>
      </c>
      <c r="AC118" s="7">
        <v>3281603</v>
      </c>
      <c r="AD118" s="7">
        <v>1393126</v>
      </c>
      <c r="AE118" s="12">
        <v>1314311</v>
      </c>
      <c r="AF118" s="13">
        <v>-316106</v>
      </c>
      <c r="AG118" s="12">
        <v>15000</v>
      </c>
      <c r="AH118" s="14">
        <v>-3.01</v>
      </c>
      <c r="AI118" s="15">
        <v>0.14000000000000001</v>
      </c>
    </row>
    <row r="119" spans="1:35" x14ac:dyDescent="0.25">
      <c r="A119" s="6" t="str">
        <f>"411101"</f>
        <v>411101</v>
      </c>
      <c r="B119" s="6" t="s">
        <v>154</v>
      </c>
      <c r="C119" s="7">
        <v>26800804</v>
      </c>
      <c r="D119" s="7">
        <v>27405116</v>
      </c>
      <c r="E119" s="8">
        <v>2.25</v>
      </c>
      <c r="F119" s="7">
        <v>14762056</v>
      </c>
      <c r="G119" s="7">
        <v>15076301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14762056</v>
      </c>
      <c r="O119" s="7">
        <v>15076301</v>
      </c>
      <c r="P119" s="8">
        <v>2.13</v>
      </c>
      <c r="Q119" s="7">
        <v>626402</v>
      </c>
      <c r="R119" s="7">
        <v>670148</v>
      </c>
      <c r="S119" s="7">
        <v>14135654</v>
      </c>
      <c r="T119" s="7">
        <v>14406153</v>
      </c>
      <c r="U119" s="7">
        <v>14135654</v>
      </c>
      <c r="V119" s="7">
        <v>14406153</v>
      </c>
      <c r="W119" s="7">
        <v>0</v>
      </c>
      <c r="X119" s="7">
        <v>0</v>
      </c>
      <c r="Y119" s="7">
        <v>1296</v>
      </c>
      <c r="Z119" s="7">
        <v>1300</v>
      </c>
      <c r="AA119" s="8">
        <v>0.31</v>
      </c>
      <c r="AB119" s="7">
        <v>4793155</v>
      </c>
      <c r="AC119" s="7">
        <v>4650779</v>
      </c>
      <c r="AD119" s="7">
        <v>576855</v>
      </c>
      <c r="AE119" s="7">
        <v>550000</v>
      </c>
      <c r="AF119" s="7">
        <v>1072032</v>
      </c>
      <c r="AG119" s="7">
        <v>1093053</v>
      </c>
      <c r="AH119" s="8">
        <v>4</v>
      </c>
      <c r="AI119" s="8">
        <v>3.99</v>
      </c>
    </row>
    <row r="120" spans="1:35" x14ac:dyDescent="0.25">
      <c r="A120" s="6" t="str">
        <f>"650301"</f>
        <v>650301</v>
      </c>
      <c r="B120" s="6" t="s">
        <v>155</v>
      </c>
      <c r="C120" s="7">
        <v>18839071</v>
      </c>
      <c r="D120" s="7">
        <v>19748605</v>
      </c>
      <c r="E120" s="8">
        <v>4.83</v>
      </c>
      <c r="F120" s="7">
        <v>4872345</v>
      </c>
      <c r="G120" s="7">
        <v>4872345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4872345</v>
      </c>
      <c r="O120" s="7">
        <v>4872345</v>
      </c>
      <c r="P120" s="8">
        <v>0</v>
      </c>
      <c r="Q120" s="7">
        <v>0</v>
      </c>
      <c r="R120" s="7">
        <v>0</v>
      </c>
      <c r="S120" s="7">
        <v>4977612</v>
      </c>
      <c r="T120" s="7">
        <v>5009497</v>
      </c>
      <c r="U120" s="7">
        <v>4872345</v>
      </c>
      <c r="V120" s="7">
        <v>4872345</v>
      </c>
      <c r="W120" s="7">
        <v>105267</v>
      </c>
      <c r="X120" s="7">
        <v>137152</v>
      </c>
      <c r="Y120" s="7">
        <v>824</v>
      </c>
      <c r="Z120" s="7">
        <v>830</v>
      </c>
      <c r="AA120" s="8">
        <v>0.73</v>
      </c>
      <c r="AB120" s="7">
        <v>8326782</v>
      </c>
      <c r="AC120" s="7">
        <v>8750000</v>
      </c>
      <c r="AD120" s="7">
        <v>0</v>
      </c>
      <c r="AE120" s="7">
        <v>100000</v>
      </c>
      <c r="AF120" s="7">
        <v>486374</v>
      </c>
      <c r="AG120" s="7">
        <v>789944</v>
      </c>
      <c r="AH120" s="8">
        <v>2.58</v>
      </c>
      <c r="AI120" s="8">
        <v>4</v>
      </c>
    </row>
    <row r="121" spans="1:35" x14ac:dyDescent="0.25">
      <c r="A121" s="6" t="str">
        <f>"060701"</f>
        <v>060701</v>
      </c>
      <c r="B121" s="6" t="s">
        <v>156</v>
      </c>
      <c r="C121" s="7">
        <v>10524441</v>
      </c>
      <c r="D121" s="7">
        <v>11287390</v>
      </c>
      <c r="E121" s="8">
        <v>7.25</v>
      </c>
      <c r="F121" s="7">
        <v>4116464</v>
      </c>
      <c r="G121" s="7">
        <v>4111939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4116464</v>
      </c>
      <c r="O121" s="7">
        <v>4111939</v>
      </c>
      <c r="P121" s="8">
        <v>-0.11</v>
      </c>
      <c r="Q121" s="7">
        <v>246293</v>
      </c>
      <c r="R121" s="7">
        <v>167913</v>
      </c>
      <c r="S121" s="7">
        <v>3870374</v>
      </c>
      <c r="T121" s="7">
        <v>3944026</v>
      </c>
      <c r="U121" s="7">
        <v>3870171</v>
      </c>
      <c r="V121" s="7">
        <v>3944026</v>
      </c>
      <c r="W121" s="7">
        <v>203</v>
      </c>
      <c r="X121" s="7">
        <v>0</v>
      </c>
      <c r="Y121" s="7">
        <v>432</v>
      </c>
      <c r="Z121" s="7">
        <v>473</v>
      </c>
      <c r="AA121" s="8">
        <v>9.49</v>
      </c>
      <c r="AB121" s="7">
        <v>992977</v>
      </c>
      <c r="AC121" s="7">
        <v>856977</v>
      </c>
      <c r="AD121" s="7">
        <v>218000</v>
      </c>
      <c r="AE121" s="7">
        <v>909493</v>
      </c>
      <c r="AF121" s="7">
        <v>1718965</v>
      </c>
      <c r="AG121" s="7">
        <v>446240</v>
      </c>
      <c r="AH121" s="8">
        <v>16.329999999999998</v>
      </c>
      <c r="AI121" s="8">
        <v>3.95</v>
      </c>
    </row>
    <row r="122" spans="1:35" x14ac:dyDescent="0.25">
      <c r="A122" s="6" t="str">
        <f>"541102"</f>
        <v>541102</v>
      </c>
      <c r="B122" s="6" t="s">
        <v>157</v>
      </c>
      <c r="C122" s="7">
        <v>39567449</v>
      </c>
      <c r="D122" s="7">
        <v>40459022</v>
      </c>
      <c r="E122" s="8">
        <v>2.25</v>
      </c>
      <c r="F122" s="7">
        <v>15289691</v>
      </c>
      <c r="G122" s="7">
        <v>15386086</v>
      </c>
      <c r="H122" s="7">
        <v>120213</v>
      </c>
      <c r="I122" s="7">
        <v>116413</v>
      </c>
      <c r="J122" s="7">
        <v>0</v>
      </c>
      <c r="K122" s="7">
        <v>0</v>
      </c>
      <c r="L122" s="7">
        <v>0</v>
      </c>
      <c r="M122" s="7">
        <v>0</v>
      </c>
      <c r="N122" s="7">
        <v>15409904</v>
      </c>
      <c r="O122" s="7">
        <v>15502499</v>
      </c>
      <c r="P122" s="8">
        <v>0.6</v>
      </c>
      <c r="Q122" s="7">
        <v>233495</v>
      </c>
      <c r="R122" s="7">
        <v>207137</v>
      </c>
      <c r="S122" s="7">
        <v>15056196</v>
      </c>
      <c r="T122" s="7">
        <v>15178949</v>
      </c>
      <c r="U122" s="7">
        <v>15056196</v>
      </c>
      <c r="V122" s="7">
        <v>15178949</v>
      </c>
      <c r="W122" s="7">
        <v>0</v>
      </c>
      <c r="X122" s="7">
        <v>0</v>
      </c>
      <c r="Y122" s="7">
        <v>1748</v>
      </c>
      <c r="Z122" s="7">
        <v>1709</v>
      </c>
      <c r="AA122" s="8">
        <v>-2.23</v>
      </c>
      <c r="AB122" s="7">
        <v>3326452</v>
      </c>
      <c r="AC122" s="7">
        <v>3326452</v>
      </c>
      <c r="AD122" s="7">
        <v>1178187</v>
      </c>
      <c r="AE122" s="7">
        <v>1178187</v>
      </c>
      <c r="AF122" s="7">
        <v>2900840</v>
      </c>
      <c r="AG122" s="7">
        <v>4453442</v>
      </c>
      <c r="AH122" s="8">
        <v>7.33</v>
      </c>
      <c r="AI122" s="8">
        <v>11.01</v>
      </c>
    </row>
    <row r="123" spans="1:35" x14ac:dyDescent="0.25">
      <c r="A123" s="6" t="str">
        <f>"010500"</f>
        <v>010500</v>
      </c>
      <c r="B123" s="6" t="s">
        <v>158</v>
      </c>
      <c r="C123" s="7">
        <v>41425588</v>
      </c>
      <c r="D123" s="7">
        <v>41826200</v>
      </c>
      <c r="E123" s="8">
        <v>0.97</v>
      </c>
      <c r="F123" s="7">
        <v>14710755</v>
      </c>
      <c r="G123" s="7">
        <v>14949499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14710755</v>
      </c>
      <c r="O123" s="7">
        <v>14949499</v>
      </c>
      <c r="P123" s="8">
        <v>1.62</v>
      </c>
      <c r="Q123" s="7">
        <v>0</v>
      </c>
      <c r="R123" s="7">
        <v>0</v>
      </c>
      <c r="S123" s="7">
        <v>14736307</v>
      </c>
      <c r="T123" s="7">
        <v>14949499</v>
      </c>
      <c r="U123" s="7">
        <v>14710755</v>
      </c>
      <c r="V123" s="7">
        <v>14949499</v>
      </c>
      <c r="W123" s="7">
        <v>25552</v>
      </c>
      <c r="X123" s="7">
        <v>0</v>
      </c>
      <c r="Y123" s="7">
        <v>2019</v>
      </c>
      <c r="Z123" s="7">
        <v>2000</v>
      </c>
      <c r="AA123" s="8">
        <v>-0.94</v>
      </c>
      <c r="AB123" s="7">
        <v>1169666</v>
      </c>
      <c r="AC123" s="7">
        <v>1046855</v>
      </c>
      <c r="AD123" s="7">
        <v>613541</v>
      </c>
      <c r="AE123" s="7">
        <v>596855</v>
      </c>
      <c r="AF123" s="7">
        <v>3544114</v>
      </c>
      <c r="AG123" s="7">
        <v>2930573</v>
      </c>
      <c r="AH123" s="8">
        <v>8.56</v>
      </c>
      <c r="AI123" s="8">
        <v>7.01</v>
      </c>
    </row>
    <row r="124" spans="1:35" x14ac:dyDescent="0.25">
      <c r="A124" s="6" t="str">
        <f>"580402"</f>
        <v>580402</v>
      </c>
      <c r="B124" s="6" t="s">
        <v>159</v>
      </c>
      <c r="C124" s="7">
        <v>64985279</v>
      </c>
      <c r="D124" s="7">
        <v>66623073</v>
      </c>
      <c r="E124" s="8">
        <v>2.52</v>
      </c>
      <c r="F124" s="7">
        <v>59886302</v>
      </c>
      <c r="G124" s="7">
        <v>61338444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59886302</v>
      </c>
      <c r="O124" s="7">
        <v>61338444</v>
      </c>
      <c r="P124" s="8">
        <v>2.42</v>
      </c>
      <c r="Q124" s="7">
        <v>2752538</v>
      </c>
      <c r="R124" s="7">
        <v>3218428</v>
      </c>
      <c r="S124" s="7">
        <v>57242189</v>
      </c>
      <c r="T124" s="7">
        <v>58120016</v>
      </c>
      <c r="U124" s="7">
        <v>57133764</v>
      </c>
      <c r="V124" s="7">
        <v>58120016</v>
      </c>
      <c r="W124" s="7">
        <v>108425</v>
      </c>
      <c r="X124" s="7">
        <v>0</v>
      </c>
      <c r="Y124" s="7">
        <v>1786</v>
      </c>
      <c r="Z124" s="7">
        <v>1768</v>
      </c>
      <c r="AA124" s="8">
        <v>-1.01</v>
      </c>
      <c r="AB124" s="7">
        <v>6185689</v>
      </c>
      <c r="AC124" s="7">
        <v>4946775</v>
      </c>
      <c r="AD124" s="7">
        <v>200000</v>
      </c>
      <c r="AE124" s="7">
        <v>500000</v>
      </c>
      <c r="AF124" s="7">
        <v>2599409</v>
      </c>
      <c r="AG124" s="7">
        <v>2598967</v>
      </c>
      <c r="AH124" s="8">
        <v>4</v>
      </c>
      <c r="AI124" s="8">
        <v>3.9</v>
      </c>
    </row>
    <row r="125" spans="1:35" x14ac:dyDescent="0.25">
      <c r="A125" s="6" t="str">
        <f>"510501"</f>
        <v>510501</v>
      </c>
      <c r="B125" s="6" t="s">
        <v>160</v>
      </c>
      <c r="C125" s="7">
        <v>10610000</v>
      </c>
      <c r="D125" s="7">
        <v>10610000</v>
      </c>
      <c r="E125" s="8">
        <v>0</v>
      </c>
      <c r="F125" s="7">
        <v>7310000</v>
      </c>
      <c r="G125" s="7">
        <v>7365000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7310000</v>
      </c>
      <c r="O125" s="7">
        <v>7365000</v>
      </c>
      <c r="P125" s="8">
        <v>0.75</v>
      </c>
      <c r="Q125" s="7">
        <v>573665</v>
      </c>
      <c r="R125" s="7">
        <v>543802</v>
      </c>
      <c r="S125" s="7">
        <v>6738063</v>
      </c>
      <c r="T125" s="7">
        <v>6821220</v>
      </c>
      <c r="U125" s="7">
        <v>6736335</v>
      </c>
      <c r="V125" s="7">
        <v>6821198</v>
      </c>
      <c r="W125" s="7">
        <v>1728</v>
      </c>
      <c r="X125" s="7">
        <v>22</v>
      </c>
      <c r="Y125" s="7">
        <v>325</v>
      </c>
      <c r="Z125" s="7">
        <v>325</v>
      </c>
      <c r="AA125" s="8">
        <v>0</v>
      </c>
      <c r="AB125" s="7">
        <v>1401962</v>
      </c>
      <c r="AC125" s="7">
        <v>1500000</v>
      </c>
      <c r="AD125" s="7">
        <v>475000</v>
      </c>
      <c r="AE125" s="7">
        <v>415000</v>
      </c>
      <c r="AF125" s="7">
        <v>468132</v>
      </c>
      <c r="AG125" s="7">
        <v>420000</v>
      </c>
      <c r="AH125" s="8">
        <v>4.41</v>
      </c>
      <c r="AI125" s="8">
        <v>3.96</v>
      </c>
    </row>
    <row r="126" spans="1:35" x14ac:dyDescent="0.25">
      <c r="A126" s="6" t="str">
        <f>"580410"</f>
        <v>580410</v>
      </c>
      <c r="B126" s="6" t="s">
        <v>161</v>
      </c>
      <c r="C126" s="7">
        <v>187532818</v>
      </c>
      <c r="D126" s="7">
        <v>190163464</v>
      </c>
      <c r="E126" s="8">
        <v>1.4</v>
      </c>
      <c r="F126" s="7">
        <v>132432249</v>
      </c>
      <c r="G126" s="7">
        <v>135067651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132432249</v>
      </c>
      <c r="O126" s="7">
        <v>135067651</v>
      </c>
      <c r="P126" s="8">
        <v>1.99</v>
      </c>
      <c r="Q126" s="7">
        <v>4347013</v>
      </c>
      <c r="R126" s="7">
        <v>4809730</v>
      </c>
      <c r="S126" s="7">
        <v>128085236</v>
      </c>
      <c r="T126" s="7">
        <v>130257921</v>
      </c>
      <c r="U126" s="7">
        <v>128085236</v>
      </c>
      <c r="V126" s="7">
        <v>130257921</v>
      </c>
      <c r="W126" s="7">
        <v>0</v>
      </c>
      <c r="X126" s="7">
        <v>0</v>
      </c>
      <c r="Y126" s="7">
        <v>6311</v>
      </c>
      <c r="Z126" s="7">
        <v>6062</v>
      </c>
      <c r="AA126" s="8">
        <v>-3.95</v>
      </c>
      <c r="AB126" s="7">
        <v>9458090</v>
      </c>
      <c r="AC126" s="7">
        <v>9008090</v>
      </c>
      <c r="AD126" s="7">
        <v>9145392</v>
      </c>
      <c r="AE126" s="7">
        <v>7879753</v>
      </c>
      <c r="AF126" s="7">
        <v>4142936</v>
      </c>
      <c r="AG126" s="7">
        <v>4300000</v>
      </c>
      <c r="AH126" s="8">
        <v>2.21</v>
      </c>
      <c r="AI126" s="8">
        <v>2.2599999999999998</v>
      </c>
    </row>
    <row r="127" spans="1:35" x14ac:dyDescent="0.25">
      <c r="A127" s="6" t="str">
        <f>"580507"</f>
        <v>580507</v>
      </c>
      <c r="B127" s="6" t="s">
        <v>162</v>
      </c>
      <c r="C127" s="7">
        <v>184051579</v>
      </c>
      <c r="D127" s="7">
        <v>187403135</v>
      </c>
      <c r="E127" s="8">
        <v>1.82</v>
      </c>
      <c r="F127" s="7">
        <v>120823886</v>
      </c>
      <c r="G127" s="7">
        <v>122226866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120823886</v>
      </c>
      <c r="O127" s="7">
        <v>122226866</v>
      </c>
      <c r="P127" s="8">
        <v>1.1599999999999999</v>
      </c>
      <c r="Q127" s="7">
        <v>557774</v>
      </c>
      <c r="R127" s="7">
        <v>409152</v>
      </c>
      <c r="S127" s="7">
        <v>120266112</v>
      </c>
      <c r="T127" s="7">
        <v>121817714</v>
      </c>
      <c r="U127" s="7">
        <v>120266112</v>
      </c>
      <c r="V127" s="7">
        <v>121817714</v>
      </c>
      <c r="W127" s="7">
        <v>0</v>
      </c>
      <c r="X127" s="7">
        <v>0</v>
      </c>
      <c r="Y127" s="7">
        <v>5966</v>
      </c>
      <c r="Z127" s="7">
        <v>5846</v>
      </c>
      <c r="AA127" s="8">
        <v>-2.0099999999999998</v>
      </c>
      <c r="AB127" s="7">
        <v>39195909</v>
      </c>
      <c r="AC127" s="7">
        <v>39195909</v>
      </c>
      <c r="AD127" s="7">
        <v>2083689</v>
      </c>
      <c r="AE127" s="7">
        <v>2639337</v>
      </c>
      <c r="AF127" s="7">
        <v>15398662</v>
      </c>
      <c r="AG127" s="7">
        <v>7496125</v>
      </c>
      <c r="AH127" s="8">
        <v>8.3699999999999992</v>
      </c>
      <c r="AI127" s="8">
        <v>4</v>
      </c>
    </row>
    <row r="128" spans="1:35" x14ac:dyDescent="0.25">
      <c r="A128" s="6" t="str">
        <f>"471701"</f>
        <v>471701</v>
      </c>
      <c r="B128" s="6" t="s">
        <v>163</v>
      </c>
      <c r="C128" s="7">
        <v>18438376</v>
      </c>
      <c r="D128" s="7">
        <v>19061937</v>
      </c>
      <c r="E128" s="8">
        <v>3.38</v>
      </c>
      <c r="F128" s="7">
        <v>11375280</v>
      </c>
      <c r="G128" s="7">
        <v>11690399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11375280</v>
      </c>
      <c r="O128" s="7">
        <v>11690399</v>
      </c>
      <c r="P128" s="8">
        <v>2.77</v>
      </c>
      <c r="Q128" s="7">
        <v>507466</v>
      </c>
      <c r="R128" s="7">
        <v>662454</v>
      </c>
      <c r="S128" s="7">
        <v>10867814</v>
      </c>
      <c r="T128" s="7">
        <v>11027945</v>
      </c>
      <c r="U128" s="7">
        <v>10867814</v>
      </c>
      <c r="V128" s="7">
        <v>11027945</v>
      </c>
      <c r="W128" s="7">
        <v>0</v>
      </c>
      <c r="X128" s="7">
        <v>0</v>
      </c>
      <c r="Y128" s="7">
        <v>892</v>
      </c>
      <c r="Z128" s="7">
        <v>897</v>
      </c>
      <c r="AA128" s="8">
        <v>0.56000000000000005</v>
      </c>
      <c r="AB128" s="7">
        <v>1292419</v>
      </c>
      <c r="AC128" s="7">
        <v>1027905</v>
      </c>
      <c r="AD128" s="7">
        <v>650000</v>
      </c>
      <c r="AE128" s="7">
        <v>650000</v>
      </c>
      <c r="AF128" s="7">
        <v>736474</v>
      </c>
      <c r="AG128" s="7">
        <v>762478</v>
      </c>
      <c r="AH128" s="8">
        <v>3.99</v>
      </c>
      <c r="AI128" s="8">
        <v>4</v>
      </c>
    </row>
    <row r="129" spans="1:35" x14ac:dyDescent="0.25">
      <c r="A129" s="6" t="str">
        <f>"230201"</f>
        <v>230201</v>
      </c>
      <c r="B129" s="6" t="s">
        <v>164</v>
      </c>
      <c r="C129" s="7">
        <v>10260505</v>
      </c>
      <c r="D129" s="7">
        <v>10358620</v>
      </c>
      <c r="E129" s="8">
        <v>0.96</v>
      </c>
      <c r="F129" s="7">
        <v>1685476</v>
      </c>
      <c r="G129" s="7">
        <v>1719185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1685476</v>
      </c>
      <c r="O129" s="7">
        <v>1719185</v>
      </c>
      <c r="P129" s="8">
        <v>2</v>
      </c>
      <c r="Q129" s="7">
        <v>346869</v>
      </c>
      <c r="R129" s="7">
        <v>346974</v>
      </c>
      <c r="S129" s="7">
        <v>1126371</v>
      </c>
      <c r="T129" s="7">
        <v>1376160</v>
      </c>
      <c r="U129" s="7">
        <v>1338607</v>
      </c>
      <c r="V129" s="7">
        <v>1372211</v>
      </c>
      <c r="W129" s="7">
        <v>-212236</v>
      </c>
      <c r="X129" s="7">
        <v>3949</v>
      </c>
      <c r="Y129" s="7">
        <v>462</v>
      </c>
      <c r="Z129" s="7">
        <v>481</v>
      </c>
      <c r="AA129" s="8">
        <v>4.1100000000000003</v>
      </c>
      <c r="AB129" s="7">
        <v>165650</v>
      </c>
      <c r="AC129" s="7">
        <v>375233</v>
      </c>
      <c r="AD129" s="7">
        <v>626602</v>
      </c>
      <c r="AE129" s="7">
        <v>400829</v>
      </c>
      <c r="AF129" s="7">
        <v>1214628</v>
      </c>
      <c r="AG129" s="7">
        <v>960110</v>
      </c>
      <c r="AH129" s="8">
        <v>11.84</v>
      </c>
      <c r="AI129" s="8">
        <v>9.27</v>
      </c>
    </row>
    <row r="130" spans="1:35" x14ac:dyDescent="0.25">
      <c r="A130" s="6" t="str">
        <f>"580105"</f>
        <v>580105</v>
      </c>
      <c r="B130" s="6" t="s">
        <v>165</v>
      </c>
      <c r="C130" s="7">
        <v>115169633</v>
      </c>
      <c r="D130" s="7">
        <v>118569805</v>
      </c>
      <c r="E130" s="8">
        <v>2.95</v>
      </c>
      <c r="F130" s="7">
        <v>59060433</v>
      </c>
      <c r="G130" s="7">
        <v>60742838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59060433</v>
      </c>
      <c r="O130" s="7">
        <v>60742838</v>
      </c>
      <c r="P130" s="8">
        <v>2.85</v>
      </c>
      <c r="Q130" s="7">
        <v>256601</v>
      </c>
      <c r="R130" s="7">
        <v>504447</v>
      </c>
      <c r="S130" s="7">
        <v>58803832</v>
      </c>
      <c r="T130" s="7">
        <v>60238391</v>
      </c>
      <c r="U130" s="7">
        <v>58803832</v>
      </c>
      <c r="V130" s="7">
        <v>60238391</v>
      </c>
      <c r="W130" s="7">
        <v>0</v>
      </c>
      <c r="X130" s="7">
        <v>0</v>
      </c>
      <c r="Y130" s="7">
        <v>4951</v>
      </c>
      <c r="Z130" s="7">
        <v>4975</v>
      </c>
      <c r="AA130" s="8">
        <v>0.48</v>
      </c>
      <c r="AB130" s="7">
        <v>3785000</v>
      </c>
      <c r="AC130" s="7">
        <v>5615000</v>
      </c>
      <c r="AD130" s="7">
        <v>1100000</v>
      </c>
      <c r="AE130" s="7">
        <v>1100000</v>
      </c>
      <c r="AF130" s="7">
        <v>4700000</v>
      </c>
      <c r="AG130" s="7">
        <v>4800000</v>
      </c>
      <c r="AH130" s="8">
        <v>4.08</v>
      </c>
      <c r="AI130" s="8">
        <v>4.05</v>
      </c>
    </row>
    <row r="131" spans="1:35" x14ac:dyDescent="0.25">
      <c r="A131" s="6" t="str">
        <f>"520401"</f>
        <v>520401</v>
      </c>
      <c r="B131" s="6" t="s">
        <v>166</v>
      </c>
      <c r="C131" s="7">
        <v>21649745</v>
      </c>
      <c r="D131" s="7">
        <v>21100460</v>
      </c>
      <c r="E131" s="8">
        <v>-2.54</v>
      </c>
      <c r="F131" s="7">
        <v>8743674</v>
      </c>
      <c r="G131" s="7">
        <v>8952960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8743674</v>
      </c>
      <c r="O131" s="7">
        <v>8952960</v>
      </c>
      <c r="P131" s="8">
        <v>2.39</v>
      </c>
      <c r="Q131" s="7">
        <v>76009</v>
      </c>
      <c r="R131" s="7">
        <v>287485</v>
      </c>
      <c r="S131" s="7">
        <v>8708729</v>
      </c>
      <c r="T131" s="7">
        <v>8869906</v>
      </c>
      <c r="U131" s="7">
        <v>8667665</v>
      </c>
      <c r="V131" s="7">
        <v>8665475</v>
      </c>
      <c r="W131" s="7">
        <v>41064</v>
      </c>
      <c r="X131" s="7">
        <v>204431</v>
      </c>
      <c r="Y131" s="7">
        <v>1208</v>
      </c>
      <c r="Z131" s="7">
        <v>1180</v>
      </c>
      <c r="AA131" s="8">
        <v>-2.3199999999999998</v>
      </c>
      <c r="AB131" s="7">
        <v>908723</v>
      </c>
      <c r="AC131" s="7">
        <v>1000000</v>
      </c>
      <c r="AD131" s="7">
        <v>0</v>
      </c>
      <c r="AE131" s="7">
        <v>100000</v>
      </c>
      <c r="AF131" s="7">
        <v>938306</v>
      </c>
      <c r="AG131" s="7">
        <v>845000</v>
      </c>
      <c r="AH131" s="8">
        <v>4.33</v>
      </c>
      <c r="AI131" s="8">
        <v>4</v>
      </c>
    </row>
    <row r="132" spans="1:35" x14ac:dyDescent="0.25">
      <c r="A132" s="6" t="str">
        <f>"571000"</f>
        <v>571000</v>
      </c>
      <c r="B132" s="6" t="s">
        <v>167</v>
      </c>
      <c r="C132" s="7">
        <v>104717140</v>
      </c>
      <c r="D132" s="7">
        <v>106778204</v>
      </c>
      <c r="E132" s="8">
        <v>1.97</v>
      </c>
      <c r="F132" s="7">
        <v>50968797</v>
      </c>
      <c r="G132" s="7">
        <v>51854114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50968797</v>
      </c>
      <c r="O132" s="7">
        <v>51854114</v>
      </c>
      <c r="P132" s="8">
        <v>1.74</v>
      </c>
      <c r="Q132" s="7">
        <v>1986630</v>
      </c>
      <c r="R132" s="7">
        <v>2286630</v>
      </c>
      <c r="S132" s="7">
        <v>48982167</v>
      </c>
      <c r="T132" s="7">
        <v>49567484</v>
      </c>
      <c r="U132" s="7">
        <v>48982167</v>
      </c>
      <c r="V132" s="7">
        <v>49567484</v>
      </c>
      <c r="W132" s="7">
        <v>0</v>
      </c>
      <c r="X132" s="7">
        <v>0</v>
      </c>
      <c r="Y132" s="7">
        <v>4852</v>
      </c>
      <c r="Z132" s="7">
        <v>4762</v>
      </c>
      <c r="AA132" s="8">
        <v>-1.85</v>
      </c>
      <c r="AB132" s="7">
        <v>7985638</v>
      </c>
      <c r="AC132" s="7">
        <v>6455638</v>
      </c>
      <c r="AD132" s="7">
        <v>1500000</v>
      </c>
      <c r="AE132" s="7">
        <v>1300000</v>
      </c>
      <c r="AF132" s="7">
        <v>4188685</v>
      </c>
      <c r="AG132" s="7">
        <v>4271128</v>
      </c>
      <c r="AH132" s="8">
        <v>4</v>
      </c>
      <c r="AI132" s="8">
        <v>4</v>
      </c>
    </row>
    <row r="133" spans="1:35" x14ac:dyDescent="0.25">
      <c r="A133" s="6" t="str">
        <f>"440301"</f>
        <v>440301</v>
      </c>
      <c r="B133" s="6" t="s">
        <v>168</v>
      </c>
      <c r="C133" s="7">
        <v>67770787</v>
      </c>
      <c r="D133" s="7">
        <v>69299259</v>
      </c>
      <c r="E133" s="8">
        <v>2.2599999999999998</v>
      </c>
      <c r="F133" s="7">
        <v>46025071</v>
      </c>
      <c r="G133" s="7">
        <v>46828079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46025071</v>
      </c>
      <c r="O133" s="7">
        <v>46828079</v>
      </c>
      <c r="P133" s="8">
        <v>1.74</v>
      </c>
      <c r="Q133" s="7">
        <v>1350409</v>
      </c>
      <c r="R133" s="7">
        <v>1277366</v>
      </c>
      <c r="S133" s="7">
        <v>44674662</v>
      </c>
      <c r="T133" s="7">
        <v>45550713</v>
      </c>
      <c r="U133" s="7">
        <v>44674662</v>
      </c>
      <c r="V133" s="7">
        <v>45550713</v>
      </c>
      <c r="W133" s="7">
        <v>0</v>
      </c>
      <c r="X133" s="7">
        <v>0</v>
      </c>
      <c r="Y133" s="7">
        <v>3186</v>
      </c>
      <c r="Z133" s="7">
        <v>3161</v>
      </c>
      <c r="AA133" s="8">
        <v>-0.78</v>
      </c>
      <c r="AB133" s="7">
        <v>423131</v>
      </c>
      <c r="AC133" s="7">
        <v>373150</v>
      </c>
      <c r="AD133" s="7">
        <v>2550545</v>
      </c>
      <c r="AE133" s="7">
        <v>2550000</v>
      </c>
      <c r="AF133" s="7">
        <v>2564099</v>
      </c>
      <c r="AG133" s="7">
        <v>2650000</v>
      </c>
      <c r="AH133" s="8">
        <v>3.78</v>
      </c>
      <c r="AI133" s="8">
        <v>3.82</v>
      </c>
    </row>
    <row r="134" spans="1:35" x14ac:dyDescent="0.25">
      <c r="A134" s="6" t="str">
        <f>"110200"</f>
        <v>110200</v>
      </c>
      <c r="B134" s="6" t="s">
        <v>169</v>
      </c>
      <c r="C134" s="7">
        <v>49576887</v>
      </c>
      <c r="D134" s="7">
        <v>49576887</v>
      </c>
      <c r="E134" s="8">
        <v>0</v>
      </c>
      <c r="F134" s="7">
        <v>17006932</v>
      </c>
      <c r="G134" s="7">
        <v>17006932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17006932</v>
      </c>
      <c r="O134" s="7">
        <v>17006932</v>
      </c>
      <c r="P134" s="8">
        <v>0</v>
      </c>
      <c r="Q134" s="7">
        <v>1160073</v>
      </c>
      <c r="R134" s="7">
        <v>883883</v>
      </c>
      <c r="S134" s="7">
        <v>15854577</v>
      </c>
      <c r="T134" s="7">
        <v>16123195</v>
      </c>
      <c r="U134" s="7">
        <v>15846859</v>
      </c>
      <c r="V134" s="7">
        <v>16123049</v>
      </c>
      <c r="W134" s="7">
        <v>7718</v>
      </c>
      <c r="X134" s="7">
        <v>146</v>
      </c>
      <c r="Y134" s="7">
        <v>2550</v>
      </c>
      <c r="Z134" s="7">
        <v>2406</v>
      </c>
      <c r="AA134" s="8">
        <v>-5.65</v>
      </c>
      <c r="AB134" s="7">
        <v>6998224</v>
      </c>
      <c r="AC134" s="7">
        <v>5658224</v>
      </c>
      <c r="AD134" s="7">
        <v>535000</v>
      </c>
      <c r="AE134" s="7">
        <v>535000</v>
      </c>
      <c r="AF134" s="7">
        <v>159480</v>
      </c>
      <c r="AG134" s="7">
        <v>159300</v>
      </c>
      <c r="AH134" s="8">
        <v>0.32</v>
      </c>
      <c r="AI134" s="8">
        <v>0.32</v>
      </c>
    </row>
    <row r="135" spans="1:35" x14ac:dyDescent="0.25">
      <c r="A135" s="6" t="str">
        <f>"190501"</f>
        <v>190501</v>
      </c>
      <c r="B135" s="6" t="s">
        <v>170</v>
      </c>
      <c r="C135" s="7">
        <v>29912283</v>
      </c>
      <c r="D135" s="7">
        <v>30841922</v>
      </c>
      <c r="E135" s="8">
        <v>3.11</v>
      </c>
      <c r="F135" s="7">
        <v>16569095</v>
      </c>
      <c r="G135" s="7">
        <v>16992750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16569095</v>
      </c>
      <c r="O135" s="7">
        <v>16992750</v>
      </c>
      <c r="P135" s="8">
        <v>2.56</v>
      </c>
      <c r="Q135" s="7">
        <v>327353</v>
      </c>
      <c r="R135" s="7">
        <v>503280</v>
      </c>
      <c r="S135" s="7">
        <v>16569095</v>
      </c>
      <c r="T135" s="7">
        <v>16992750</v>
      </c>
      <c r="U135" s="7">
        <v>16241742</v>
      </c>
      <c r="V135" s="7">
        <v>16489470</v>
      </c>
      <c r="W135" s="7">
        <v>327353</v>
      </c>
      <c r="X135" s="7">
        <v>503280</v>
      </c>
      <c r="Y135" s="7">
        <v>1324</v>
      </c>
      <c r="Z135" s="7">
        <v>1320</v>
      </c>
      <c r="AA135" s="8">
        <v>-0.3</v>
      </c>
      <c r="AB135" s="7">
        <v>2306834</v>
      </c>
      <c r="AC135" s="7">
        <v>2084850</v>
      </c>
      <c r="AD135" s="7">
        <v>1940669</v>
      </c>
      <c r="AE135" s="7">
        <v>1875000</v>
      </c>
      <c r="AF135" s="7">
        <v>1241553</v>
      </c>
      <c r="AG135" s="7">
        <v>1233500</v>
      </c>
      <c r="AH135" s="8">
        <v>4.1500000000000004</v>
      </c>
      <c r="AI135" s="8">
        <v>4</v>
      </c>
    </row>
    <row r="136" spans="1:35" x14ac:dyDescent="0.25">
      <c r="A136" s="6" t="str">
        <f>"660202"</f>
        <v>660202</v>
      </c>
      <c r="B136" s="6" t="s">
        <v>171</v>
      </c>
      <c r="C136" s="7">
        <v>45905975</v>
      </c>
      <c r="D136" s="7">
        <v>46499826</v>
      </c>
      <c r="E136" s="8">
        <v>1.29</v>
      </c>
      <c r="F136" s="7">
        <v>38568414</v>
      </c>
      <c r="G136" s="7">
        <v>38898465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38568414</v>
      </c>
      <c r="O136" s="7">
        <v>38898465</v>
      </c>
      <c r="P136" s="8">
        <v>0.86</v>
      </c>
      <c r="Q136" s="7">
        <v>2236497</v>
      </c>
      <c r="R136" s="7">
        <v>2420371</v>
      </c>
      <c r="S136" s="7">
        <v>36416559</v>
      </c>
      <c r="T136" s="7">
        <v>36817037</v>
      </c>
      <c r="U136" s="7">
        <v>36331917</v>
      </c>
      <c r="V136" s="7">
        <v>36478094</v>
      </c>
      <c r="W136" s="7">
        <v>84642</v>
      </c>
      <c r="X136" s="7">
        <v>338943</v>
      </c>
      <c r="Y136" s="7">
        <v>1639</v>
      </c>
      <c r="Z136" s="7">
        <v>1653</v>
      </c>
      <c r="AA136" s="8">
        <v>0.85</v>
      </c>
      <c r="AB136" s="7">
        <v>10848675</v>
      </c>
      <c r="AC136" s="7">
        <v>11438311</v>
      </c>
      <c r="AD136" s="7">
        <v>1326016</v>
      </c>
      <c r="AE136" s="7">
        <v>1270000</v>
      </c>
      <c r="AF136" s="7">
        <v>1867887</v>
      </c>
      <c r="AG136" s="7">
        <v>1859993</v>
      </c>
      <c r="AH136" s="8">
        <v>4.07</v>
      </c>
      <c r="AI136" s="8">
        <v>4</v>
      </c>
    </row>
    <row r="137" spans="1:35" x14ac:dyDescent="0.25">
      <c r="A137" s="6" t="str">
        <f>"150203"</f>
        <v>150203</v>
      </c>
      <c r="B137" s="6" t="s">
        <v>172</v>
      </c>
      <c r="C137" s="7">
        <v>6971017</v>
      </c>
      <c r="D137" s="7">
        <v>7765590</v>
      </c>
      <c r="E137" s="8">
        <v>11.4</v>
      </c>
      <c r="F137" s="7">
        <v>1581864</v>
      </c>
      <c r="G137" s="7">
        <v>1594145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1581864</v>
      </c>
      <c r="O137" s="7">
        <v>1594145</v>
      </c>
      <c r="P137" s="8">
        <v>0.78</v>
      </c>
      <c r="Q137" s="7">
        <v>0</v>
      </c>
      <c r="R137" s="7">
        <v>0</v>
      </c>
      <c r="S137" s="7">
        <v>1585340</v>
      </c>
      <c r="T137" s="7">
        <v>1609906</v>
      </c>
      <c r="U137" s="7">
        <v>1581864</v>
      </c>
      <c r="V137" s="7">
        <v>1594145</v>
      </c>
      <c r="W137" s="7">
        <v>3476</v>
      </c>
      <c r="X137" s="7">
        <v>15761</v>
      </c>
      <c r="Y137" s="7">
        <v>285</v>
      </c>
      <c r="Z137" s="7">
        <v>281</v>
      </c>
      <c r="AA137" s="8">
        <v>-1.4</v>
      </c>
      <c r="AB137" s="7">
        <v>319915</v>
      </c>
      <c r="AC137" s="7">
        <v>336431</v>
      </c>
      <c r="AD137" s="7">
        <v>483983</v>
      </c>
      <c r="AE137" s="7">
        <v>1161912</v>
      </c>
      <c r="AF137" s="7">
        <v>1297445</v>
      </c>
      <c r="AG137" s="7">
        <v>603000</v>
      </c>
      <c r="AH137" s="8">
        <v>18.61</v>
      </c>
      <c r="AI137" s="8">
        <v>7.77</v>
      </c>
    </row>
    <row r="138" spans="1:35" x14ac:dyDescent="0.25">
      <c r="A138" s="6" t="str">
        <f>"022302"</f>
        <v>022302</v>
      </c>
      <c r="B138" s="6" t="s">
        <v>173</v>
      </c>
      <c r="C138" s="7">
        <v>20524282</v>
      </c>
      <c r="D138" s="7">
        <v>21083482</v>
      </c>
      <c r="E138" s="8">
        <v>2.72</v>
      </c>
      <c r="F138" s="7">
        <v>5842237</v>
      </c>
      <c r="G138" s="7">
        <v>5900659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5842237</v>
      </c>
      <c r="O138" s="7">
        <v>5900659</v>
      </c>
      <c r="P138" s="8">
        <v>1</v>
      </c>
      <c r="Q138" s="7">
        <v>556179</v>
      </c>
      <c r="R138" s="7">
        <v>526727</v>
      </c>
      <c r="S138" s="7">
        <v>5326058</v>
      </c>
      <c r="T138" s="7">
        <v>5373935</v>
      </c>
      <c r="U138" s="7">
        <v>5286058</v>
      </c>
      <c r="V138" s="7">
        <v>5373932</v>
      </c>
      <c r="W138" s="7">
        <v>40000</v>
      </c>
      <c r="X138" s="7">
        <v>3</v>
      </c>
      <c r="Y138" s="7">
        <v>920</v>
      </c>
      <c r="Z138" s="7">
        <v>930</v>
      </c>
      <c r="AA138" s="8">
        <v>1.0900000000000001</v>
      </c>
      <c r="AB138" s="7">
        <v>4387503</v>
      </c>
      <c r="AC138" s="7">
        <v>4187528</v>
      </c>
      <c r="AD138" s="7">
        <v>850994</v>
      </c>
      <c r="AE138" s="7">
        <v>1016392</v>
      </c>
      <c r="AF138" s="7">
        <v>3116611</v>
      </c>
      <c r="AG138" s="7">
        <v>2002930</v>
      </c>
      <c r="AH138" s="8">
        <v>15.18</v>
      </c>
      <c r="AI138" s="8">
        <v>9.5</v>
      </c>
    </row>
    <row r="139" spans="1:35" x14ac:dyDescent="0.25">
      <c r="A139" s="6" t="str">
        <f>"241101"</f>
        <v>241101</v>
      </c>
      <c r="B139" s="6" t="s">
        <v>174</v>
      </c>
      <c r="C139" s="7">
        <v>19299888</v>
      </c>
      <c r="D139" s="7">
        <v>19398080</v>
      </c>
      <c r="E139" s="8">
        <v>0.51</v>
      </c>
      <c r="F139" s="7">
        <v>4736274</v>
      </c>
      <c r="G139" s="7">
        <v>4817456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4736274</v>
      </c>
      <c r="O139" s="7">
        <v>4817456</v>
      </c>
      <c r="P139" s="8">
        <v>1.71</v>
      </c>
      <c r="Q139" s="7">
        <v>0</v>
      </c>
      <c r="R139" s="7">
        <v>0</v>
      </c>
      <c r="S139" s="7">
        <v>4736274</v>
      </c>
      <c r="T139" s="7">
        <v>4817456</v>
      </c>
      <c r="U139" s="7">
        <v>4736274</v>
      </c>
      <c r="V139" s="7">
        <v>4817456</v>
      </c>
      <c r="W139" s="7">
        <v>0</v>
      </c>
      <c r="X139" s="7">
        <v>0</v>
      </c>
      <c r="Y139" s="7">
        <v>721</v>
      </c>
      <c r="Z139" s="7">
        <v>695</v>
      </c>
      <c r="AA139" s="8">
        <v>-3.61</v>
      </c>
      <c r="AB139" s="7">
        <v>922801</v>
      </c>
      <c r="AC139" s="7">
        <v>1350000</v>
      </c>
      <c r="AD139" s="7">
        <v>885000</v>
      </c>
      <c r="AE139" s="7">
        <v>885000</v>
      </c>
      <c r="AF139" s="7">
        <v>771994</v>
      </c>
      <c r="AG139" s="7">
        <v>775923</v>
      </c>
      <c r="AH139" s="8">
        <v>4</v>
      </c>
      <c r="AI139" s="8">
        <v>4</v>
      </c>
    </row>
    <row r="140" spans="1:35" x14ac:dyDescent="0.25">
      <c r="A140" s="6" t="str">
        <f>"241001"</f>
        <v>241001</v>
      </c>
      <c r="B140" s="6" t="s">
        <v>175</v>
      </c>
      <c r="C140" s="7">
        <v>33561467</v>
      </c>
      <c r="D140" s="7">
        <v>34020648</v>
      </c>
      <c r="E140" s="8">
        <v>1.37</v>
      </c>
      <c r="F140" s="7">
        <v>8086299</v>
      </c>
      <c r="G140" s="7">
        <v>8196392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8086299</v>
      </c>
      <c r="O140" s="7">
        <v>8196392</v>
      </c>
      <c r="P140" s="8">
        <v>1.36</v>
      </c>
      <c r="Q140" s="7">
        <v>0</v>
      </c>
      <c r="R140" s="7">
        <v>0</v>
      </c>
      <c r="S140" s="7">
        <v>8086299</v>
      </c>
      <c r="T140" s="7">
        <v>8196392</v>
      </c>
      <c r="U140" s="7">
        <v>8086299</v>
      </c>
      <c r="V140" s="7">
        <v>8196392</v>
      </c>
      <c r="W140" s="7">
        <v>0</v>
      </c>
      <c r="X140" s="7">
        <v>0</v>
      </c>
      <c r="Y140" s="7">
        <v>1544</v>
      </c>
      <c r="Z140" s="7">
        <v>1493</v>
      </c>
      <c r="AA140" s="8">
        <v>-3.3</v>
      </c>
      <c r="AB140" s="7">
        <v>4928628</v>
      </c>
      <c r="AC140" s="7">
        <v>4928628</v>
      </c>
      <c r="AD140" s="7">
        <v>1335547</v>
      </c>
      <c r="AE140" s="7">
        <v>1235547</v>
      </c>
      <c r="AF140" s="7">
        <v>1342459</v>
      </c>
      <c r="AG140" s="7">
        <v>1360826</v>
      </c>
      <c r="AH140" s="8">
        <v>4</v>
      </c>
      <c r="AI140" s="8">
        <v>4</v>
      </c>
    </row>
    <row r="141" spans="1:35" x14ac:dyDescent="0.25">
      <c r="A141" s="6" t="str">
        <f>"580107"</f>
        <v>580107</v>
      </c>
      <c r="B141" s="6" t="s">
        <v>176</v>
      </c>
      <c r="C141" s="7">
        <v>107636445</v>
      </c>
      <c r="D141" s="7">
        <v>109164588</v>
      </c>
      <c r="E141" s="8">
        <v>1.42</v>
      </c>
      <c r="F141" s="7">
        <v>68253934</v>
      </c>
      <c r="G141" s="7">
        <v>69274466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68253934</v>
      </c>
      <c r="O141" s="7">
        <v>69274466</v>
      </c>
      <c r="P141" s="8">
        <v>1.5</v>
      </c>
      <c r="Q141" s="7">
        <v>1464581</v>
      </c>
      <c r="R141" s="7">
        <v>1195316</v>
      </c>
      <c r="S141" s="7">
        <v>66789353</v>
      </c>
      <c r="T141" s="7">
        <v>68079150</v>
      </c>
      <c r="U141" s="7">
        <v>66789353</v>
      </c>
      <c r="V141" s="7">
        <v>68079150</v>
      </c>
      <c r="W141" s="7">
        <v>0</v>
      </c>
      <c r="X141" s="7">
        <v>0</v>
      </c>
      <c r="Y141" s="7">
        <v>4140</v>
      </c>
      <c r="Z141" s="7">
        <v>4034</v>
      </c>
      <c r="AA141" s="8">
        <v>-2.56</v>
      </c>
      <c r="AB141" s="7">
        <v>7836792</v>
      </c>
      <c r="AC141" s="7">
        <v>7482334</v>
      </c>
      <c r="AD141" s="7">
        <v>4904389</v>
      </c>
      <c r="AE141" s="7">
        <v>4425000</v>
      </c>
      <c r="AF141" s="7">
        <v>2932403</v>
      </c>
      <c r="AG141" s="7">
        <v>3057334</v>
      </c>
      <c r="AH141" s="8">
        <v>2.72</v>
      </c>
      <c r="AI141" s="8">
        <v>2.8</v>
      </c>
    </row>
    <row r="142" spans="1:35" x14ac:dyDescent="0.25">
      <c r="A142" s="6" t="str">
        <f>"120501"</f>
        <v>120501</v>
      </c>
      <c r="B142" s="6" t="s">
        <v>177</v>
      </c>
      <c r="C142" s="7">
        <v>20167664</v>
      </c>
      <c r="D142" s="7">
        <v>20108665</v>
      </c>
      <c r="E142" s="8">
        <v>-0.28999999999999998</v>
      </c>
      <c r="F142" s="7">
        <v>9144098</v>
      </c>
      <c r="G142" s="7">
        <v>9235538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9144098</v>
      </c>
      <c r="O142" s="7">
        <v>9235538</v>
      </c>
      <c r="P142" s="8">
        <v>1</v>
      </c>
      <c r="Q142" s="7">
        <v>0</v>
      </c>
      <c r="R142" s="7">
        <v>0</v>
      </c>
      <c r="S142" s="7">
        <v>8917271</v>
      </c>
      <c r="T142" s="7">
        <v>9500791</v>
      </c>
      <c r="U142" s="7">
        <v>9144098</v>
      </c>
      <c r="V142" s="7">
        <v>9235538</v>
      </c>
      <c r="W142" s="7">
        <v>-226827</v>
      </c>
      <c r="X142" s="7">
        <v>265253</v>
      </c>
      <c r="Y142" s="7">
        <v>740</v>
      </c>
      <c r="Z142" s="7">
        <v>740</v>
      </c>
      <c r="AA142" s="8">
        <v>0</v>
      </c>
      <c r="AB142" s="7">
        <v>5292189</v>
      </c>
      <c r="AC142" s="7">
        <v>5400000</v>
      </c>
      <c r="AD142" s="7">
        <v>686451</v>
      </c>
      <c r="AE142" s="7">
        <v>700000</v>
      </c>
      <c r="AF142" s="7">
        <v>806706</v>
      </c>
      <c r="AG142" s="7">
        <v>804346</v>
      </c>
      <c r="AH142" s="8">
        <v>4</v>
      </c>
      <c r="AI142" s="8">
        <v>4</v>
      </c>
    </row>
    <row r="143" spans="1:35" x14ac:dyDescent="0.25">
      <c r="A143" s="6" t="str">
        <f>"140707"</f>
        <v>140707</v>
      </c>
      <c r="B143" s="6" t="s">
        <v>178</v>
      </c>
      <c r="C143" s="7">
        <v>42486829</v>
      </c>
      <c r="D143" s="7">
        <v>42840728</v>
      </c>
      <c r="E143" s="8">
        <v>0.83</v>
      </c>
      <c r="F143" s="7">
        <v>17370360</v>
      </c>
      <c r="G143" s="7">
        <v>17558919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17370360</v>
      </c>
      <c r="O143" s="7">
        <v>17558919</v>
      </c>
      <c r="P143" s="8">
        <v>1.0900000000000001</v>
      </c>
      <c r="Q143" s="7">
        <v>342012</v>
      </c>
      <c r="R143" s="7">
        <v>232957</v>
      </c>
      <c r="S143" s="7">
        <v>17028348</v>
      </c>
      <c r="T143" s="7">
        <v>17325962</v>
      </c>
      <c r="U143" s="7">
        <v>17028348</v>
      </c>
      <c r="V143" s="7">
        <v>17325962</v>
      </c>
      <c r="W143" s="7">
        <v>0</v>
      </c>
      <c r="X143" s="7">
        <v>0</v>
      </c>
      <c r="Y143" s="7">
        <v>1784</v>
      </c>
      <c r="Z143" s="7">
        <v>1767</v>
      </c>
      <c r="AA143" s="8">
        <v>-0.95</v>
      </c>
      <c r="AB143" s="7">
        <v>8872775</v>
      </c>
      <c r="AC143" s="7">
        <v>7486418</v>
      </c>
      <c r="AD143" s="7">
        <v>2300000</v>
      </c>
      <c r="AE143" s="7">
        <v>2300000</v>
      </c>
      <c r="AF143" s="7">
        <v>1612436</v>
      </c>
      <c r="AG143" s="7">
        <v>1612436</v>
      </c>
      <c r="AH143" s="8">
        <v>3.8</v>
      </c>
      <c r="AI143" s="8">
        <v>3.76</v>
      </c>
    </row>
    <row r="144" spans="1:35" x14ac:dyDescent="0.25">
      <c r="A144" s="6" t="str">
        <f>"031301"</f>
        <v>031301</v>
      </c>
      <c r="B144" s="6" t="s">
        <v>179</v>
      </c>
      <c r="C144" s="7">
        <v>15659541</v>
      </c>
      <c r="D144" s="7">
        <v>15899689</v>
      </c>
      <c r="E144" s="8">
        <v>1.53</v>
      </c>
      <c r="F144" s="7">
        <v>7539547</v>
      </c>
      <c r="G144" s="7">
        <v>7738852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7539547</v>
      </c>
      <c r="O144" s="7">
        <v>7738852</v>
      </c>
      <c r="P144" s="8">
        <v>2.64</v>
      </c>
      <c r="Q144" s="7">
        <v>362421</v>
      </c>
      <c r="R144" s="7">
        <v>365991</v>
      </c>
      <c r="S144" s="7">
        <v>7192244</v>
      </c>
      <c r="T144" s="7">
        <v>7372861</v>
      </c>
      <c r="U144" s="7">
        <v>7177126</v>
      </c>
      <c r="V144" s="7">
        <v>7372861</v>
      </c>
      <c r="W144" s="7">
        <v>15118</v>
      </c>
      <c r="X144" s="7">
        <v>0</v>
      </c>
      <c r="Y144" s="7">
        <v>508</v>
      </c>
      <c r="Z144" s="7">
        <v>508</v>
      </c>
      <c r="AA144" s="8">
        <v>0</v>
      </c>
      <c r="AB144" s="7">
        <v>3542925</v>
      </c>
      <c r="AC144" s="7">
        <v>4021821</v>
      </c>
      <c r="AD144" s="7">
        <v>840000</v>
      </c>
      <c r="AE144" s="7">
        <v>500000</v>
      </c>
      <c r="AF144" s="7">
        <v>611022</v>
      </c>
      <c r="AG144" s="7">
        <v>598877</v>
      </c>
      <c r="AH144" s="8">
        <v>3.9</v>
      </c>
      <c r="AI144" s="8">
        <v>3.77</v>
      </c>
    </row>
    <row r="145" spans="1:35" x14ac:dyDescent="0.25">
      <c r="A145" s="6" t="str">
        <f>"250301"</f>
        <v>250301</v>
      </c>
      <c r="B145" s="6" t="s">
        <v>180</v>
      </c>
      <c r="C145" s="7">
        <v>9854970</v>
      </c>
      <c r="D145" s="7">
        <v>9964395</v>
      </c>
      <c r="E145" s="8">
        <v>1.1100000000000001</v>
      </c>
      <c r="F145" s="7">
        <v>3510880</v>
      </c>
      <c r="G145" s="7">
        <v>3679402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3510880</v>
      </c>
      <c r="O145" s="7">
        <v>3679402</v>
      </c>
      <c r="P145" s="8">
        <v>4.8</v>
      </c>
      <c r="Q145" s="7">
        <v>0</v>
      </c>
      <c r="R145" s="7">
        <v>40076</v>
      </c>
      <c r="S145" s="7">
        <v>3510889</v>
      </c>
      <c r="T145" s="7">
        <v>3567560</v>
      </c>
      <c r="U145" s="7">
        <v>3510880</v>
      </c>
      <c r="V145" s="7">
        <v>3639326</v>
      </c>
      <c r="W145" s="7">
        <v>9</v>
      </c>
      <c r="X145" s="7">
        <v>-71766</v>
      </c>
      <c r="Y145" s="7">
        <v>399</v>
      </c>
      <c r="Z145" s="7">
        <v>399</v>
      </c>
      <c r="AA145" s="8">
        <v>0</v>
      </c>
      <c r="AB145" s="7">
        <v>128950</v>
      </c>
      <c r="AC145" s="7">
        <v>116945</v>
      </c>
      <c r="AD145" s="7">
        <v>277531</v>
      </c>
      <c r="AE145" s="7">
        <v>280000</v>
      </c>
      <c r="AF145" s="7">
        <v>271206</v>
      </c>
      <c r="AG145" s="7">
        <v>280382</v>
      </c>
      <c r="AH145" s="8">
        <v>2.75</v>
      </c>
      <c r="AI145" s="8">
        <v>2.81</v>
      </c>
    </row>
    <row r="146" spans="1:35" x14ac:dyDescent="0.25">
      <c r="A146" s="6" t="str">
        <f>"660403"</f>
        <v>660403</v>
      </c>
      <c r="B146" s="6" t="s">
        <v>181</v>
      </c>
      <c r="C146" s="7">
        <v>42371331</v>
      </c>
      <c r="D146" s="7">
        <v>43081450</v>
      </c>
      <c r="E146" s="8">
        <v>1.68</v>
      </c>
      <c r="F146" s="7">
        <v>36028198</v>
      </c>
      <c r="G146" s="7">
        <v>36918421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36028198</v>
      </c>
      <c r="O146" s="7">
        <v>36918421</v>
      </c>
      <c r="P146" s="8">
        <v>2.4700000000000002</v>
      </c>
      <c r="Q146" s="7">
        <v>866869</v>
      </c>
      <c r="R146" s="7">
        <v>1321973</v>
      </c>
      <c r="S146" s="7">
        <v>35170163</v>
      </c>
      <c r="T146" s="7">
        <v>35903423</v>
      </c>
      <c r="U146" s="7">
        <v>35161329</v>
      </c>
      <c r="V146" s="7">
        <v>35596448</v>
      </c>
      <c r="W146" s="7">
        <v>8834</v>
      </c>
      <c r="X146" s="7">
        <v>306975</v>
      </c>
      <c r="Y146" s="7">
        <v>1493</v>
      </c>
      <c r="Z146" s="7">
        <v>1503</v>
      </c>
      <c r="AA146" s="8">
        <v>0.67</v>
      </c>
      <c r="AB146" s="7">
        <v>6979187</v>
      </c>
      <c r="AC146" s="7">
        <v>7091488</v>
      </c>
      <c r="AD146" s="7">
        <v>130586</v>
      </c>
      <c r="AE146" s="7">
        <v>250000</v>
      </c>
      <c r="AF146" s="7">
        <v>1693833</v>
      </c>
      <c r="AG146" s="7">
        <v>1723258</v>
      </c>
      <c r="AH146" s="8">
        <v>4</v>
      </c>
      <c r="AI146" s="8">
        <v>4</v>
      </c>
    </row>
    <row r="147" spans="1:35" x14ac:dyDescent="0.25">
      <c r="A147" s="6" t="str">
        <f>"211003"</f>
        <v>211003</v>
      </c>
      <c r="B147" s="6" t="s">
        <v>182</v>
      </c>
      <c r="C147" s="7">
        <v>20139151</v>
      </c>
      <c r="D147" s="7">
        <v>19953871</v>
      </c>
      <c r="E147" s="8">
        <v>-0.92</v>
      </c>
      <c r="F147" s="7">
        <v>4663733</v>
      </c>
      <c r="G147" s="7">
        <v>4756541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4663733</v>
      </c>
      <c r="O147" s="7">
        <v>4756541</v>
      </c>
      <c r="P147" s="8">
        <v>1.99</v>
      </c>
      <c r="Q147" s="7">
        <v>331789</v>
      </c>
      <c r="R147" s="7">
        <v>405321</v>
      </c>
      <c r="S147" s="7">
        <v>4547214</v>
      </c>
      <c r="T147" s="7">
        <v>4389447</v>
      </c>
      <c r="U147" s="7">
        <v>4331944</v>
      </c>
      <c r="V147" s="7">
        <v>4351220</v>
      </c>
      <c r="W147" s="7">
        <v>215270</v>
      </c>
      <c r="X147" s="7">
        <v>38227</v>
      </c>
      <c r="Y147" s="7">
        <v>903</v>
      </c>
      <c r="Z147" s="7">
        <v>920</v>
      </c>
      <c r="AA147" s="8">
        <v>1.88</v>
      </c>
      <c r="AB147" s="7">
        <v>1365678</v>
      </c>
      <c r="AC147" s="7">
        <v>1300000</v>
      </c>
      <c r="AD147" s="7">
        <v>838523</v>
      </c>
      <c r="AE147" s="7">
        <v>1849681</v>
      </c>
      <c r="AF147" s="7">
        <v>1289761</v>
      </c>
      <c r="AG147" s="7">
        <v>798155</v>
      </c>
      <c r="AH147" s="8">
        <v>6.4</v>
      </c>
      <c r="AI147" s="8">
        <v>4</v>
      </c>
    </row>
    <row r="148" spans="1:35" x14ac:dyDescent="0.25">
      <c r="A148" s="6" t="str">
        <f>"130502"</f>
        <v>130502</v>
      </c>
      <c r="B148" s="6" t="s">
        <v>183</v>
      </c>
      <c r="C148" s="7">
        <v>30752206</v>
      </c>
      <c r="D148" s="7">
        <v>31517438</v>
      </c>
      <c r="E148" s="8">
        <v>2.4900000000000002</v>
      </c>
      <c r="F148" s="7">
        <v>18357090</v>
      </c>
      <c r="G148" s="7">
        <v>18104416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18357090</v>
      </c>
      <c r="O148" s="7">
        <v>18104416</v>
      </c>
      <c r="P148" s="8">
        <v>-1.38</v>
      </c>
      <c r="Q148" s="7">
        <v>0</v>
      </c>
      <c r="R148" s="7">
        <v>0</v>
      </c>
      <c r="S148" s="7">
        <v>18357090</v>
      </c>
      <c r="T148" s="7">
        <v>18104416</v>
      </c>
      <c r="U148" s="7">
        <v>18357090</v>
      </c>
      <c r="V148" s="7">
        <v>18104416</v>
      </c>
      <c r="W148" s="7">
        <v>0</v>
      </c>
      <c r="X148" s="7">
        <v>0</v>
      </c>
      <c r="Y148" s="7">
        <v>1376</v>
      </c>
      <c r="Z148" s="7">
        <v>1364</v>
      </c>
      <c r="AA148" s="8">
        <v>-0.87</v>
      </c>
      <c r="AB148" s="7">
        <v>3817989</v>
      </c>
      <c r="AC148" s="7">
        <v>4500000</v>
      </c>
      <c r="AD148" s="7">
        <v>1000000</v>
      </c>
      <c r="AE148" s="7">
        <v>856342</v>
      </c>
      <c r="AF148" s="7">
        <v>1137002</v>
      </c>
      <c r="AG148" s="7">
        <v>1260000</v>
      </c>
      <c r="AH148" s="8">
        <v>3.7</v>
      </c>
      <c r="AI148" s="8">
        <v>4</v>
      </c>
    </row>
    <row r="149" spans="1:35" x14ac:dyDescent="0.25">
      <c r="A149" s="6" t="str">
        <f>"120301"</f>
        <v>120301</v>
      </c>
      <c r="B149" s="6" t="s">
        <v>184</v>
      </c>
      <c r="C149" s="7">
        <v>10128888</v>
      </c>
      <c r="D149" s="7">
        <v>10286812</v>
      </c>
      <c r="E149" s="8">
        <v>1.56</v>
      </c>
      <c r="F149" s="7">
        <v>7687469</v>
      </c>
      <c r="G149" s="7">
        <v>7790530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7687469</v>
      </c>
      <c r="O149" s="7">
        <v>7790530</v>
      </c>
      <c r="P149" s="8">
        <v>1.34</v>
      </c>
      <c r="Q149" s="7">
        <v>708868</v>
      </c>
      <c r="R149" s="7">
        <v>716215</v>
      </c>
      <c r="S149" s="7">
        <v>6986288</v>
      </c>
      <c r="T149" s="7">
        <v>7074315</v>
      </c>
      <c r="U149" s="7">
        <v>6978601</v>
      </c>
      <c r="V149" s="7">
        <v>7074315</v>
      </c>
      <c r="W149" s="7">
        <v>7687</v>
      </c>
      <c r="X149" s="7">
        <v>0</v>
      </c>
      <c r="Y149" s="7">
        <v>286</v>
      </c>
      <c r="Z149" s="7">
        <v>280</v>
      </c>
      <c r="AA149" s="8">
        <v>-2.1</v>
      </c>
      <c r="AB149" s="7">
        <v>4037263</v>
      </c>
      <c r="AC149" s="7">
        <v>4011888</v>
      </c>
      <c r="AD149" s="7">
        <v>469773</v>
      </c>
      <c r="AE149" s="7">
        <v>475489</v>
      </c>
      <c r="AF149" s="7">
        <v>738985</v>
      </c>
      <c r="AG149" s="7">
        <v>708985</v>
      </c>
      <c r="AH149" s="8">
        <v>7.3</v>
      </c>
      <c r="AI149" s="8">
        <v>6.89</v>
      </c>
    </row>
    <row r="150" spans="1:35" x14ac:dyDescent="0.25">
      <c r="A150" s="6" t="str">
        <f>"610301"</f>
        <v>610301</v>
      </c>
      <c r="B150" s="6" t="s">
        <v>185</v>
      </c>
      <c r="C150" s="7">
        <v>37850148</v>
      </c>
      <c r="D150" s="7">
        <v>37838840</v>
      </c>
      <c r="E150" s="8">
        <v>-0.03</v>
      </c>
      <c r="F150" s="7">
        <v>17384694</v>
      </c>
      <c r="G150" s="7">
        <v>17732002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17384694</v>
      </c>
      <c r="O150" s="7">
        <v>17732002</v>
      </c>
      <c r="P150" s="8">
        <v>2</v>
      </c>
      <c r="Q150" s="7">
        <v>0</v>
      </c>
      <c r="R150" s="7">
        <v>0</v>
      </c>
      <c r="S150" s="7">
        <v>17384694</v>
      </c>
      <c r="T150" s="7">
        <v>17732002</v>
      </c>
      <c r="U150" s="7">
        <v>17384694</v>
      </c>
      <c r="V150" s="7">
        <v>17732002</v>
      </c>
      <c r="W150" s="7">
        <v>0</v>
      </c>
      <c r="X150" s="7">
        <v>0</v>
      </c>
      <c r="Y150" s="7">
        <v>1564</v>
      </c>
      <c r="Z150" s="7">
        <v>1570</v>
      </c>
      <c r="AA150" s="8">
        <v>0.38</v>
      </c>
      <c r="AB150" s="7">
        <v>8065473</v>
      </c>
      <c r="AC150" s="7">
        <v>4765500</v>
      </c>
      <c r="AD150" s="7">
        <v>1151671</v>
      </c>
      <c r="AE150" s="7">
        <v>860000</v>
      </c>
      <c r="AF150" s="7">
        <v>2045009</v>
      </c>
      <c r="AG150" s="7">
        <v>1513554</v>
      </c>
      <c r="AH150" s="8">
        <v>5.4</v>
      </c>
      <c r="AI150" s="8">
        <v>4</v>
      </c>
    </row>
    <row r="151" spans="1:35" x14ac:dyDescent="0.25">
      <c r="A151" s="6" t="str">
        <f>"530101"</f>
        <v>530101</v>
      </c>
      <c r="B151" s="6" t="s">
        <v>186</v>
      </c>
      <c r="C151" s="7">
        <v>15630232</v>
      </c>
      <c r="D151" s="7">
        <v>16317500</v>
      </c>
      <c r="E151" s="8">
        <v>4.4000000000000004</v>
      </c>
      <c r="F151" s="7">
        <v>7850145</v>
      </c>
      <c r="G151" s="7">
        <v>8000100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7850145</v>
      </c>
      <c r="O151" s="7">
        <v>8000100</v>
      </c>
      <c r="P151" s="8">
        <v>1.91</v>
      </c>
      <c r="Q151" s="7">
        <v>225284</v>
      </c>
      <c r="R151" s="7">
        <v>306914</v>
      </c>
      <c r="S151" s="7">
        <v>7921362</v>
      </c>
      <c r="T151" s="7">
        <v>8046926</v>
      </c>
      <c r="U151" s="7">
        <v>7624861</v>
      </c>
      <c r="V151" s="7">
        <v>7693186</v>
      </c>
      <c r="W151" s="7">
        <v>296501</v>
      </c>
      <c r="X151" s="7">
        <v>353740</v>
      </c>
      <c r="Y151" s="7">
        <v>872</v>
      </c>
      <c r="Z151" s="7">
        <v>875</v>
      </c>
      <c r="AA151" s="8">
        <v>0.34</v>
      </c>
      <c r="AB151" s="7">
        <v>2554156</v>
      </c>
      <c r="AC151" s="7">
        <v>2397213</v>
      </c>
      <c r="AD151" s="7">
        <v>567500</v>
      </c>
      <c r="AE151" s="7">
        <v>672253</v>
      </c>
      <c r="AF151" s="7">
        <v>1449866</v>
      </c>
      <c r="AG151" s="7">
        <v>1106862</v>
      </c>
      <c r="AH151" s="8">
        <v>9.2799999999999994</v>
      </c>
      <c r="AI151" s="8">
        <v>6.78</v>
      </c>
    </row>
    <row r="152" spans="1:35" x14ac:dyDescent="0.25">
      <c r="A152" s="6" t="str">
        <f>"680801"</f>
        <v>680801</v>
      </c>
      <c r="B152" s="6" t="s">
        <v>187</v>
      </c>
      <c r="C152" s="7">
        <v>18469007</v>
      </c>
      <c r="D152" s="7">
        <v>18065017</v>
      </c>
      <c r="E152" s="8">
        <v>-2.19</v>
      </c>
      <c r="F152" s="7">
        <v>5046000</v>
      </c>
      <c r="G152" s="7">
        <v>5149000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5046000</v>
      </c>
      <c r="O152" s="7">
        <v>5149000</v>
      </c>
      <c r="P152" s="8">
        <v>2.04</v>
      </c>
      <c r="Q152" s="7">
        <v>0</v>
      </c>
      <c r="R152" s="7">
        <v>0</v>
      </c>
      <c r="S152" s="7">
        <v>5046017</v>
      </c>
      <c r="T152" s="7">
        <v>5149724</v>
      </c>
      <c r="U152" s="7">
        <v>5046000</v>
      </c>
      <c r="V152" s="7">
        <v>5149000</v>
      </c>
      <c r="W152" s="7">
        <v>17</v>
      </c>
      <c r="X152" s="7">
        <v>724</v>
      </c>
      <c r="Y152" s="7">
        <v>680</v>
      </c>
      <c r="Z152" s="7">
        <v>660</v>
      </c>
      <c r="AA152" s="8">
        <v>-2.94</v>
      </c>
      <c r="AB152" s="7">
        <v>7432143</v>
      </c>
      <c r="AC152" s="7">
        <v>5529759</v>
      </c>
      <c r="AD152" s="7">
        <v>250000</v>
      </c>
      <c r="AE152" s="7">
        <v>250000</v>
      </c>
      <c r="AF152" s="7">
        <v>722601</v>
      </c>
      <c r="AG152" s="7">
        <v>763821</v>
      </c>
      <c r="AH152" s="8">
        <v>3.91</v>
      </c>
      <c r="AI152" s="8">
        <v>4.2300000000000004</v>
      </c>
    </row>
    <row r="153" spans="1:35" x14ac:dyDescent="0.25">
      <c r="A153" s="6" t="str">
        <f>"060800"</f>
        <v>060800</v>
      </c>
      <c r="B153" s="6" t="s">
        <v>188</v>
      </c>
      <c r="C153" s="7">
        <v>40614061</v>
      </c>
      <c r="D153" s="7">
        <v>43429994</v>
      </c>
      <c r="E153" s="8">
        <v>6.93</v>
      </c>
      <c r="F153" s="7">
        <v>9548521</v>
      </c>
      <c r="G153" s="7">
        <v>9771218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9548521</v>
      </c>
      <c r="O153" s="7">
        <v>9771218</v>
      </c>
      <c r="P153" s="8">
        <v>2.33</v>
      </c>
      <c r="Q153" s="7">
        <v>0</v>
      </c>
      <c r="R153" s="7">
        <v>0</v>
      </c>
      <c r="S153" s="7">
        <v>12917789</v>
      </c>
      <c r="T153" s="7">
        <v>10383949</v>
      </c>
      <c r="U153" s="7">
        <v>9548521</v>
      </c>
      <c r="V153" s="7">
        <v>9771218</v>
      </c>
      <c r="W153" s="7">
        <v>3369268</v>
      </c>
      <c r="X153" s="7">
        <v>612731</v>
      </c>
      <c r="Y153" s="7">
        <v>2100</v>
      </c>
      <c r="Z153" s="7">
        <v>2163</v>
      </c>
      <c r="AA153" s="8">
        <v>3</v>
      </c>
      <c r="AB153" s="7">
        <v>15612341</v>
      </c>
      <c r="AC153" s="7">
        <v>13770965</v>
      </c>
      <c r="AD153" s="7">
        <v>3724508</v>
      </c>
      <c r="AE153" s="7">
        <v>2823936</v>
      </c>
      <c r="AF153" s="7">
        <v>1624562</v>
      </c>
      <c r="AG153" s="7">
        <v>1737199</v>
      </c>
      <c r="AH153" s="8">
        <v>4</v>
      </c>
      <c r="AI153" s="8">
        <v>4</v>
      </c>
    </row>
    <row r="154" spans="1:35" x14ac:dyDescent="0.25">
      <c r="A154" s="6" t="str">
        <f>"140301"</f>
        <v>140301</v>
      </c>
      <c r="B154" s="6" t="s">
        <v>189</v>
      </c>
      <c r="C154" s="7">
        <v>31674302</v>
      </c>
      <c r="D154" s="7">
        <v>33234373</v>
      </c>
      <c r="E154" s="8">
        <v>4.93</v>
      </c>
      <c r="F154" s="7">
        <v>19144742</v>
      </c>
      <c r="G154" s="7">
        <v>20465729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19144742</v>
      </c>
      <c r="O154" s="7">
        <v>20465729</v>
      </c>
      <c r="P154" s="8">
        <v>6.9</v>
      </c>
      <c r="Q154" s="7">
        <v>189625</v>
      </c>
      <c r="R154" s="7">
        <v>0</v>
      </c>
      <c r="S154" s="7">
        <v>18955117</v>
      </c>
      <c r="T154" s="7">
        <v>19397184</v>
      </c>
      <c r="U154" s="7">
        <v>18955117</v>
      </c>
      <c r="V154" s="7">
        <v>20465729</v>
      </c>
      <c r="W154" s="7">
        <v>0</v>
      </c>
      <c r="X154" s="7">
        <v>-1068545</v>
      </c>
      <c r="Y154" s="7">
        <v>1769</v>
      </c>
      <c r="Z154" s="7">
        <v>1773</v>
      </c>
      <c r="AA154" s="8">
        <v>0.23</v>
      </c>
      <c r="AB154" s="7">
        <v>1432420</v>
      </c>
      <c r="AC154" s="7">
        <v>400000</v>
      </c>
      <c r="AD154" s="7">
        <v>597904</v>
      </c>
      <c r="AE154" s="7">
        <v>0</v>
      </c>
      <c r="AF154" s="7">
        <v>834516</v>
      </c>
      <c r="AG154" s="7">
        <v>400000</v>
      </c>
      <c r="AH154" s="8">
        <v>2.63</v>
      </c>
      <c r="AI154" s="8">
        <v>1.2</v>
      </c>
    </row>
    <row r="155" spans="1:35" x14ac:dyDescent="0.25">
      <c r="A155" s="6" t="str">
        <f>"430501"</f>
        <v>430501</v>
      </c>
      <c r="B155" s="6" t="s">
        <v>190</v>
      </c>
      <c r="C155" s="7">
        <v>20465368</v>
      </c>
      <c r="D155" s="7">
        <v>20904945</v>
      </c>
      <c r="E155" s="8">
        <v>2.15</v>
      </c>
      <c r="F155" s="7">
        <v>9593443</v>
      </c>
      <c r="G155" s="7">
        <v>9693443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9593443</v>
      </c>
      <c r="O155" s="7">
        <v>9693443</v>
      </c>
      <c r="P155" s="8">
        <v>1.04</v>
      </c>
      <c r="Q155" s="7">
        <v>121764</v>
      </c>
      <c r="R155" s="7">
        <v>72087</v>
      </c>
      <c r="S155" s="7">
        <v>9486891</v>
      </c>
      <c r="T155" s="7">
        <v>9635735</v>
      </c>
      <c r="U155" s="7">
        <v>9471679</v>
      </c>
      <c r="V155" s="7">
        <v>9621356</v>
      </c>
      <c r="W155" s="7">
        <v>15212</v>
      </c>
      <c r="X155" s="7">
        <v>14379</v>
      </c>
      <c r="Y155" s="7">
        <v>909</v>
      </c>
      <c r="Z155" s="7">
        <v>889</v>
      </c>
      <c r="AA155" s="8">
        <v>-2.2000000000000002</v>
      </c>
      <c r="AB155" s="7">
        <v>2659118</v>
      </c>
      <c r="AC155" s="7">
        <v>2715263</v>
      </c>
      <c r="AD155" s="7">
        <v>163943</v>
      </c>
      <c r="AE155" s="7">
        <v>100000</v>
      </c>
      <c r="AF155" s="7">
        <v>820889</v>
      </c>
      <c r="AG155" s="7">
        <v>836198</v>
      </c>
      <c r="AH155" s="8">
        <v>4.01</v>
      </c>
      <c r="AI155" s="8">
        <v>4</v>
      </c>
    </row>
    <row r="156" spans="1:35" x14ac:dyDescent="0.25">
      <c r="A156" s="6" t="str">
        <f>"490301"</f>
        <v>490301</v>
      </c>
      <c r="B156" s="6" t="s">
        <v>191</v>
      </c>
      <c r="C156" s="7">
        <v>90133002</v>
      </c>
      <c r="D156" s="7">
        <v>92157156</v>
      </c>
      <c r="E156" s="8">
        <v>2.25</v>
      </c>
      <c r="F156" s="7">
        <v>51294933</v>
      </c>
      <c r="G156" s="7">
        <v>53190977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51294933</v>
      </c>
      <c r="O156" s="7">
        <v>53190977</v>
      </c>
      <c r="P156" s="8">
        <v>3.7</v>
      </c>
      <c r="Q156" s="7">
        <v>800563</v>
      </c>
      <c r="R156" s="7">
        <v>1564369</v>
      </c>
      <c r="S156" s="7">
        <v>51214506</v>
      </c>
      <c r="T156" s="7">
        <v>51626613</v>
      </c>
      <c r="U156" s="7">
        <v>50494370</v>
      </c>
      <c r="V156" s="7">
        <v>51626608</v>
      </c>
      <c r="W156" s="7">
        <v>720136</v>
      </c>
      <c r="X156" s="7">
        <v>5</v>
      </c>
      <c r="Y156" s="7">
        <v>3976</v>
      </c>
      <c r="Z156" s="7">
        <v>4051</v>
      </c>
      <c r="AA156" s="8">
        <v>1.89</v>
      </c>
      <c r="AB156" s="7">
        <v>11036475</v>
      </c>
      <c r="AC156" s="7">
        <v>11097504</v>
      </c>
      <c r="AD156" s="7">
        <v>5130622</v>
      </c>
      <c r="AE156" s="7">
        <v>6168622</v>
      </c>
      <c r="AF156" s="7">
        <v>3403557</v>
      </c>
      <c r="AG156" s="7">
        <v>2403000</v>
      </c>
      <c r="AH156" s="8">
        <v>3.78</v>
      </c>
      <c r="AI156" s="8">
        <v>2.61</v>
      </c>
    </row>
    <row r="157" spans="1:35" x14ac:dyDescent="0.25">
      <c r="A157" s="6" t="str">
        <f>"580301"</f>
        <v>580301</v>
      </c>
      <c r="B157" s="6" t="s">
        <v>192</v>
      </c>
      <c r="C157" s="7">
        <v>66721301</v>
      </c>
      <c r="D157" s="7">
        <v>68306098</v>
      </c>
      <c r="E157" s="8">
        <v>2.38</v>
      </c>
      <c r="F157" s="7">
        <v>48986823</v>
      </c>
      <c r="G157" s="7">
        <v>49877575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48986823</v>
      </c>
      <c r="O157" s="7">
        <v>49877575</v>
      </c>
      <c r="P157" s="8">
        <v>1.82</v>
      </c>
      <c r="Q157" s="7">
        <v>6269707</v>
      </c>
      <c r="R157" s="7">
        <v>6123815</v>
      </c>
      <c r="S157" s="7">
        <v>42717116</v>
      </c>
      <c r="T157" s="7">
        <v>43753760</v>
      </c>
      <c r="U157" s="7">
        <v>42717116</v>
      </c>
      <c r="V157" s="7">
        <v>43753760</v>
      </c>
      <c r="W157" s="7">
        <v>0</v>
      </c>
      <c r="X157" s="7">
        <v>0</v>
      </c>
      <c r="Y157" s="7">
        <v>1879</v>
      </c>
      <c r="Z157" s="7">
        <v>1880</v>
      </c>
      <c r="AA157" s="8">
        <v>0.05</v>
      </c>
      <c r="AB157" s="7">
        <v>8439294</v>
      </c>
      <c r="AC157" s="7">
        <v>8439294</v>
      </c>
      <c r="AD157" s="7">
        <v>655296</v>
      </c>
      <c r="AE157" s="7">
        <v>655296</v>
      </c>
      <c r="AF157" s="7">
        <v>2666964</v>
      </c>
      <c r="AG157" s="7">
        <v>2666964</v>
      </c>
      <c r="AH157" s="8">
        <v>4</v>
      </c>
      <c r="AI157" s="8">
        <v>3.9</v>
      </c>
    </row>
    <row r="158" spans="1:35" x14ac:dyDescent="0.25">
      <c r="A158" s="6" t="str">
        <f>"260801"</f>
        <v>260801</v>
      </c>
      <c r="B158" s="6" t="s">
        <v>193</v>
      </c>
      <c r="C158" s="7">
        <v>76287680</v>
      </c>
      <c r="D158" s="7">
        <v>77954087</v>
      </c>
      <c r="E158" s="8">
        <v>2.1800000000000002</v>
      </c>
      <c r="F158" s="7">
        <v>40723030</v>
      </c>
      <c r="G158" s="7">
        <v>41414124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40723030</v>
      </c>
      <c r="O158" s="7">
        <v>41414124</v>
      </c>
      <c r="P158" s="8">
        <v>1.7</v>
      </c>
      <c r="Q158" s="7">
        <v>494944</v>
      </c>
      <c r="R158" s="7">
        <v>686072</v>
      </c>
      <c r="S158" s="7">
        <v>40779678</v>
      </c>
      <c r="T158" s="7">
        <v>40728052</v>
      </c>
      <c r="U158" s="7">
        <v>40228086</v>
      </c>
      <c r="V158" s="7">
        <v>40728052</v>
      </c>
      <c r="W158" s="7">
        <v>551592</v>
      </c>
      <c r="X158" s="7">
        <v>0</v>
      </c>
      <c r="Y158" s="7">
        <v>3137</v>
      </c>
      <c r="Z158" s="7">
        <v>3148</v>
      </c>
      <c r="AA158" s="8">
        <v>0.35</v>
      </c>
      <c r="AB158" s="7">
        <v>32346617</v>
      </c>
      <c r="AC158" s="7">
        <v>30947406</v>
      </c>
      <c r="AD158" s="7">
        <v>994098</v>
      </c>
      <c r="AE158" s="7">
        <v>989706</v>
      </c>
      <c r="AF158" s="7">
        <v>3051505</v>
      </c>
      <c r="AG158" s="7">
        <v>3118163</v>
      </c>
      <c r="AH158" s="8">
        <v>4</v>
      </c>
      <c r="AI158" s="8">
        <v>4</v>
      </c>
    </row>
    <row r="159" spans="1:35" x14ac:dyDescent="0.25">
      <c r="A159" s="6" t="str">
        <f>"580503"</f>
        <v>580503</v>
      </c>
      <c r="B159" s="6" t="s">
        <v>194</v>
      </c>
      <c r="C159" s="7">
        <v>112683147</v>
      </c>
      <c r="D159" s="7">
        <v>115015282</v>
      </c>
      <c r="E159" s="8">
        <v>2.0699999999999998</v>
      </c>
      <c r="F159" s="7">
        <v>70428345</v>
      </c>
      <c r="G159" s="7">
        <v>70843872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70428345</v>
      </c>
      <c r="O159" s="7">
        <v>70843872</v>
      </c>
      <c r="P159" s="8">
        <v>0.59</v>
      </c>
      <c r="Q159" s="7">
        <v>1020094</v>
      </c>
      <c r="R159" s="7">
        <v>989721</v>
      </c>
      <c r="S159" s="7">
        <v>69464659</v>
      </c>
      <c r="T159" s="7">
        <v>70418363</v>
      </c>
      <c r="U159" s="7">
        <v>69408251</v>
      </c>
      <c r="V159" s="7">
        <v>69854151</v>
      </c>
      <c r="W159" s="7">
        <v>56408</v>
      </c>
      <c r="X159" s="7">
        <v>564212</v>
      </c>
      <c r="Y159" s="7">
        <v>3791</v>
      </c>
      <c r="Z159" s="7">
        <v>3653</v>
      </c>
      <c r="AA159" s="8">
        <v>-3.64</v>
      </c>
      <c r="AB159" s="7">
        <v>6179574</v>
      </c>
      <c r="AC159" s="7">
        <v>7445049</v>
      </c>
      <c r="AD159" s="7">
        <v>530021</v>
      </c>
      <c r="AE159" s="7">
        <v>1549389</v>
      </c>
      <c r="AF159" s="7">
        <v>4507326</v>
      </c>
      <c r="AG159" s="7">
        <v>4600611</v>
      </c>
      <c r="AH159" s="8">
        <v>4</v>
      </c>
      <c r="AI159" s="8">
        <v>4</v>
      </c>
    </row>
    <row r="160" spans="1:35" x14ac:dyDescent="0.25">
      <c r="A160" s="6" t="str">
        <f>"280203"</f>
        <v>280203</v>
      </c>
      <c r="B160" s="6" t="s">
        <v>195</v>
      </c>
      <c r="C160" s="7">
        <v>195794375</v>
      </c>
      <c r="D160" s="7">
        <v>199671104</v>
      </c>
      <c r="E160" s="8">
        <v>1.98</v>
      </c>
      <c r="F160" s="7">
        <v>129931019</v>
      </c>
      <c r="G160" s="7">
        <v>132518088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129931019</v>
      </c>
      <c r="O160" s="7">
        <v>132518088</v>
      </c>
      <c r="P160" s="8">
        <v>1.99</v>
      </c>
      <c r="Q160" s="7">
        <v>3162774</v>
      </c>
      <c r="R160" s="7">
        <v>3277548</v>
      </c>
      <c r="S160" s="7">
        <v>126768245</v>
      </c>
      <c r="T160" s="7">
        <v>129240540</v>
      </c>
      <c r="U160" s="7">
        <v>126768245</v>
      </c>
      <c r="V160" s="7">
        <v>129240540</v>
      </c>
      <c r="W160" s="7">
        <v>0</v>
      </c>
      <c r="X160" s="7">
        <v>0</v>
      </c>
      <c r="Y160" s="7">
        <v>7011</v>
      </c>
      <c r="Z160" s="7">
        <v>6924</v>
      </c>
      <c r="AA160" s="8">
        <v>-1.24</v>
      </c>
      <c r="AB160" s="7">
        <v>14991422</v>
      </c>
      <c r="AC160" s="7">
        <v>13347876</v>
      </c>
      <c r="AD160" s="7">
        <v>12559625</v>
      </c>
      <c r="AE160" s="7">
        <v>14207548</v>
      </c>
      <c r="AF160" s="7">
        <v>18268910</v>
      </c>
      <c r="AG160" s="7">
        <v>7986844</v>
      </c>
      <c r="AH160" s="8">
        <v>9.33</v>
      </c>
      <c r="AI160" s="8">
        <v>4</v>
      </c>
    </row>
    <row r="161" spans="1:35" x14ac:dyDescent="0.25">
      <c r="A161" s="6" t="str">
        <f>"580234"</f>
        <v>580234</v>
      </c>
      <c r="B161" s="6" t="s">
        <v>196</v>
      </c>
      <c r="C161" s="7">
        <v>26874825</v>
      </c>
      <c r="D161" s="7">
        <v>27387799</v>
      </c>
      <c r="E161" s="8">
        <v>1.91</v>
      </c>
      <c r="F161" s="7">
        <v>19609982</v>
      </c>
      <c r="G161" s="7">
        <v>19954994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19609982</v>
      </c>
      <c r="O161" s="7">
        <v>19954994</v>
      </c>
      <c r="P161" s="8">
        <v>1.76</v>
      </c>
      <c r="Q161" s="7">
        <v>516413</v>
      </c>
      <c r="R161" s="7">
        <v>505089</v>
      </c>
      <c r="S161" s="7">
        <v>19609982</v>
      </c>
      <c r="T161" s="7">
        <v>19954994</v>
      </c>
      <c r="U161" s="7">
        <v>19093569</v>
      </c>
      <c r="V161" s="7">
        <v>19449905</v>
      </c>
      <c r="W161" s="7">
        <v>516413</v>
      </c>
      <c r="X161" s="7">
        <v>505089</v>
      </c>
      <c r="Y161" s="7">
        <v>720</v>
      </c>
      <c r="Z161" s="7">
        <v>710</v>
      </c>
      <c r="AA161" s="8">
        <v>-1.39</v>
      </c>
      <c r="AB161" s="7">
        <v>538496</v>
      </c>
      <c r="AC161" s="7">
        <v>2172824</v>
      </c>
      <c r="AD161" s="7">
        <v>48564</v>
      </c>
      <c r="AE161" s="7">
        <v>50000</v>
      </c>
      <c r="AF161" s="7">
        <v>1614343</v>
      </c>
      <c r="AG161" s="7">
        <v>1095511</v>
      </c>
      <c r="AH161" s="8">
        <v>6.01</v>
      </c>
      <c r="AI161" s="8">
        <v>4</v>
      </c>
    </row>
    <row r="162" spans="1:35" x14ac:dyDescent="0.25">
      <c r="A162" s="6" t="str">
        <f>"580917"</f>
        <v>580917</v>
      </c>
      <c r="B162" s="6" t="s">
        <v>197</v>
      </c>
      <c r="C162" s="7">
        <v>23861579</v>
      </c>
      <c r="D162" s="7">
        <v>24366274</v>
      </c>
      <c r="E162" s="8">
        <v>2.12</v>
      </c>
      <c r="F162" s="7">
        <v>21781579</v>
      </c>
      <c r="G162" s="7">
        <v>22207785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21781579</v>
      </c>
      <c r="O162" s="7">
        <v>22207785</v>
      </c>
      <c r="P162" s="8">
        <v>1.96</v>
      </c>
      <c r="Q162" s="7">
        <v>518651</v>
      </c>
      <c r="R162" s="7">
        <v>513978</v>
      </c>
      <c r="S162" s="7">
        <v>21262928</v>
      </c>
      <c r="T162" s="7">
        <v>21693807</v>
      </c>
      <c r="U162" s="7">
        <v>21262928</v>
      </c>
      <c r="V162" s="7">
        <v>21693807</v>
      </c>
      <c r="W162" s="7">
        <v>0</v>
      </c>
      <c r="X162" s="7">
        <v>0</v>
      </c>
      <c r="Y162" s="7">
        <v>430</v>
      </c>
      <c r="Z162" s="7">
        <v>430</v>
      </c>
      <c r="AA162" s="8">
        <v>0</v>
      </c>
      <c r="AB162" s="7">
        <v>36698</v>
      </c>
      <c r="AC162" s="7">
        <v>40000</v>
      </c>
      <c r="AD162" s="7">
        <v>500000</v>
      </c>
      <c r="AE162" s="7">
        <v>600000</v>
      </c>
      <c r="AF162" s="7">
        <v>400000</v>
      </c>
      <c r="AG162" s="7">
        <v>400000</v>
      </c>
      <c r="AH162" s="8">
        <v>1.68</v>
      </c>
      <c r="AI162" s="8">
        <v>1.64</v>
      </c>
    </row>
    <row r="163" spans="1:35" x14ac:dyDescent="0.25">
      <c r="A163" s="6" t="str">
        <f>"500402"</f>
        <v>500402</v>
      </c>
      <c r="B163" s="6" t="s">
        <v>198</v>
      </c>
      <c r="C163" s="7">
        <v>224364070</v>
      </c>
      <c r="D163" s="7">
        <v>232598879</v>
      </c>
      <c r="E163" s="8">
        <v>3.67</v>
      </c>
      <c r="F163" s="7">
        <v>149255638</v>
      </c>
      <c r="G163" s="7">
        <v>152975617</v>
      </c>
      <c r="H163" s="7">
        <v>0</v>
      </c>
      <c r="I163" s="7">
        <v>0</v>
      </c>
      <c r="J163" s="7">
        <v>0</v>
      </c>
      <c r="K163" s="7" t="s">
        <v>41</v>
      </c>
      <c r="L163" s="7">
        <v>0</v>
      </c>
      <c r="M163" s="7">
        <v>0</v>
      </c>
      <c r="N163" s="7">
        <v>149255638</v>
      </c>
      <c r="O163" s="7">
        <v>152975617</v>
      </c>
      <c r="P163" s="8">
        <v>2.4900000000000002</v>
      </c>
      <c r="Q163" s="7">
        <v>1476534</v>
      </c>
      <c r="R163" s="7">
        <v>1815441</v>
      </c>
      <c r="S163" s="7">
        <v>147779104</v>
      </c>
      <c r="T163" s="7">
        <v>149645566</v>
      </c>
      <c r="U163" s="7">
        <v>147779104</v>
      </c>
      <c r="V163" s="7">
        <v>151160176</v>
      </c>
      <c r="W163" s="7">
        <v>0</v>
      </c>
      <c r="X163" s="7">
        <v>-1514610</v>
      </c>
      <c r="Y163" s="7">
        <v>8553</v>
      </c>
      <c r="Z163" s="7">
        <v>8794</v>
      </c>
      <c r="AA163" s="8">
        <v>2.82</v>
      </c>
      <c r="AB163" s="7">
        <v>101744</v>
      </c>
      <c r="AC163" s="7">
        <v>101744</v>
      </c>
      <c r="AD163" s="7">
        <v>735224</v>
      </c>
      <c r="AE163" s="7">
        <v>750000</v>
      </c>
      <c r="AF163" s="7">
        <v>4150436</v>
      </c>
      <c r="AG163" s="7">
        <v>4150436</v>
      </c>
      <c r="AH163" s="8">
        <v>1.85</v>
      </c>
      <c r="AI163" s="8">
        <v>1.78</v>
      </c>
    </row>
    <row r="164" spans="1:35" x14ac:dyDescent="0.25">
      <c r="A164" s="6" t="str">
        <f>"261313"</f>
        <v>261313</v>
      </c>
      <c r="B164" s="6" t="s">
        <v>199</v>
      </c>
      <c r="C164" s="7">
        <v>27448877</v>
      </c>
      <c r="D164" s="7">
        <v>27592226</v>
      </c>
      <c r="E164" s="8">
        <v>0.52</v>
      </c>
      <c r="F164" s="7">
        <v>13523946</v>
      </c>
      <c r="G164" s="7">
        <v>13723746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13523946</v>
      </c>
      <c r="O164" s="7">
        <v>13723746</v>
      </c>
      <c r="P164" s="8">
        <v>1.48</v>
      </c>
      <c r="Q164" s="7">
        <v>0</v>
      </c>
      <c r="R164" s="7">
        <v>0</v>
      </c>
      <c r="S164" s="7">
        <v>13530083</v>
      </c>
      <c r="T164" s="7">
        <v>13723746</v>
      </c>
      <c r="U164" s="7">
        <v>13523946</v>
      </c>
      <c r="V164" s="7">
        <v>13723746</v>
      </c>
      <c r="W164" s="7">
        <v>6137</v>
      </c>
      <c r="X164" s="7">
        <v>0</v>
      </c>
      <c r="Y164" s="7">
        <v>1009</v>
      </c>
      <c r="Z164" s="7">
        <v>1004</v>
      </c>
      <c r="AA164" s="8">
        <v>-0.5</v>
      </c>
      <c r="AB164" s="7">
        <v>13898027</v>
      </c>
      <c r="AC164" s="7">
        <v>14893019</v>
      </c>
      <c r="AD164" s="7">
        <v>400000</v>
      </c>
      <c r="AE164" s="7">
        <v>400000</v>
      </c>
      <c r="AF164" s="7">
        <v>1097955</v>
      </c>
      <c r="AG164" s="7">
        <v>1103689</v>
      </c>
      <c r="AH164" s="8">
        <v>4</v>
      </c>
      <c r="AI164" s="8">
        <v>4</v>
      </c>
    </row>
    <row r="165" spans="1:35" x14ac:dyDescent="0.25">
      <c r="A165" s="6" t="str">
        <f>"280219"</f>
        <v>280219</v>
      </c>
      <c r="B165" s="6" t="s">
        <v>200</v>
      </c>
      <c r="C165" s="7">
        <v>38436281</v>
      </c>
      <c r="D165" s="7">
        <v>38274432</v>
      </c>
      <c r="E165" s="8">
        <v>-0.42</v>
      </c>
      <c r="F165" s="7">
        <v>28871284</v>
      </c>
      <c r="G165" s="7">
        <v>29126399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28871284</v>
      </c>
      <c r="O165" s="7">
        <v>29126399</v>
      </c>
      <c r="P165" s="8">
        <v>0.88</v>
      </c>
      <c r="Q165" s="7">
        <v>1180056</v>
      </c>
      <c r="R165" s="7">
        <v>877240</v>
      </c>
      <c r="S165" s="7">
        <v>27691228</v>
      </c>
      <c r="T165" s="7">
        <v>28249159</v>
      </c>
      <c r="U165" s="7">
        <v>27691228</v>
      </c>
      <c r="V165" s="7">
        <v>28249159</v>
      </c>
      <c r="W165" s="7">
        <v>0</v>
      </c>
      <c r="X165" s="7">
        <v>0</v>
      </c>
      <c r="Y165" s="7">
        <v>1163</v>
      </c>
      <c r="Z165" s="7">
        <v>1145</v>
      </c>
      <c r="AA165" s="8">
        <v>-1.55</v>
      </c>
      <c r="AB165" s="7">
        <v>6621754</v>
      </c>
      <c r="AC165" s="7">
        <v>6692000</v>
      </c>
      <c r="AD165" s="7">
        <v>760000</v>
      </c>
      <c r="AE165" s="7">
        <v>760000</v>
      </c>
      <c r="AF165" s="7">
        <v>2660652</v>
      </c>
      <c r="AG165" s="7">
        <v>2100000</v>
      </c>
      <c r="AH165" s="8">
        <v>6.92</v>
      </c>
      <c r="AI165" s="8">
        <v>5.49</v>
      </c>
    </row>
    <row r="166" spans="1:35" x14ac:dyDescent="0.25">
      <c r="A166" s="6" t="str">
        <f>"420401"</f>
        <v>420401</v>
      </c>
      <c r="B166" s="6" t="s">
        <v>201</v>
      </c>
      <c r="C166" s="7">
        <v>76683349</v>
      </c>
      <c r="D166" s="7">
        <v>78005057</v>
      </c>
      <c r="E166" s="8">
        <v>1.72</v>
      </c>
      <c r="F166" s="7">
        <v>45549217</v>
      </c>
      <c r="G166" s="7">
        <v>45693003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45549217</v>
      </c>
      <c r="O166" s="7">
        <v>45693003</v>
      </c>
      <c r="P166" s="8">
        <v>0.32</v>
      </c>
      <c r="Q166" s="7">
        <v>2312770</v>
      </c>
      <c r="R166" s="7">
        <v>1499497</v>
      </c>
      <c r="S166" s="7">
        <v>43236447</v>
      </c>
      <c r="T166" s="7">
        <v>44289550</v>
      </c>
      <c r="U166" s="7">
        <v>43236447</v>
      </c>
      <c r="V166" s="7">
        <v>44193506</v>
      </c>
      <c r="W166" s="7">
        <v>0</v>
      </c>
      <c r="X166" s="7">
        <v>96044</v>
      </c>
      <c r="Y166" s="7">
        <v>3500</v>
      </c>
      <c r="Z166" s="7">
        <v>3500</v>
      </c>
      <c r="AA166" s="8">
        <v>0</v>
      </c>
      <c r="AB166" s="7">
        <v>12906002</v>
      </c>
      <c r="AC166" s="7">
        <v>12820757</v>
      </c>
      <c r="AD166" s="7">
        <v>400000</v>
      </c>
      <c r="AE166" s="7">
        <v>350000</v>
      </c>
      <c r="AF166" s="7">
        <v>2621180</v>
      </c>
      <c r="AG166" s="7">
        <v>3120202</v>
      </c>
      <c r="AH166" s="8">
        <v>3.42</v>
      </c>
      <c r="AI166" s="8">
        <v>4</v>
      </c>
    </row>
    <row r="167" spans="1:35" x14ac:dyDescent="0.25">
      <c r="A167" s="6" t="str">
        <f>"280402"</f>
        <v>280402</v>
      </c>
      <c r="B167" s="6" t="s">
        <v>202</v>
      </c>
      <c r="C167" s="7">
        <v>57478695</v>
      </c>
      <c r="D167" s="7">
        <v>58290375</v>
      </c>
      <c r="E167" s="8">
        <v>1.41</v>
      </c>
      <c r="F167" s="7">
        <v>52439920</v>
      </c>
      <c r="G167" s="7">
        <v>52955796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52439920</v>
      </c>
      <c r="O167" s="7">
        <v>52955796</v>
      </c>
      <c r="P167" s="8">
        <v>0.98</v>
      </c>
      <c r="Q167" s="7">
        <v>2056110</v>
      </c>
      <c r="R167" s="7">
        <v>2020966</v>
      </c>
      <c r="S167" s="7">
        <v>50910340</v>
      </c>
      <c r="T167" s="7">
        <v>51195852</v>
      </c>
      <c r="U167" s="7">
        <v>50383810</v>
      </c>
      <c r="V167" s="7">
        <v>50934830</v>
      </c>
      <c r="W167" s="7">
        <v>526530</v>
      </c>
      <c r="X167" s="7">
        <v>261022</v>
      </c>
      <c r="Y167" s="7">
        <v>1683</v>
      </c>
      <c r="Z167" s="7">
        <v>1686</v>
      </c>
      <c r="AA167" s="8">
        <v>0.18</v>
      </c>
      <c r="AB167" s="7">
        <v>4400900</v>
      </c>
      <c r="AC167" s="7">
        <v>3510138</v>
      </c>
      <c r="AD167" s="7">
        <v>544000</v>
      </c>
      <c r="AE167" s="7">
        <v>544000</v>
      </c>
      <c r="AF167" s="7">
        <v>2299146</v>
      </c>
      <c r="AG167" s="7">
        <v>2331615</v>
      </c>
      <c r="AH167" s="8">
        <v>4</v>
      </c>
      <c r="AI167" s="8">
        <v>4</v>
      </c>
    </row>
    <row r="168" spans="1:35" x14ac:dyDescent="0.25">
      <c r="A168" s="6" t="str">
        <f>"660301"</f>
        <v>660301</v>
      </c>
      <c r="B168" s="6" t="s">
        <v>203</v>
      </c>
      <c r="C168" s="7">
        <v>82050000</v>
      </c>
      <c r="D168" s="7">
        <v>83560000</v>
      </c>
      <c r="E168" s="8">
        <v>1.84</v>
      </c>
      <c r="F168" s="7">
        <v>70903000</v>
      </c>
      <c r="G168" s="7">
        <v>72049000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70903000</v>
      </c>
      <c r="O168" s="7">
        <v>72049000</v>
      </c>
      <c r="P168" s="8">
        <v>1.62</v>
      </c>
      <c r="Q168" s="7">
        <v>4634665</v>
      </c>
      <c r="R168" s="7">
        <v>4767017</v>
      </c>
      <c r="S168" s="7">
        <v>66269100</v>
      </c>
      <c r="T168" s="7">
        <v>67282807</v>
      </c>
      <c r="U168" s="7">
        <v>66268335</v>
      </c>
      <c r="V168" s="7">
        <v>67281983</v>
      </c>
      <c r="W168" s="7">
        <v>765</v>
      </c>
      <c r="X168" s="7">
        <v>824</v>
      </c>
      <c r="Y168" s="7">
        <v>3220</v>
      </c>
      <c r="Z168" s="7">
        <v>3223</v>
      </c>
      <c r="AA168" s="8">
        <v>0.09</v>
      </c>
      <c r="AB168" s="7">
        <v>5172904</v>
      </c>
      <c r="AC168" s="7">
        <v>4100000</v>
      </c>
      <c r="AD168" s="7">
        <v>902937</v>
      </c>
      <c r="AE168" s="7">
        <v>1100000</v>
      </c>
      <c r="AF168" s="7">
        <v>3282003</v>
      </c>
      <c r="AG168" s="7">
        <v>3342000</v>
      </c>
      <c r="AH168" s="8">
        <v>4</v>
      </c>
      <c r="AI168" s="8">
        <v>4</v>
      </c>
    </row>
    <row r="169" spans="1:35" x14ac:dyDescent="0.25">
      <c r="A169" s="6" t="str">
        <f>"580912"</f>
        <v>580912</v>
      </c>
      <c r="B169" s="6" t="s">
        <v>204</v>
      </c>
      <c r="C169" s="7">
        <v>90575950</v>
      </c>
      <c r="D169" s="7">
        <v>92922780</v>
      </c>
      <c r="E169" s="8">
        <v>2.59</v>
      </c>
      <c r="F169" s="7">
        <v>51471991</v>
      </c>
      <c r="G169" s="7">
        <v>53217393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51471991</v>
      </c>
      <c r="O169" s="7">
        <v>53217393</v>
      </c>
      <c r="P169" s="8">
        <v>3.39</v>
      </c>
      <c r="Q169" s="7">
        <v>308654</v>
      </c>
      <c r="R169" s="7">
        <v>940857</v>
      </c>
      <c r="S169" s="7">
        <v>51163337</v>
      </c>
      <c r="T169" s="7">
        <v>52276536</v>
      </c>
      <c r="U169" s="7">
        <v>51163337</v>
      </c>
      <c r="V169" s="7">
        <v>52276536</v>
      </c>
      <c r="W169" s="7">
        <v>0</v>
      </c>
      <c r="X169" s="7">
        <v>0</v>
      </c>
      <c r="Y169" s="7">
        <v>3441</v>
      </c>
      <c r="Z169" s="7">
        <v>3410</v>
      </c>
      <c r="AA169" s="8">
        <v>-0.9</v>
      </c>
      <c r="AB169" s="7">
        <v>3088499</v>
      </c>
      <c r="AC169" s="7">
        <v>2213499</v>
      </c>
      <c r="AD169" s="7">
        <v>0</v>
      </c>
      <c r="AE169" s="7">
        <v>0</v>
      </c>
      <c r="AF169" s="7">
        <v>3173600</v>
      </c>
      <c r="AG169" s="7">
        <v>2063599</v>
      </c>
      <c r="AH169" s="8">
        <v>3.5</v>
      </c>
      <c r="AI169" s="8">
        <v>2.2200000000000002</v>
      </c>
    </row>
    <row r="170" spans="1:35" x14ac:dyDescent="0.25">
      <c r="A170" s="6" t="str">
        <f>"141201"</f>
        <v>141201</v>
      </c>
      <c r="B170" s="6" t="s">
        <v>205</v>
      </c>
      <c r="C170" s="7">
        <v>27369231</v>
      </c>
      <c r="D170" s="7">
        <v>29017733</v>
      </c>
      <c r="E170" s="8">
        <v>6.02</v>
      </c>
      <c r="F170" s="7">
        <v>13697708</v>
      </c>
      <c r="G170" s="7">
        <v>14275945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13697708</v>
      </c>
      <c r="O170" s="7">
        <v>14275945</v>
      </c>
      <c r="P170" s="8">
        <v>4.22</v>
      </c>
      <c r="Q170" s="7">
        <v>0</v>
      </c>
      <c r="R170" s="7">
        <v>0</v>
      </c>
      <c r="S170" s="7">
        <v>13697708</v>
      </c>
      <c r="T170" s="7">
        <v>14275945</v>
      </c>
      <c r="U170" s="7">
        <v>13697708</v>
      </c>
      <c r="V170" s="7">
        <v>14275945</v>
      </c>
      <c r="W170" s="7">
        <v>0</v>
      </c>
      <c r="X170" s="7">
        <v>0</v>
      </c>
      <c r="Y170" s="7">
        <v>1370</v>
      </c>
      <c r="Z170" s="7">
        <v>1349</v>
      </c>
      <c r="AA170" s="8">
        <v>-1.53</v>
      </c>
      <c r="AB170" s="7">
        <v>7223647</v>
      </c>
      <c r="AC170" s="7">
        <v>8763455</v>
      </c>
      <c r="AD170" s="7">
        <v>518143</v>
      </c>
      <c r="AE170" s="7">
        <v>518143</v>
      </c>
      <c r="AF170" s="7">
        <v>1094769</v>
      </c>
      <c r="AG170" s="7">
        <v>1160709</v>
      </c>
      <c r="AH170" s="8">
        <v>4</v>
      </c>
      <c r="AI170" s="8">
        <v>4</v>
      </c>
    </row>
    <row r="171" spans="1:35" x14ac:dyDescent="0.25">
      <c r="A171" s="6" t="str">
        <f>"660406"</f>
        <v>660406</v>
      </c>
      <c r="B171" s="6" t="s">
        <v>206</v>
      </c>
      <c r="C171" s="7">
        <v>55912470</v>
      </c>
      <c r="D171" s="7">
        <v>57092835</v>
      </c>
      <c r="E171" s="8">
        <v>2.11</v>
      </c>
      <c r="F171" s="7">
        <v>48841042</v>
      </c>
      <c r="G171" s="7">
        <v>49795849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48841042</v>
      </c>
      <c r="O171" s="7">
        <v>49795849</v>
      </c>
      <c r="P171" s="8">
        <v>1.95</v>
      </c>
      <c r="Q171" s="7">
        <v>1628434</v>
      </c>
      <c r="R171" s="7">
        <v>1836103</v>
      </c>
      <c r="S171" s="7">
        <v>47428541</v>
      </c>
      <c r="T171" s="7">
        <v>47980584</v>
      </c>
      <c r="U171" s="7">
        <v>47212608</v>
      </c>
      <c r="V171" s="7">
        <v>47959746</v>
      </c>
      <c r="W171" s="7">
        <v>215933</v>
      </c>
      <c r="X171" s="7">
        <v>20838</v>
      </c>
      <c r="Y171" s="7">
        <v>1965</v>
      </c>
      <c r="Z171" s="7">
        <v>1943</v>
      </c>
      <c r="AA171" s="8">
        <v>-1.1200000000000001</v>
      </c>
      <c r="AB171" s="7">
        <v>6353842</v>
      </c>
      <c r="AC171" s="7">
        <v>5952810</v>
      </c>
      <c r="AD171" s="7">
        <v>2245484</v>
      </c>
      <c r="AE171" s="7">
        <v>2210000</v>
      </c>
      <c r="AF171" s="7">
        <v>2232702</v>
      </c>
      <c r="AG171" s="7">
        <v>2283713</v>
      </c>
      <c r="AH171" s="8">
        <v>3.99</v>
      </c>
      <c r="AI171" s="8">
        <v>4</v>
      </c>
    </row>
    <row r="172" spans="1:35" x14ac:dyDescent="0.25">
      <c r="A172" s="6" t="str">
        <f>"520601"</f>
        <v>520601</v>
      </c>
      <c r="B172" s="6" t="s">
        <v>207</v>
      </c>
      <c r="C172" s="7">
        <v>3419575</v>
      </c>
      <c r="D172" s="7">
        <v>3501990</v>
      </c>
      <c r="E172" s="8">
        <v>2.41</v>
      </c>
      <c r="F172" s="7">
        <v>2164475</v>
      </c>
      <c r="G172" s="7">
        <v>2204890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2164475</v>
      </c>
      <c r="O172" s="7">
        <v>2204890</v>
      </c>
      <c r="P172" s="8">
        <v>1.87</v>
      </c>
      <c r="Q172" s="7">
        <v>0</v>
      </c>
      <c r="R172" s="7">
        <v>0</v>
      </c>
      <c r="S172" s="7">
        <v>2164544</v>
      </c>
      <c r="T172" s="7">
        <v>2204898</v>
      </c>
      <c r="U172" s="7">
        <v>2164475</v>
      </c>
      <c r="V172" s="7">
        <v>2204890</v>
      </c>
      <c r="W172" s="7">
        <v>69</v>
      </c>
      <c r="X172" s="7">
        <v>8</v>
      </c>
      <c r="Y172" s="7">
        <v>85</v>
      </c>
      <c r="Z172" s="7">
        <v>77</v>
      </c>
      <c r="AA172" s="8">
        <v>-9.41</v>
      </c>
      <c r="AB172" s="7">
        <v>1264314</v>
      </c>
      <c r="AC172" s="7">
        <v>1214635</v>
      </c>
      <c r="AD172" s="7">
        <v>395000</v>
      </c>
      <c r="AE172" s="7">
        <v>400000</v>
      </c>
      <c r="AF172" s="7">
        <v>136784</v>
      </c>
      <c r="AG172" s="7">
        <v>140080</v>
      </c>
      <c r="AH172" s="8">
        <v>4</v>
      </c>
      <c r="AI172" s="8">
        <v>4</v>
      </c>
    </row>
    <row r="173" spans="1:35" x14ac:dyDescent="0.25">
      <c r="A173" s="6" t="str">
        <f>"470501"</f>
        <v>470501</v>
      </c>
      <c r="B173" s="6" t="s">
        <v>208</v>
      </c>
      <c r="C173" s="7">
        <v>10569740</v>
      </c>
      <c r="D173" s="7">
        <v>10807243</v>
      </c>
      <c r="E173" s="8">
        <v>2.25</v>
      </c>
      <c r="F173" s="7">
        <v>2502050</v>
      </c>
      <c r="G173" s="7">
        <v>2552091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2502050</v>
      </c>
      <c r="O173" s="7">
        <v>2552091</v>
      </c>
      <c r="P173" s="8">
        <v>2</v>
      </c>
      <c r="Q173" s="7">
        <v>0</v>
      </c>
      <c r="R173" s="7">
        <v>0</v>
      </c>
      <c r="S173" s="7">
        <v>2502050</v>
      </c>
      <c r="T173" s="7">
        <v>2610922</v>
      </c>
      <c r="U173" s="7">
        <v>2502050</v>
      </c>
      <c r="V173" s="7">
        <v>2552091</v>
      </c>
      <c r="W173" s="7">
        <v>0</v>
      </c>
      <c r="X173" s="7">
        <v>58831</v>
      </c>
      <c r="Y173" s="7">
        <v>410</v>
      </c>
      <c r="Z173" s="7">
        <v>400</v>
      </c>
      <c r="AA173" s="8">
        <v>-2.44</v>
      </c>
      <c r="AB173" s="7">
        <v>1086172</v>
      </c>
      <c r="AC173" s="7">
        <v>891000</v>
      </c>
      <c r="AD173" s="7">
        <v>111965</v>
      </c>
      <c r="AE173" s="7">
        <v>233422</v>
      </c>
      <c r="AF173" s="7">
        <v>637125</v>
      </c>
      <c r="AG173" s="7">
        <v>403703</v>
      </c>
      <c r="AH173" s="8">
        <v>6.03</v>
      </c>
      <c r="AI173" s="8">
        <v>3.74</v>
      </c>
    </row>
    <row r="174" spans="1:35" x14ac:dyDescent="0.25">
      <c r="A174" s="6" t="str">
        <f>"513102"</f>
        <v>513102</v>
      </c>
      <c r="B174" s="6" t="s">
        <v>209</v>
      </c>
      <c r="C174" s="7">
        <v>14784496</v>
      </c>
      <c r="D174" s="7">
        <v>15212061</v>
      </c>
      <c r="E174" s="8">
        <v>2.89</v>
      </c>
      <c r="F174" s="7">
        <v>1909606</v>
      </c>
      <c r="G174" s="7">
        <v>1936606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1909606</v>
      </c>
      <c r="O174" s="7">
        <v>1936606</v>
      </c>
      <c r="P174" s="8">
        <v>1.41</v>
      </c>
      <c r="Q174" s="7">
        <v>0</v>
      </c>
      <c r="R174" s="7">
        <v>50430</v>
      </c>
      <c r="S174" s="7">
        <v>1919737</v>
      </c>
      <c r="T174" s="7">
        <v>1955616</v>
      </c>
      <c r="U174" s="7">
        <v>1909606</v>
      </c>
      <c r="V174" s="7">
        <v>1886176</v>
      </c>
      <c r="W174" s="7">
        <v>10131</v>
      </c>
      <c r="X174" s="7">
        <v>69440</v>
      </c>
      <c r="Y174" s="7">
        <v>594</v>
      </c>
      <c r="Z174" s="7">
        <v>567</v>
      </c>
      <c r="AA174" s="8">
        <v>-4.55</v>
      </c>
      <c r="AB174" s="7">
        <v>3952702</v>
      </c>
      <c r="AC174" s="7">
        <v>3530057</v>
      </c>
      <c r="AD174" s="7">
        <v>612339</v>
      </c>
      <c r="AE174" s="7">
        <v>869064</v>
      </c>
      <c r="AF174" s="7">
        <v>1062773</v>
      </c>
      <c r="AG174" s="7">
        <v>606048</v>
      </c>
      <c r="AH174" s="8">
        <v>7.19</v>
      </c>
      <c r="AI174" s="8">
        <v>3.98</v>
      </c>
    </row>
    <row r="175" spans="1:35" x14ac:dyDescent="0.25">
      <c r="A175" s="6" t="str">
        <f>"180901"</f>
        <v>180901</v>
      </c>
      <c r="B175" s="6" t="s">
        <v>210</v>
      </c>
      <c r="C175" s="7">
        <v>9260316</v>
      </c>
      <c r="D175" s="7">
        <v>9273839</v>
      </c>
      <c r="E175" s="8">
        <v>0.15</v>
      </c>
      <c r="F175" s="7">
        <v>2878710</v>
      </c>
      <c r="G175" s="7">
        <v>2962193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2878710</v>
      </c>
      <c r="O175" s="7">
        <v>2962193</v>
      </c>
      <c r="P175" s="8">
        <v>2.9</v>
      </c>
      <c r="Q175" s="7">
        <v>14896</v>
      </c>
      <c r="R175" s="7">
        <v>152347</v>
      </c>
      <c r="S175" s="7">
        <v>2863814</v>
      </c>
      <c r="T175" s="7">
        <v>2919478</v>
      </c>
      <c r="U175" s="7">
        <v>2863814</v>
      </c>
      <c r="V175" s="7">
        <v>2809846</v>
      </c>
      <c r="W175" s="7">
        <v>0</v>
      </c>
      <c r="X175" s="7">
        <v>109632</v>
      </c>
      <c r="Y175" s="7">
        <v>410</v>
      </c>
      <c r="Z175" s="7">
        <v>414</v>
      </c>
      <c r="AA175" s="8">
        <v>0.98</v>
      </c>
      <c r="AB175" s="7">
        <v>994158</v>
      </c>
      <c r="AC175" s="7">
        <v>370413</v>
      </c>
      <c r="AD175" s="7">
        <v>268539</v>
      </c>
      <c r="AE175" s="7">
        <v>280484</v>
      </c>
      <c r="AF175" s="7">
        <v>725619</v>
      </c>
      <c r="AG175" s="7">
        <v>89929</v>
      </c>
      <c r="AH175" s="8">
        <v>7.84</v>
      </c>
      <c r="AI175" s="8">
        <v>0.97</v>
      </c>
    </row>
    <row r="176" spans="1:35" x14ac:dyDescent="0.25">
      <c r="A176" s="6" t="str">
        <f>"590801"</f>
        <v>590801</v>
      </c>
      <c r="B176" s="6" t="s">
        <v>211</v>
      </c>
      <c r="C176" s="7">
        <v>16989213</v>
      </c>
      <c r="D176" s="7">
        <v>17172172</v>
      </c>
      <c r="E176" s="8">
        <v>1.08</v>
      </c>
      <c r="F176" s="7">
        <v>9942042</v>
      </c>
      <c r="G176" s="7">
        <v>10121532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9942042</v>
      </c>
      <c r="O176" s="7">
        <v>10121532</v>
      </c>
      <c r="P176" s="8">
        <v>1.81</v>
      </c>
      <c r="Q176" s="7">
        <v>842623</v>
      </c>
      <c r="R176" s="7">
        <v>825687</v>
      </c>
      <c r="S176" s="7">
        <v>9099419</v>
      </c>
      <c r="T176" s="7">
        <v>9295845</v>
      </c>
      <c r="U176" s="7">
        <v>9099419</v>
      </c>
      <c r="V176" s="7">
        <v>9295845</v>
      </c>
      <c r="W176" s="7">
        <v>0</v>
      </c>
      <c r="X176" s="7">
        <v>0</v>
      </c>
      <c r="Y176" s="7">
        <v>637</v>
      </c>
      <c r="Z176" s="7">
        <v>592</v>
      </c>
      <c r="AA176" s="8">
        <v>-7.06</v>
      </c>
      <c r="AB176" s="7">
        <v>1325228</v>
      </c>
      <c r="AC176" s="7">
        <v>1325228</v>
      </c>
      <c r="AD176" s="7">
        <v>500000</v>
      </c>
      <c r="AE176" s="7">
        <v>200000</v>
      </c>
      <c r="AF176" s="7">
        <v>33379</v>
      </c>
      <c r="AG176" s="7">
        <v>333379</v>
      </c>
      <c r="AH176" s="8">
        <v>0.2</v>
      </c>
      <c r="AI176" s="8">
        <v>1.94</v>
      </c>
    </row>
    <row r="177" spans="1:35" x14ac:dyDescent="0.25">
      <c r="A177" s="6" t="str">
        <f>"150301"</f>
        <v>150301</v>
      </c>
      <c r="B177" s="6" t="s">
        <v>212</v>
      </c>
      <c r="C177" s="7">
        <v>8106000</v>
      </c>
      <c r="D177" s="7">
        <v>8356000</v>
      </c>
      <c r="E177" s="8">
        <v>3.08</v>
      </c>
      <c r="F177" s="7">
        <v>3666566</v>
      </c>
      <c r="G177" s="7">
        <v>3740982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3666566</v>
      </c>
      <c r="O177" s="7">
        <v>3740982</v>
      </c>
      <c r="P177" s="8">
        <v>2.0299999999999998</v>
      </c>
      <c r="Q177" s="7">
        <v>0</v>
      </c>
      <c r="R177" s="7">
        <v>0</v>
      </c>
      <c r="S177" s="7">
        <v>3666566</v>
      </c>
      <c r="T177" s="7">
        <v>3740982</v>
      </c>
      <c r="U177" s="7">
        <v>3666566</v>
      </c>
      <c r="V177" s="7">
        <v>3740982</v>
      </c>
      <c r="W177" s="7">
        <v>0</v>
      </c>
      <c r="X177" s="7">
        <v>0</v>
      </c>
      <c r="Y177" s="7">
        <v>226</v>
      </c>
      <c r="Z177" s="7">
        <v>232</v>
      </c>
      <c r="AA177" s="8">
        <v>2.65</v>
      </c>
      <c r="AB177" s="7">
        <v>986281</v>
      </c>
      <c r="AC177" s="7">
        <v>1861671</v>
      </c>
      <c r="AD177" s="7">
        <v>211532</v>
      </c>
      <c r="AE177" s="7">
        <v>0</v>
      </c>
      <c r="AF177" s="7">
        <v>479039</v>
      </c>
      <c r="AG177" s="7">
        <v>334240</v>
      </c>
      <c r="AH177" s="8">
        <v>5.91</v>
      </c>
      <c r="AI177" s="8">
        <v>4</v>
      </c>
    </row>
    <row r="178" spans="1:35" x14ac:dyDescent="0.25">
      <c r="A178" s="6" t="str">
        <f>"622002"</f>
        <v>622002</v>
      </c>
      <c r="B178" s="6" t="s">
        <v>213</v>
      </c>
      <c r="C178" s="7">
        <v>48236864</v>
      </c>
      <c r="D178" s="7">
        <v>49899279</v>
      </c>
      <c r="E178" s="8">
        <v>3.45</v>
      </c>
      <c r="F178" s="7">
        <v>23286191</v>
      </c>
      <c r="G178" s="7">
        <v>23612596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23286191</v>
      </c>
      <c r="O178" s="7">
        <v>23612596</v>
      </c>
      <c r="P178" s="8">
        <v>1.4</v>
      </c>
      <c r="Q178" s="7">
        <v>370456</v>
      </c>
      <c r="R178" s="7">
        <v>372916</v>
      </c>
      <c r="S178" s="7">
        <v>22915735</v>
      </c>
      <c r="T178" s="7">
        <v>23239680</v>
      </c>
      <c r="U178" s="7">
        <v>22915735</v>
      </c>
      <c r="V178" s="7">
        <v>23239680</v>
      </c>
      <c r="W178" s="7">
        <v>0</v>
      </c>
      <c r="X178" s="7">
        <v>0</v>
      </c>
      <c r="Y178" s="7">
        <v>1746</v>
      </c>
      <c r="Z178" s="7">
        <v>1695</v>
      </c>
      <c r="AA178" s="8">
        <v>-2.92</v>
      </c>
      <c r="AB178" s="7">
        <v>5310237</v>
      </c>
      <c r="AC178" s="7">
        <v>5310237</v>
      </c>
      <c r="AD178" s="7">
        <v>2377946</v>
      </c>
      <c r="AE178" s="7">
        <v>3554430</v>
      </c>
      <c r="AF178" s="7">
        <v>1929475</v>
      </c>
      <c r="AG178" s="7">
        <v>1995971</v>
      </c>
      <c r="AH178" s="8">
        <v>4</v>
      </c>
      <c r="AI178" s="8">
        <v>4</v>
      </c>
    </row>
    <row r="179" spans="1:35" x14ac:dyDescent="0.25">
      <c r="A179" s="6" t="str">
        <f>"040901"</f>
        <v>040901</v>
      </c>
      <c r="B179" s="6" t="s">
        <v>214</v>
      </c>
      <c r="C179" s="7">
        <v>11903306</v>
      </c>
      <c r="D179" s="7">
        <v>12319921</v>
      </c>
      <c r="E179" s="8">
        <v>3.5</v>
      </c>
      <c r="F179" s="7">
        <v>6980139</v>
      </c>
      <c r="G179" s="7">
        <v>7203262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6980139</v>
      </c>
      <c r="O179" s="7">
        <v>7203262</v>
      </c>
      <c r="P179" s="8">
        <v>3.2</v>
      </c>
      <c r="Q179" s="7">
        <v>507996</v>
      </c>
      <c r="R179" s="7">
        <v>445393</v>
      </c>
      <c r="S179" s="7">
        <v>6502376</v>
      </c>
      <c r="T179" s="7">
        <v>6634676</v>
      </c>
      <c r="U179" s="7">
        <v>6472143</v>
      </c>
      <c r="V179" s="7">
        <v>6757869</v>
      </c>
      <c r="W179" s="7">
        <v>30233</v>
      </c>
      <c r="X179" s="7">
        <v>-123193</v>
      </c>
      <c r="Y179" s="7">
        <v>649</v>
      </c>
      <c r="Z179" s="7">
        <v>660</v>
      </c>
      <c r="AA179" s="8">
        <v>1.69</v>
      </c>
      <c r="AB179" s="7">
        <v>549865</v>
      </c>
      <c r="AC179" s="7">
        <v>649865</v>
      </c>
      <c r="AD179" s="7">
        <v>550000</v>
      </c>
      <c r="AE179" s="7">
        <v>450000</v>
      </c>
      <c r="AF179" s="7">
        <v>404408</v>
      </c>
      <c r="AG179" s="7">
        <v>490000</v>
      </c>
      <c r="AH179" s="8">
        <v>3.4</v>
      </c>
      <c r="AI179" s="8">
        <v>3.98</v>
      </c>
    </row>
    <row r="180" spans="1:35" x14ac:dyDescent="0.25">
      <c r="A180" s="6" t="str">
        <f>"070600"</f>
        <v>070600</v>
      </c>
      <c r="B180" s="6" t="s">
        <v>215</v>
      </c>
      <c r="C180" s="7">
        <v>123114438</v>
      </c>
      <c r="D180" s="7">
        <v>127201994</v>
      </c>
      <c r="E180" s="8">
        <v>3.32</v>
      </c>
      <c r="F180" s="7">
        <v>33001508</v>
      </c>
      <c r="G180" s="7">
        <v>33001508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33001508</v>
      </c>
      <c r="O180" s="7">
        <v>33001508</v>
      </c>
      <c r="P180" s="8">
        <v>0</v>
      </c>
      <c r="Q180" s="7">
        <v>1217275</v>
      </c>
      <c r="R180" s="7">
        <v>776746</v>
      </c>
      <c r="S180" s="7">
        <v>32061485</v>
      </c>
      <c r="T180" s="7">
        <v>32224762</v>
      </c>
      <c r="U180" s="7">
        <v>31784233</v>
      </c>
      <c r="V180" s="7">
        <v>32224762</v>
      </c>
      <c r="W180" s="7">
        <v>277252</v>
      </c>
      <c r="X180" s="7">
        <v>0</v>
      </c>
      <c r="Y180" s="7">
        <v>6967</v>
      </c>
      <c r="Z180" s="7">
        <v>6963</v>
      </c>
      <c r="AA180" s="8">
        <v>-0.06</v>
      </c>
      <c r="AB180" s="7">
        <v>15425249</v>
      </c>
      <c r="AC180" s="7">
        <v>16500000</v>
      </c>
      <c r="AD180" s="7">
        <v>517542</v>
      </c>
      <c r="AE180" s="7">
        <v>150000</v>
      </c>
      <c r="AF180" s="7">
        <v>4924578</v>
      </c>
      <c r="AG180" s="7">
        <v>5088080</v>
      </c>
      <c r="AH180" s="8">
        <v>4</v>
      </c>
      <c r="AI180" s="8">
        <v>4</v>
      </c>
    </row>
    <row r="181" spans="1:35" x14ac:dyDescent="0.25">
      <c r="A181" s="6" t="str">
        <f>"070902"</f>
        <v>070902</v>
      </c>
      <c r="B181" s="6" t="s">
        <v>216</v>
      </c>
      <c r="C181" s="7">
        <v>20384781</v>
      </c>
      <c r="D181" s="7">
        <v>21376148</v>
      </c>
      <c r="E181" s="8">
        <v>4.8600000000000003</v>
      </c>
      <c r="F181" s="7">
        <v>7446383</v>
      </c>
      <c r="G181" s="7">
        <v>7631798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7446383</v>
      </c>
      <c r="O181" s="7">
        <v>7631798</v>
      </c>
      <c r="P181" s="8">
        <v>2.4900000000000002</v>
      </c>
      <c r="Q181" s="7">
        <v>167506</v>
      </c>
      <c r="R181" s="7">
        <v>431792</v>
      </c>
      <c r="S181" s="7">
        <v>7278877</v>
      </c>
      <c r="T181" s="7">
        <v>7386430</v>
      </c>
      <c r="U181" s="7">
        <v>7278877</v>
      </c>
      <c r="V181" s="7">
        <v>7200006</v>
      </c>
      <c r="W181" s="7">
        <v>0</v>
      </c>
      <c r="X181" s="7">
        <v>186424</v>
      </c>
      <c r="Y181" s="7">
        <v>1009</v>
      </c>
      <c r="Z181" s="7">
        <v>1026</v>
      </c>
      <c r="AA181" s="8">
        <v>1.68</v>
      </c>
      <c r="AB181" s="7">
        <v>2516850</v>
      </c>
      <c r="AC181" s="7">
        <v>2766850</v>
      </c>
      <c r="AD181" s="7">
        <v>600000</v>
      </c>
      <c r="AE181" s="7">
        <v>697791</v>
      </c>
      <c r="AF181" s="7">
        <v>1664855</v>
      </c>
      <c r="AG181" s="7">
        <v>855046</v>
      </c>
      <c r="AH181" s="8">
        <v>8.17</v>
      </c>
      <c r="AI181" s="8">
        <v>4</v>
      </c>
    </row>
    <row r="182" spans="1:35" x14ac:dyDescent="0.25">
      <c r="A182" s="6" t="str">
        <f>"280216"</f>
        <v>280216</v>
      </c>
      <c r="B182" s="6" t="s">
        <v>217</v>
      </c>
      <c r="C182" s="7">
        <v>85838433</v>
      </c>
      <c r="D182" s="7">
        <v>86409734</v>
      </c>
      <c r="E182" s="8">
        <v>0.67</v>
      </c>
      <c r="F182" s="7">
        <v>53722110</v>
      </c>
      <c r="G182" s="7">
        <v>52317479</v>
      </c>
      <c r="H182" s="7">
        <v>997188</v>
      </c>
      <c r="I182" s="7">
        <v>1007988</v>
      </c>
      <c r="J182" s="7">
        <v>0</v>
      </c>
      <c r="K182" s="7">
        <v>0</v>
      </c>
      <c r="L182" s="7">
        <v>0</v>
      </c>
      <c r="M182" s="7">
        <v>0</v>
      </c>
      <c r="N182" s="7">
        <v>54719298</v>
      </c>
      <c r="O182" s="7">
        <v>53325467</v>
      </c>
      <c r="P182" s="8">
        <v>-2.5499999999999998</v>
      </c>
      <c r="Q182" s="7">
        <v>1485974</v>
      </c>
      <c r="R182" s="7">
        <v>1873401</v>
      </c>
      <c r="S182" s="7">
        <v>52365980</v>
      </c>
      <c r="T182" s="7">
        <v>52941547</v>
      </c>
      <c r="U182" s="7">
        <v>52236136</v>
      </c>
      <c r="V182" s="7">
        <v>50444078</v>
      </c>
      <c r="W182" s="7">
        <v>129844</v>
      </c>
      <c r="X182" s="7">
        <v>2497469</v>
      </c>
      <c r="Y182" s="7">
        <v>3573</v>
      </c>
      <c r="Z182" s="7">
        <v>3590</v>
      </c>
      <c r="AA182" s="8">
        <v>0.48</v>
      </c>
      <c r="AB182" s="7">
        <v>1360998</v>
      </c>
      <c r="AC182" s="7">
        <v>5230000</v>
      </c>
      <c r="AD182" s="7">
        <v>7546180</v>
      </c>
      <c r="AE182" s="7">
        <v>6250000</v>
      </c>
      <c r="AF182" s="7">
        <v>3212533</v>
      </c>
      <c r="AG182" s="7">
        <v>2290000</v>
      </c>
      <c r="AH182" s="8">
        <v>3.74</v>
      </c>
      <c r="AI182" s="8">
        <v>2.65</v>
      </c>
    </row>
    <row r="183" spans="1:35" x14ac:dyDescent="0.25">
      <c r="A183" s="6" t="str">
        <f>"660409"</f>
        <v>660409</v>
      </c>
      <c r="B183" s="6" t="s">
        <v>218</v>
      </c>
      <c r="C183" s="7">
        <v>33482155</v>
      </c>
      <c r="D183" s="7">
        <v>34147076</v>
      </c>
      <c r="E183" s="8">
        <v>1.99</v>
      </c>
      <c r="F183" s="7">
        <v>29128382</v>
      </c>
      <c r="G183" s="7">
        <v>29793303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29128382</v>
      </c>
      <c r="O183" s="7">
        <v>29793303</v>
      </c>
      <c r="P183" s="8">
        <v>2.2799999999999998</v>
      </c>
      <c r="Q183" s="7">
        <v>0</v>
      </c>
      <c r="R183" s="7">
        <v>0</v>
      </c>
      <c r="S183" s="7">
        <v>29128382</v>
      </c>
      <c r="T183" s="7">
        <v>29793303</v>
      </c>
      <c r="U183" s="7">
        <v>29128382</v>
      </c>
      <c r="V183" s="7">
        <v>29793303</v>
      </c>
      <c r="W183" s="7">
        <v>0</v>
      </c>
      <c r="X183" s="7">
        <v>0</v>
      </c>
      <c r="Y183" s="7">
        <v>966</v>
      </c>
      <c r="Z183" s="7">
        <v>977</v>
      </c>
      <c r="AA183" s="8">
        <v>1.1399999999999999</v>
      </c>
      <c r="AB183" s="7">
        <v>12124377</v>
      </c>
      <c r="AC183" s="7">
        <v>11995000</v>
      </c>
      <c r="AD183" s="7">
        <v>1626814</v>
      </c>
      <c r="AE183" s="7">
        <v>1595084</v>
      </c>
      <c r="AF183" s="7">
        <v>1320016</v>
      </c>
      <c r="AG183" s="7">
        <v>1365883</v>
      </c>
      <c r="AH183" s="8">
        <v>3.94</v>
      </c>
      <c r="AI183" s="8">
        <v>4</v>
      </c>
    </row>
    <row r="184" spans="1:35" x14ac:dyDescent="0.25">
      <c r="A184" s="6" t="str">
        <f>"580401"</f>
        <v>580401</v>
      </c>
      <c r="B184" s="6" t="s">
        <v>219</v>
      </c>
      <c r="C184" s="7">
        <v>59458599</v>
      </c>
      <c r="D184" s="7">
        <v>60330370</v>
      </c>
      <c r="E184" s="8">
        <v>1.47</v>
      </c>
      <c r="F184" s="7">
        <v>43846884</v>
      </c>
      <c r="G184" s="7">
        <v>44719437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43846884</v>
      </c>
      <c r="O184" s="7">
        <v>44719437</v>
      </c>
      <c r="P184" s="8">
        <v>1.99</v>
      </c>
      <c r="Q184" s="7">
        <v>457083</v>
      </c>
      <c r="R184" s="7">
        <v>738087</v>
      </c>
      <c r="S184" s="7">
        <v>43389801</v>
      </c>
      <c r="T184" s="7">
        <v>44037320</v>
      </c>
      <c r="U184" s="7">
        <v>43389801</v>
      </c>
      <c r="V184" s="7">
        <v>43981350</v>
      </c>
      <c r="W184" s="7">
        <v>0</v>
      </c>
      <c r="X184" s="7">
        <v>55970</v>
      </c>
      <c r="Y184" s="7">
        <v>2210</v>
      </c>
      <c r="Z184" s="7">
        <v>2184</v>
      </c>
      <c r="AA184" s="8">
        <v>-1.18</v>
      </c>
      <c r="AB184" s="7">
        <v>1872958</v>
      </c>
      <c r="AC184" s="7">
        <v>2380171</v>
      </c>
      <c r="AD184" s="7">
        <v>1623297</v>
      </c>
      <c r="AE184" s="7">
        <v>1599267</v>
      </c>
      <c r="AF184" s="7">
        <v>2143145</v>
      </c>
      <c r="AG184" s="7">
        <v>2413215</v>
      </c>
      <c r="AH184" s="8">
        <v>3.6</v>
      </c>
      <c r="AI184" s="8">
        <v>4</v>
      </c>
    </row>
    <row r="185" spans="1:35" x14ac:dyDescent="0.25">
      <c r="A185" s="6" t="str">
        <f>"141401"</f>
        <v>141401</v>
      </c>
      <c r="B185" s="6" t="s">
        <v>220</v>
      </c>
      <c r="C185" s="7">
        <v>56507761</v>
      </c>
      <c r="D185" s="7">
        <v>58225880</v>
      </c>
      <c r="E185" s="8">
        <v>3.04</v>
      </c>
      <c r="F185" s="7">
        <v>17055165</v>
      </c>
      <c r="G185" s="7">
        <v>17259821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17055165</v>
      </c>
      <c r="O185" s="7">
        <v>17259821</v>
      </c>
      <c r="P185" s="8">
        <v>1.2</v>
      </c>
      <c r="Q185" s="7">
        <v>193156</v>
      </c>
      <c r="R185" s="7">
        <v>778604</v>
      </c>
      <c r="S185" s="7">
        <v>16862009</v>
      </c>
      <c r="T185" s="7">
        <v>16481217</v>
      </c>
      <c r="U185" s="7">
        <v>16862009</v>
      </c>
      <c r="V185" s="7">
        <v>16481217</v>
      </c>
      <c r="W185" s="7">
        <v>0</v>
      </c>
      <c r="X185" s="7">
        <v>0</v>
      </c>
      <c r="Y185" s="7">
        <v>2420</v>
      </c>
      <c r="Z185" s="7">
        <v>2373</v>
      </c>
      <c r="AA185" s="8">
        <v>-1.94</v>
      </c>
      <c r="AB185" s="7">
        <v>5158396</v>
      </c>
      <c r="AC185" s="7">
        <v>5927568</v>
      </c>
      <c r="AD185" s="7">
        <v>1750000</v>
      </c>
      <c r="AE185" s="7">
        <v>1750000</v>
      </c>
      <c r="AF185" s="7">
        <v>1749827</v>
      </c>
      <c r="AG185" s="7">
        <v>2233352</v>
      </c>
      <c r="AH185" s="8">
        <v>3.1</v>
      </c>
      <c r="AI185" s="8">
        <v>3.84</v>
      </c>
    </row>
    <row r="186" spans="1:35" x14ac:dyDescent="0.25">
      <c r="A186" s="6" t="str">
        <f>"420601"</f>
        <v>420601</v>
      </c>
      <c r="B186" s="6" t="s">
        <v>221</v>
      </c>
      <c r="C186" s="7">
        <v>17479887</v>
      </c>
      <c r="D186" s="7">
        <v>17880606</v>
      </c>
      <c r="E186" s="8">
        <v>2.29</v>
      </c>
      <c r="F186" s="7">
        <v>8094704</v>
      </c>
      <c r="G186" s="7">
        <v>8243418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8094704</v>
      </c>
      <c r="O186" s="7">
        <v>8243418</v>
      </c>
      <c r="P186" s="8">
        <v>1.84</v>
      </c>
      <c r="Q186" s="7">
        <v>0</v>
      </c>
      <c r="R186" s="7">
        <v>0</v>
      </c>
      <c r="S186" s="7">
        <v>8094704</v>
      </c>
      <c r="T186" s="7">
        <v>8243418</v>
      </c>
      <c r="U186" s="7">
        <v>8094704</v>
      </c>
      <c r="V186" s="7">
        <v>8243418</v>
      </c>
      <c r="W186" s="7">
        <v>0</v>
      </c>
      <c r="X186" s="7">
        <v>0</v>
      </c>
      <c r="Y186" s="7">
        <v>680</v>
      </c>
      <c r="Z186" s="7">
        <v>680</v>
      </c>
      <c r="AA186" s="8">
        <v>0</v>
      </c>
      <c r="AB186" s="7">
        <v>1489729</v>
      </c>
      <c r="AC186" s="7">
        <v>2084000</v>
      </c>
      <c r="AD186" s="7">
        <v>529010</v>
      </c>
      <c r="AE186" s="7">
        <v>400000</v>
      </c>
      <c r="AF186" s="7">
        <v>1041468</v>
      </c>
      <c r="AG186" s="7">
        <v>715224</v>
      </c>
      <c r="AH186" s="8">
        <v>5.96</v>
      </c>
      <c r="AI186" s="8">
        <v>4</v>
      </c>
    </row>
    <row r="187" spans="1:35" x14ac:dyDescent="0.25">
      <c r="A187" s="6" t="str">
        <f>"261301"</f>
        <v>261301</v>
      </c>
      <c r="B187" s="6" t="s">
        <v>222</v>
      </c>
      <c r="C187" s="7">
        <v>123262878</v>
      </c>
      <c r="D187" s="7">
        <v>127036967</v>
      </c>
      <c r="E187" s="8">
        <v>3.06</v>
      </c>
      <c r="F187" s="7">
        <v>70883956</v>
      </c>
      <c r="G187" s="7">
        <v>72652229</v>
      </c>
      <c r="H187" s="7">
        <v>387788</v>
      </c>
      <c r="I187" s="7">
        <v>386788</v>
      </c>
      <c r="J187" s="7">
        <v>0</v>
      </c>
      <c r="K187" s="7">
        <v>0</v>
      </c>
      <c r="L187" s="7">
        <v>0</v>
      </c>
      <c r="M187" s="7">
        <v>0</v>
      </c>
      <c r="N187" s="7">
        <v>71271744</v>
      </c>
      <c r="O187" s="7">
        <v>73039017</v>
      </c>
      <c r="P187" s="8">
        <v>2.48</v>
      </c>
      <c r="Q187" s="7">
        <v>1455959</v>
      </c>
      <c r="R187" s="7">
        <v>1788961</v>
      </c>
      <c r="S187" s="7">
        <v>69815786</v>
      </c>
      <c r="T187" s="7">
        <v>71250056</v>
      </c>
      <c r="U187" s="7">
        <v>69427997</v>
      </c>
      <c r="V187" s="7">
        <v>70863268</v>
      </c>
      <c r="W187" s="7">
        <v>387789</v>
      </c>
      <c r="X187" s="7">
        <v>386788</v>
      </c>
      <c r="Y187" s="7">
        <v>5905</v>
      </c>
      <c r="Z187" s="7">
        <v>5778</v>
      </c>
      <c r="AA187" s="8">
        <v>-2.15</v>
      </c>
      <c r="AB187" s="7">
        <v>23436448</v>
      </c>
      <c r="AC187" s="7">
        <v>19500000</v>
      </c>
      <c r="AD187" s="7">
        <v>4550389</v>
      </c>
      <c r="AE187" s="7">
        <v>4426882</v>
      </c>
      <c r="AF187" s="7">
        <v>4930516</v>
      </c>
      <c r="AG187" s="7">
        <v>4930500</v>
      </c>
      <c r="AH187" s="8">
        <v>4</v>
      </c>
      <c r="AI187" s="8">
        <v>3.88</v>
      </c>
    </row>
    <row r="188" spans="1:35" x14ac:dyDescent="0.25">
      <c r="A188" s="6" t="str">
        <f>"061101"</f>
        <v>061101</v>
      </c>
      <c r="B188" s="6" t="s">
        <v>223</v>
      </c>
      <c r="C188" s="7">
        <v>22379725</v>
      </c>
      <c r="D188" s="7">
        <v>22674271</v>
      </c>
      <c r="E188" s="8">
        <v>1.32</v>
      </c>
      <c r="F188" s="7">
        <v>7008316</v>
      </c>
      <c r="G188" s="7">
        <v>7081464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7008316</v>
      </c>
      <c r="O188" s="7">
        <v>7081464</v>
      </c>
      <c r="P188" s="8">
        <v>1.04</v>
      </c>
      <c r="Q188" s="7">
        <v>0</v>
      </c>
      <c r="R188" s="7">
        <v>0</v>
      </c>
      <c r="S188" s="7">
        <v>7156431</v>
      </c>
      <c r="T188" s="7">
        <v>7223522</v>
      </c>
      <c r="U188" s="7">
        <v>7008316</v>
      </c>
      <c r="V188" s="7">
        <v>7081464</v>
      </c>
      <c r="W188" s="7">
        <v>148115</v>
      </c>
      <c r="X188" s="7">
        <v>142058</v>
      </c>
      <c r="Y188" s="7">
        <v>1122</v>
      </c>
      <c r="Z188" s="7">
        <v>1130</v>
      </c>
      <c r="AA188" s="8">
        <v>0.71</v>
      </c>
      <c r="AB188" s="7">
        <v>8925000</v>
      </c>
      <c r="AC188" s="7">
        <v>8825000</v>
      </c>
      <c r="AD188" s="7">
        <v>2105000</v>
      </c>
      <c r="AE188" s="7">
        <v>1945000</v>
      </c>
      <c r="AF188" s="7">
        <v>1500000</v>
      </c>
      <c r="AG188" s="7">
        <v>900000</v>
      </c>
      <c r="AH188" s="8">
        <v>6.7</v>
      </c>
      <c r="AI188" s="8">
        <v>3.97</v>
      </c>
    </row>
    <row r="189" spans="1:35" x14ac:dyDescent="0.25">
      <c r="A189" s="6" t="str">
        <f>"590501"</f>
        <v>590501</v>
      </c>
      <c r="B189" s="6" t="s">
        <v>224</v>
      </c>
      <c r="C189" s="7">
        <v>42097366</v>
      </c>
      <c r="D189" s="7">
        <v>43123663</v>
      </c>
      <c r="E189" s="8">
        <v>2.44</v>
      </c>
      <c r="F189" s="7">
        <v>18993754</v>
      </c>
      <c r="G189" s="7">
        <v>19371656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18993754</v>
      </c>
      <c r="O189" s="7">
        <v>19371656</v>
      </c>
      <c r="P189" s="8">
        <v>1.99</v>
      </c>
      <c r="Q189" s="7">
        <v>0</v>
      </c>
      <c r="R189" s="7">
        <v>0</v>
      </c>
      <c r="S189" s="7">
        <v>19282999</v>
      </c>
      <c r="T189" s="7">
        <v>19493867</v>
      </c>
      <c r="U189" s="7">
        <v>18993754</v>
      </c>
      <c r="V189" s="7">
        <v>19371656</v>
      </c>
      <c r="W189" s="7">
        <v>289245</v>
      </c>
      <c r="X189" s="7">
        <v>122211</v>
      </c>
      <c r="Y189" s="7">
        <v>1397</v>
      </c>
      <c r="Z189" s="7">
        <v>1406</v>
      </c>
      <c r="AA189" s="8">
        <v>0.64</v>
      </c>
      <c r="AB189" s="7">
        <v>1154114</v>
      </c>
      <c r="AC189" s="7">
        <v>1200000</v>
      </c>
      <c r="AD189" s="7">
        <v>1587128</v>
      </c>
      <c r="AE189" s="7">
        <v>1687128</v>
      </c>
      <c r="AF189" s="7">
        <v>3492539</v>
      </c>
      <c r="AG189" s="7">
        <v>2588420</v>
      </c>
      <c r="AH189" s="8">
        <v>8.3000000000000007</v>
      </c>
      <c r="AI189" s="8">
        <v>6</v>
      </c>
    </row>
    <row r="190" spans="1:35" x14ac:dyDescent="0.25">
      <c r="A190" s="6" t="str">
        <f>"280522"</f>
        <v>280522</v>
      </c>
      <c r="B190" s="6" t="s">
        <v>225</v>
      </c>
      <c r="C190" s="7">
        <v>158880867</v>
      </c>
      <c r="D190" s="7">
        <v>162299331</v>
      </c>
      <c r="E190" s="8">
        <v>2.15</v>
      </c>
      <c r="F190" s="7">
        <v>119255708</v>
      </c>
      <c r="G190" s="7">
        <v>120240900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119255708</v>
      </c>
      <c r="O190" s="7">
        <v>120240900</v>
      </c>
      <c r="P190" s="8">
        <v>0.83</v>
      </c>
      <c r="Q190" s="7">
        <v>2030318</v>
      </c>
      <c r="R190" s="7">
        <v>1536690</v>
      </c>
      <c r="S190" s="7">
        <v>117225390</v>
      </c>
      <c r="T190" s="7">
        <v>118704210</v>
      </c>
      <c r="U190" s="7">
        <v>117225390</v>
      </c>
      <c r="V190" s="7">
        <v>118704210</v>
      </c>
      <c r="W190" s="7">
        <v>0</v>
      </c>
      <c r="X190" s="7">
        <v>0</v>
      </c>
      <c r="Y190" s="7">
        <v>5765</v>
      </c>
      <c r="Z190" s="7">
        <v>5738</v>
      </c>
      <c r="AA190" s="8">
        <v>-0.47</v>
      </c>
      <c r="AB190" s="7">
        <v>28573893</v>
      </c>
      <c r="AC190" s="7">
        <v>28678541</v>
      </c>
      <c r="AD190" s="7">
        <v>5500000</v>
      </c>
      <c r="AE190" s="7">
        <v>5500000</v>
      </c>
      <c r="AF190" s="7">
        <v>6355235</v>
      </c>
      <c r="AG190" s="7">
        <v>6491973</v>
      </c>
      <c r="AH190" s="8">
        <v>4</v>
      </c>
      <c r="AI190" s="8">
        <v>4</v>
      </c>
    </row>
    <row r="191" spans="1:35" x14ac:dyDescent="0.25">
      <c r="A191" s="6" t="str">
        <f>"421001"</f>
        <v>421001</v>
      </c>
      <c r="B191" s="6" t="s">
        <v>226</v>
      </c>
      <c r="C191" s="7">
        <v>79619741</v>
      </c>
      <c r="D191" s="7">
        <v>80728938</v>
      </c>
      <c r="E191" s="8">
        <v>1.39</v>
      </c>
      <c r="F191" s="7">
        <v>58337317</v>
      </c>
      <c r="G191" s="7">
        <v>59483104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58337317</v>
      </c>
      <c r="O191" s="7">
        <v>59483104</v>
      </c>
      <c r="P191" s="8">
        <v>1.96</v>
      </c>
      <c r="Q191" s="7">
        <v>349431</v>
      </c>
      <c r="R191" s="7">
        <v>547430</v>
      </c>
      <c r="S191" s="7">
        <v>57989126</v>
      </c>
      <c r="T191" s="7">
        <v>58936248</v>
      </c>
      <c r="U191" s="7">
        <v>57987886</v>
      </c>
      <c r="V191" s="7">
        <v>58935674</v>
      </c>
      <c r="W191" s="7">
        <v>1240</v>
      </c>
      <c r="X191" s="7">
        <v>574</v>
      </c>
      <c r="Y191" s="7">
        <v>4214</v>
      </c>
      <c r="Z191" s="7">
        <v>4226</v>
      </c>
      <c r="AA191" s="8">
        <v>0.28000000000000003</v>
      </c>
      <c r="AB191" s="7">
        <v>12845593</v>
      </c>
      <c r="AC191" s="7">
        <v>13862058</v>
      </c>
      <c r="AD191" s="7">
        <v>725000</v>
      </c>
      <c r="AE191" s="7">
        <v>725000</v>
      </c>
      <c r="AF191" s="7">
        <v>3154225</v>
      </c>
      <c r="AG191" s="7">
        <v>3188793</v>
      </c>
      <c r="AH191" s="8">
        <v>3.96</v>
      </c>
      <c r="AI191" s="8">
        <v>3.95</v>
      </c>
    </row>
    <row r="192" spans="1:35" x14ac:dyDescent="0.25">
      <c r="A192" s="6" t="str">
        <f>"022001"</f>
        <v>022001</v>
      </c>
      <c r="B192" s="6" t="s">
        <v>227</v>
      </c>
      <c r="C192" s="7">
        <v>14810871</v>
      </c>
      <c r="D192" s="7">
        <v>16163076</v>
      </c>
      <c r="E192" s="8">
        <v>9.1300000000000008</v>
      </c>
      <c r="F192" s="7">
        <v>2429058</v>
      </c>
      <c r="G192" s="7">
        <v>2470783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2429058</v>
      </c>
      <c r="O192" s="7">
        <v>2470783</v>
      </c>
      <c r="P192" s="8">
        <v>1.72</v>
      </c>
      <c r="Q192" s="7">
        <v>0</v>
      </c>
      <c r="R192" s="7">
        <v>0</v>
      </c>
      <c r="S192" s="7">
        <v>2448182</v>
      </c>
      <c r="T192" s="7">
        <v>2470783</v>
      </c>
      <c r="U192" s="7">
        <v>2429058</v>
      </c>
      <c r="V192" s="7">
        <v>2470783</v>
      </c>
      <c r="W192" s="7">
        <v>19124</v>
      </c>
      <c r="X192" s="7">
        <v>0</v>
      </c>
      <c r="Y192" s="7">
        <v>686</v>
      </c>
      <c r="Z192" s="7">
        <v>698</v>
      </c>
      <c r="AA192" s="8">
        <v>1.75</v>
      </c>
      <c r="AB192" s="7">
        <v>1415265</v>
      </c>
      <c r="AC192" s="7">
        <v>1070164</v>
      </c>
      <c r="AD192" s="7">
        <v>210913</v>
      </c>
      <c r="AE192" s="7">
        <v>107976</v>
      </c>
      <c r="AF192" s="7">
        <v>1481928</v>
      </c>
      <c r="AG192" s="7">
        <v>1560233</v>
      </c>
      <c r="AH192" s="8">
        <v>10.01</v>
      </c>
      <c r="AI192" s="8">
        <v>9.65</v>
      </c>
    </row>
    <row r="193" spans="1:35" x14ac:dyDescent="0.25">
      <c r="A193" s="6" t="str">
        <f>"580514"</f>
        <v>580514</v>
      </c>
      <c r="B193" s="6" t="s">
        <v>228</v>
      </c>
      <c r="C193" s="7">
        <v>5632107</v>
      </c>
      <c r="D193" s="7">
        <v>5687137</v>
      </c>
      <c r="E193" s="8">
        <v>0.98</v>
      </c>
      <c r="F193" s="7">
        <v>5082291</v>
      </c>
      <c r="G193" s="7">
        <v>5082291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5082291</v>
      </c>
      <c r="O193" s="7">
        <v>5082291</v>
      </c>
      <c r="P193" s="8">
        <v>0</v>
      </c>
      <c r="Q193" s="7">
        <v>0</v>
      </c>
      <c r="R193" s="7">
        <v>0</v>
      </c>
      <c r="S193" s="7">
        <v>5142414</v>
      </c>
      <c r="T193" s="7">
        <v>5222919</v>
      </c>
      <c r="U193" s="7">
        <v>5082291</v>
      </c>
      <c r="V193" s="7">
        <v>5082291</v>
      </c>
      <c r="W193" s="7">
        <v>60123</v>
      </c>
      <c r="X193" s="7">
        <v>140628</v>
      </c>
      <c r="Y193" s="7">
        <v>27</v>
      </c>
      <c r="Z193" s="7">
        <v>31</v>
      </c>
      <c r="AA193" s="8">
        <v>14.81</v>
      </c>
      <c r="AB193" s="7">
        <v>2856322</v>
      </c>
      <c r="AC193" s="7">
        <v>2956317</v>
      </c>
      <c r="AD193" s="7">
        <v>150000</v>
      </c>
      <c r="AE193" s="7">
        <v>150000</v>
      </c>
      <c r="AF193" s="7">
        <v>225282</v>
      </c>
      <c r="AG193" s="7">
        <v>227500</v>
      </c>
      <c r="AH193" s="8">
        <v>4</v>
      </c>
      <c r="AI193" s="8">
        <v>4</v>
      </c>
    </row>
    <row r="194" spans="1:35" x14ac:dyDescent="0.25">
      <c r="A194" s="6" t="str">
        <f>"581004"</f>
        <v>581004</v>
      </c>
      <c r="B194" s="6" t="s">
        <v>229</v>
      </c>
      <c r="C194" s="7">
        <v>3650419</v>
      </c>
      <c r="D194" s="7">
        <v>3650419</v>
      </c>
      <c r="E194" s="8">
        <v>0</v>
      </c>
      <c r="F194" s="7">
        <v>3200363</v>
      </c>
      <c r="G194" s="7">
        <v>3200363</v>
      </c>
      <c r="H194" s="7">
        <v>51000</v>
      </c>
      <c r="I194" s="7">
        <v>51000</v>
      </c>
      <c r="J194" s="7">
        <v>0</v>
      </c>
      <c r="K194" s="7">
        <v>0</v>
      </c>
      <c r="L194" s="7">
        <v>0</v>
      </c>
      <c r="M194" s="7">
        <v>0</v>
      </c>
      <c r="N194" s="7">
        <v>3251363</v>
      </c>
      <c r="O194" s="7">
        <v>3251363</v>
      </c>
      <c r="P194" s="8">
        <v>0</v>
      </c>
      <c r="Q194" s="7">
        <v>0</v>
      </c>
      <c r="R194" s="7">
        <v>0</v>
      </c>
      <c r="S194" s="7">
        <v>3200363</v>
      </c>
      <c r="T194" s="7">
        <v>3200363</v>
      </c>
      <c r="U194" s="7">
        <v>3200363</v>
      </c>
      <c r="V194" s="7">
        <v>3200363</v>
      </c>
      <c r="W194" s="7">
        <v>0</v>
      </c>
      <c r="X194" s="7">
        <v>0</v>
      </c>
      <c r="Y194" s="7">
        <v>70</v>
      </c>
      <c r="Z194" s="7">
        <v>74</v>
      </c>
      <c r="AA194" s="8">
        <v>5.71</v>
      </c>
      <c r="AB194" s="7">
        <v>896285</v>
      </c>
      <c r="AC194" s="7">
        <v>371285</v>
      </c>
      <c r="AD194" s="7">
        <v>76033</v>
      </c>
      <c r="AE194" s="7">
        <v>76033</v>
      </c>
      <c r="AF194" s="7">
        <v>241444</v>
      </c>
      <c r="AG194" s="7">
        <v>146017</v>
      </c>
      <c r="AH194" s="8">
        <v>6.61</v>
      </c>
      <c r="AI194" s="8">
        <v>4</v>
      </c>
    </row>
    <row r="195" spans="1:35" x14ac:dyDescent="0.25">
      <c r="A195" s="6" t="str">
        <f>"280222"</f>
        <v>280222</v>
      </c>
      <c r="B195" s="6" t="s">
        <v>230</v>
      </c>
      <c r="C195" s="7">
        <v>29532238</v>
      </c>
      <c r="D195" s="7">
        <v>30230573</v>
      </c>
      <c r="E195" s="8">
        <v>2.36</v>
      </c>
      <c r="F195" s="7">
        <v>22393721</v>
      </c>
      <c r="G195" s="7">
        <v>22839920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22393721</v>
      </c>
      <c r="O195" s="7">
        <v>22839920</v>
      </c>
      <c r="P195" s="8">
        <v>1.99</v>
      </c>
      <c r="Q195" s="7">
        <v>362772</v>
      </c>
      <c r="R195" s="7">
        <v>530936</v>
      </c>
      <c r="S195" s="7">
        <v>22031449</v>
      </c>
      <c r="T195" s="7">
        <v>22309084</v>
      </c>
      <c r="U195" s="7">
        <v>22030949</v>
      </c>
      <c r="V195" s="7">
        <v>22308984</v>
      </c>
      <c r="W195" s="7">
        <v>500</v>
      </c>
      <c r="X195" s="7">
        <v>100</v>
      </c>
      <c r="Y195" s="7">
        <v>1450</v>
      </c>
      <c r="Z195" s="7">
        <v>1510</v>
      </c>
      <c r="AA195" s="8">
        <v>4.1399999999999997</v>
      </c>
      <c r="AB195" s="7">
        <v>5155071</v>
      </c>
      <c r="AC195" s="7">
        <v>5502500</v>
      </c>
      <c r="AD195" s="7">
        <v>1285967</v>
      </c>
      <c r="AE195" s="7">
        <v>1300000</v>
      </c>
      <c r="AF195" s="7">
        <v>1181290</v>
      </c>
      <c r="AG195" s="7">
        <v>1209223</v>
      </c>
      <c r="AH195" s="8">
        <v>4</v>
      </c>
      <c r="AI195" s="8">
        <v>4</v>
      </c>
    </row>
    <row r="196" spans="1:35" x14ac:dyDescent="0.25">
      <c r="A196" s="6" t="str">
        <f>"442115"</f>
        <v>442115</v>
      </c>
      <c r="B196" s="6" t="s">
        <v>231</v>
      </c>
      <c r="C196" s="7">
        <v>20814960</v>
      </c>
      <c r="D196" s="7">
        <v>21231803</v>
      </c>
      <c r="E196" s="8">
        <v>2</v>
      </c>
      <c r="F196" s="7">
        <v>14377830</v>
      </c>
      <c r="G196" s="7">
        <v>14633509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14377830</v>
      </c>
      <c r="O196" s="7">
        <v>14633509</v>
      </c>
      <c r="P196" s="8">
        <v>1.78</v>
      </c>
      <c r="Q196" s="7">
        <v>294967</v>
      </c>
      <c r="R196" s="7">
        <v>304775</v>
      </c>
      <c r="S196" s="7">
        <v>14082863</v>
      </c>
      <c r="T196" s="7">
        <v>14328734</v>
      </c>
      <c r="U196" s="7">
        <v>14082863</v>
      </c>
      <c r="V196" s="7">
        <v>14328734</v>
      </c>
      <c r="W196" s="7">
        <v>0</v>
      </c>
      <c r="X196" s="7">
        <v>0</v>
      </c>
      <c r="Y196" s="7">
        <v>810</v>
      </c>
      <c r="Z196" s="7">
        <v>820</v>
      </c>
      <c r="AA196" s="8">
        <v>1.23</v>
      </c>
      <c r="AB196" s="7">
        <v>2309461</v>
      </c>
      <c r="AC196" s="7">
        <v>2661007</v>
      </c>
      <c r="AD196" s="7">
        <v>375241</v>
      </c>
      <c r="AE196" s="7">
        <v>275000</v>
      </c>
      <c r="AF196" s="7">
        <v>1544602</v>
      </c>
      <c r="AG196" s="7">
        <v>1878983</v>
      </c>
      <c r="AH196" s="8">
        <v>7.42</v>
      </c>
      <c r="AI196" s="8">
        <v>8.85</v>
      </c>
    </row>
    <row r="197" spans="1:35" x14ac:dyDescent="0.25">
      <c r="A197" s="6" t="str">
        <f>"270601"</f>
        <v>270601</v>
      </c>
      <c r="B197" s="6" t="s">
        <v>232</v>
      </c>
      <c r="C197" s="7">
        <v>26722928</v>
      </c>
      <c r="D197" s="7">
        <v>28210880</v>
      </c>
      <c r="E197" s="8">
        <v>5.57</v>
      </c>
      <c r="F197" s="7">
        <v>10116807</v>
      </c>
      <c r="G197" s="7">
        <v>10309451</v>
      </c>
      <c r="H197" s="7">
        <v>28089</v>
      </c>
      <c r="I197" s="7">
        <v>28198</v>
      </c>
      <c r="J197" s="7">
        <v>0</v>
      </c>
      <c r="K197" s="7">
        <v>0</v>
      </c>
      <c r="L197" s="7">
        <v>0</v>
      </c>
      <c r="M197" s="7">
        <v>0</v>
      </c>
      <c r="N197" s="7">
        <v>10144896</v>
      </c>
      <c r="O197" s="7">
        <v>10337649</v>
      </c>
      <c r="P197" s="8">
        <v>1.9</v>
      </c>
      <c r="Q197" s="7">
        <v>141717</v>
      </c>
      <c r="R197" s="7">
        <v>134860</v>
      </c>
      <c r="S197" s="7">
        <v>10068640</v>
      </c>
      <c r="T197" s="7">
        <v>10254530</v>
      </c>
      <c r="U197" s="7">
        <v>9975090</v>
      </c>
      <c r="V197" s="7">
        <v>10174591</v>
      </c>
      <c r="W197" s="7">
        <v>93550</v>
      </c>
      <c r="X197" s="7">
        <v>79939</v>
      </c>
      <c r="Y197" s="7">
        <v>1348</v>
      </c>
      <c r="Z197" s="7">
        <v>1354</v>
      </c>
      <c r="AA197" s="8">
        <v>0.45</v>
      </c>
      <c r="AB197" s="7">
        <v>772342</v>
      </c>
      <c r="AC197" s="7">
        <v>772342</v>
      </c>
      <c r="AD197" s="7">
        <v>174007</v>
      </c>
      <c r="AE197" s="7">
        <v>93549</v>
      </c>
      <c r="AF197" s="7">
        <v>1431467</v>
      </c>
      <c r="AG197" s="7">
        <v>1150000</v>
      </c>
      <c r="AH197" s="8">
        <v>5.36</v>
      </c>
      <c r="AI197" s="8">
        <v>4.08</v>
      </c>
    </row>
    <row r="198" spans="1:35" x14ac:dyDescent="0.25">
      <c r="A198" s="6" t="str">
        <f>"061503"</f>
        <v>061503</v>
      </c>
      <c r="B198" s="6" t="s">
        <v>233</v>
      </c>
      <c r="C198" s="7">
        <v>12053954</v>
      </c>
      <c r="D198" s="7">
        <v>12576393</v>
      </c>
      <c r="E198" s="8">
        <v>4.33</v>
      </c>
      <c r="F198" s="7">
        <v>3741957</v>
      </c>
      <c r="G198" s="7">
        <v>3795168</v>
      </c>
      <c r="H198" s="7">
        <v>0</v>
      </c>
      <c r="I198" s="7">
        <v>0</v>
      </c>
      <c r="J198" s="7">
        <v>0</v>
      </c>
      <c r="K198" s="7">
        <v>0</v>
      </c>
      <c r="L198" s="7" t="s">
        <v>41</v>
      </c>
      <c r="M198" s="7" t="s">
        <v>41</v>
      </c>
      <c r="N198" s="7">
        <v>3741957</v>
      </c>
      <c r="O198" s="7">
        <v>3795168</v>
      </c>
      <c r="P198" s="8">
        <v>1.42</v>
      </c>
      <c r="Q198" s="7">
        <v>0</v>
      </c>
      <c r="R198" s="7">
        <v>0</v>
      </c>
      <c r="S198" s="7">
        <v>3741957</v>
      </c>
      <c r="T198" s="7">
        <v>3795168</v>
      </c>
      <c r="U198" s="7">
        <v>3741957</v>
      </c>
      <c r="V198" s="7">
        <v>3795168</v>
      </c>
      <c r="W198" s="7">
        <v>0</v>
      </c>
      <c r="X198" s="7">
        <v>0</v>
      </c>
      <c r="Y198" s="7">
        <v>481</v>
      </c>
      <c r="Z198" s="7">
        <v>484</v>
      </c>
      <c r="AA198" s="8">
        <v>0.62</v>
      </c>
      <c r="AB198" s="7">
        <v>1832984</v>
      </c>
      <c r="AC198" s="7">
        <v>1715783</v>
      </c>
      <c r="AD198" s="7">
        <v>1145262</v>
      </c>
      <c r="AE198" s="7">
        <v>1145262</v>
      </c>
      <c r="AF198" s="7">
        <v>482158</v>
      </c>
      <c r="AG198" s="7">
        <v>503056</v>
      </c>
      <c r="AH198" s="8">
        <v>4</v>
      </c>
      <c r="AI198" s="8">
        <v>4</v>
      </c>
    </row>
    <row r="199" spans="1:35" x14ac:dyDescent="0.25">
      <c r="A199" s="6" t="str">
        <f>"640502"</f>
        <v>640502</v>
      </c>
      <c r="B199" s="6" t="s">
        <v>234</v>
      </c>
      <c r="C199" s="7">
        <v>11902443</v>
      </c>
      <c r="D199" s="7">
        <v>11987328</v>
      </c>
      <c r="E199" s="8">
        <v>0.71</v>
      </c>
      <c r="F199" s="7">
        <v>4797097</v>
      </c>
      <c r="G199" s="7">
        <v>4879574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4797097</v>
      </c>
      <c r="O199" s="7">
        <v>4879574</v>
      </c>
      <c r="P199" s="8">
        <v>1.72</v>
      </c>
      <c r="Q199" s="7">
        <v>101030</v>
      </c>
      <c r="R199" s="7">
        <v>96438</v>
      </c>
      <c r="S199" s="7">
        <v>4696067</v>
      </c>
      <c r="T199" s="7">
        <v>4783136</v>
      </c>
      <c r="U199" s="7">
        <v>4696067</v>
      </c>
      <c r="V199" s="7">
        <v>4783136</v>
      </c>
      <c r="W199" s="7">
        <v>0</v>
      </c>
      <c r="X199" s="7">
        <v>0</v>
      </c>
      <c r="Y199" s="7">
        <v>490</v>
      </c>
      <c r="Z199" s="7">
        <v>476</v>
      </c>
      <c r="AA199" s="8">
        <v>-2.86</v>
      </c>
      <c r="AB199" s="7">
        <v>412924</v>
      </c>
      <c r="AC199" s="7">
        <v>413900</v>
      </c>
      <c r="AD199" s="7">
        <v>411276</v>
      </c>
      <c r="AE199" s="7">
        <v>338123</v>
      </c>
      <c r="AF199" s="7">
        <v>1400762</v>
      </c>
      <c r="AG199" s="7">
        <v>1770080</v>
      </c>
      <c r="AH199" s="8">
        <v>11.77</v>
      </c>
      <c r="AI199" s="8">
        <v>14.77</v>
      </c>
    </row>
    <row r="200" spans="1:35" x14ac:dyDescent="0.25">
      <c r="A200" s="6" t="str">
        <f>"640601"</f>
        <v>640601</v>
      </c>
      <c r="B200" s="6" t="s">
        <v>235</v>
      </c>
      <c r="C200" s="7">
        <v>11118189</v>
      </c>
      <c r="D200" s="7">
        <v>10857000</v>
      </c>
      <c r="E200" s="8">
        <v>-2.35</v>
      </c>
      <c r="F200" s="7">
        <v>3625000</v>
      </c>
      <c r="G200" s="7">
        <v>3000000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3625000</v>
      </c>
      <c r="O200" s="7">
        <v>3000000</v>
      </c>
      <c r="P200" s="8">
        <v>-17.239999999999998</v>
      </c>
      <c r="Q200" s="7">
        <v>99632</v>
      </c>
      <c r="R200" s="7">
        <v>86514</v>
      </c>
      <c r="S200" s="7">
        <v>3423081</v>
      </c>
      <c r="T200" s="7">
        <v>3451597</v>
      </c>
      <c r="U200" s="7">
        <v>3525368</v>
      </c>
      <c r="V200" s="7">
        <v>2913486</v>
      </c>
      <c r="W200" s="7">
        <v>-102287</v>
      </c>
      <c r="X200" s="7">
        <v>538111</v>
      </c>
      <c r="Y200" s="7">
        <v>555</v>
      </c>
      <c r="Z200" s="7">
        <v>525</v>
      </c>
      <c r="AA200" s="8">
        <v>-5.41</v>
      </c>
      <c r="AB200" s="7">
        <v>2771318</v>
      </c>
      <c r="AC200" s="7">
        <v>2771016</v>
      </c>
      <c r="AD200" s="7">
        <v>352500</v>
      </c>
      <c r="AE200" s="7">
        <v>262454</v>
      </c>
      <c r="AF200" s="7">
        <v>672940</v>
      </c>
      <c r="AG200" s="7">
        <v>781254</v>
      </c>
      <c r="AH200" s="8">
        <v>6.05</v>
      </c>
      <c r="AI200" s="8">
        <v>7.2</v>
      </c>
    </row>
    <row r="201" spans="1:35" x14ac:dyDescent="0.25">
      <c r="A201" s="6" t="str">
        <f>"270701"</f>
        <v>270701</v>
      </c>
      <c r="B201" s="6" t="s">
        <v>236</v>
      </c>
      <c r="C201" s="7">
        <v>19500000</v>
      </c>
      <c r="D201" s="7">
        <v>19890000</v>
      </c>
      <c r="E201" s="8">
        <v>2</v>
      </c>
      <c r="F201" s="7">
        <v>5473489</v>
      </c>
      <c r="G201" s="7">
        <v>5580146</v>
      </c>
      <c r="H201" s="7">
        <v>75000</v>
      </c>
      <c r="I201" s="7">
        <v>75000</v>
      </c>
      <c r="J201" s="7">
        <v>0</v>
      </c>
      <c r="K201" s="7">
        <v>0</v>
      </c>
      <c r="L201" s="7">
        <v>0</v>
      </c>
      <c r="M201" s="7">
        <v>0</v>
      </c>
      <c r="N201" s="7">
        <v>5548489</v>
      </c>
      <c r="O201" s="7">
        <v>5655146</v>
      </c>
      <c r="P201" s="8">
        <v>1.92</v>
      </c>
      <c r="Q201" s="7">
        <v>0</v>
      </c>
      <c r="R201" s="7">
        <v>0</v>
      </c>
      <c r="S201" s="7">
        <v>5565554</v>
      </c>
      <c r="T201" s="7">
        <v>5732392</v>
      </c>
      <c r="U201" s="7">
        <v>5473489</v>
      </c>
      <c r="V201" s="7">
        <v>5580146</v>
      </c>
      <c r="W201" s="7">
        <v>92065</v>
      </c>
      <c r="X201" s="7">
        <v>152246</v>
      </c>
      <c r="Y201" s="7">
        <v>825</v>
      </c>
      <c r="Z201" s="7">
        <v>825</v>
      </c>
      <c r="AA201" s="8">
        <v>0</v>
      </c>
      <c r="AB201" s="7">
        <v>2628303</v>
      </c>
      <c r="AC201" s="7">
        <v>2600000</v>
      </c>
      <c r="AD201" s="7">
        <v>780000</v>
      </c>
      <c r="AE201" s="7">
        <v>780000</v>
      </c>
      <c r="AF201" s="7">
        <v>780000</v>
      </c>
      <c r="AG201" s="7">
        <v>780000</v>
      </c>
      <c r="AH201" s="8">
        <v>4</v>
      </c>
      <c r="AI201" s="8">
        <v>3.92</v>
      </c>
    </row>
    <row r="202" spans="1:35" x14ac:dyDescent="0.25">
      <c r="A202" s="6" t="str">
        <f>"210402"</f>
        <v>210402</v>
      </c>
      <c r="B202" s="6" t="s">
        <v>237</v>
      </c>
      <c r="C202" s="7">
        <v>19286629</v>
      </c>
      <c r="D202" s="7">
        <v>18399325</v>
      </c>
      <c r="E202" s="8">
        <v>-4.5999999999999996</v>
      </c>
      <c r="F202" s="7">
        <v>7325829</v>
      </c>
      <c r="G202" s="7">
        <v>7424728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7325829</v>
      </c>
      <c r="O202" s="7">
        <v>7424728</v>
      </c>
      <c r="P202" s="8">
        <v>1.35</v>
      </c>
      <c r="Q202" s="7">
        <v>0</v>
      </c>
      <c r="R202" s="7">
        <v>33460</v>
      </c>
      <c r="S202" s="7">
        <v>7370973</v>
      </c>
      <c r="T202" s="7">
        <v>7512779</v>
      </c>
      <c r="U202" s="7">
        <v>7325829</v>
      </c>
      <c r="V202" s="7">
        <v>7391268</v>
      </c>
      <c r="W202" s="7">
        <v>45144</v>
      </c>
      <c r="X202" s="7">
        <v>121511</v>
      </c>
      <c r="Y202" s="7">
        <v>1001</v>
      </c>
      <c r="Z202" s="7">
        <v>1006</v>
      </c>
      <c r="AA202" s="8">
        <v>0.5</v>
      </c>
      <c r="AB202" s="7">
        <v>2295387</v>
      </c>
      <c r="AC202" s="7">
        <v>2147380</v>
      </c>
      <c r="AD202" s="7">
        <v>600000</v>
      </c>
      <c r="AE202" s="7">
        <v>600000</v>
      </c>
      <c r="AF202" s="7">
        <v>975709</v>
      </c>
      <c r="AG202" s="7">
        <v>914736</v>
      </c>
      <c r="AH202" s="8">
        <v>5.0599999999999996</v>
      </c>
      <c r="AI202" s="8">
        <v>4.97</v>
      </c>
    </row>
    <row r="203" spans="1:35" x14ac:dyDescent="0.25">
      <c r="A203" s="6" t="str">
        <f>"120701"</f>
        <v>120701</v>
      </c>
      <c r="B203" s="6" t="s">
        <v>238</v>
      </c>
      <c r="C203" s="7">
        <v>6878498</v>
      </c>
      <c r="D203" s="7">
        <v>6967989</v>
      </c>
      <c r="E203" s="8">
        <v>1.3</v>
      </c>
      <c r="F203" s="7">
        <v>2608926</v>
      </c>
      <c r="G203" s="7">
        <v>2679889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2608926</v>
      </c>
      <c r="O203" s="7">
        <v>2679889</v>
      </c>
      <c r="P203" s="8">
        <v>2.72</v>
      </c>
      <c r="Q203" s="7">
        <v>0</v>
      </c>
      <c r="R203" s="7">
        <v>0</v>
      </c>
      <c r="S203" s="7">
        <v>2558116</v>
      </c>
      <c r="T203" s="7">
        <v>2653687</v>
      </c>
      <c r="U203" s="7">
        <v>2608926</v>
      </c>
      <c r="V203" s="7">
        <v>2679889</v>
      </c>
      <c r="W203" s="7">
        <v>-50810</v>
      </c>
      <c r="X203" s="7">
        <v>-26202</v>
      </c>
      <c r="Y203" s="7">
        <v>273</v>
      </c>
      <c r="Z203" s="7">
        <v>275</v>
      </c>
      <c r="AA203" s="8">
        <v>0.73</v>
      </c>
      <c r="AB203" s="7">
        <v>489715</v>
      </c>
      <c r="AC203" s="7">
        <v>240000</v>
      </c>
      <c r="AD203" s="7">
        <v>335000</v>
      </c>
      <c r="AE203" s="7">
        <v>325000</v>
      </c>
      <c r="AF203" s="7">
        <v>261798</v>
      </c>
      <c r="AG203" s="7">
        <v>278000</v>
      </c>
      <c r="AH203" s="8">
        <v>3.81</v>
      </c>
      <c r="AI203" s="8">
        <v>3.99</v>
      </c>
    </row>
    <row r="204" spans="1:35" x14ac:dyDescent="0.25">
      <c r="A204" s="6" t="str">
        <f>"280217"</f>
        <v>280217</v>
      </c>
      <c r="B204" s="6" t="s">
        <v>239</v>
      </c>
      <c r="C204" s="7">
        <v>37249994</v>
      </c>
      <c r="D204" s="7">
        <v>37806671</v>
      </c>
      <c r="E204" s="8">
        <v>1.49</v>
      </c>
      <c r="F204" s="7">
        <v>26797373</v>
      </c>
      <c r="G204" s="7">
        <v>27117906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26797373</v>
      </c>
      <c r="O204" s="7">
        <v>27117906</v>
      </c>
      <c r="P204" s="8">
        <v>1.2</v>
      </c>
      <c r="Q204" s="7">
        <v>763786</v>
      </c>
      <c r="R204" s="7">
        <v>738245</v>
      </c>
      <c r="S204" s="7">
        <v>26033587</v>
      </c>
      <c r="T204" s="7">
        <v>26379661</v>
      </c>
      <c r="U204" s="7">
        <v>26033587</v>
      </c>
      <c r="V204" s="7">
        <v>26379661</v>
      </c>
      <c r="W204" s="7">
        <v>0</v>
      </c>
      <c r="X204" s="7">
        <v>0</v>
      </c>
      <c r="Y204" s="7">
        <v>2040</v>
      </c>
      <c r="Z204" s="7">
        <v>2055</v>
      </c>
      <c r="AA204" s="8">
        <v>0.74</v>
      </c>
      <c r="AB204" s="7">
        <v>9284992</v>
      </c>
      <c r="AC204" s="7">
        <v>6223991</v>
      </c>
      <c r="AD204" s="7">
        <v>1256500</v>
      </c>
      <c r="AE204" s="7">
        <v>1256500</v>
      </c>
      <c r="AF204" s="7">
        <v>1490000</v>
      </c>
      <c r="AG204" s="7">
        <v>1512266</v>
      </c>
      <c r="AH204" s="8">
        <v>4</v>
      </c>
      <c r="AI204" s="8">
        <v>4</v>
      </c>
    </row>
    <row r="205" spans="1:35" x14ac:dyDescent="0.25">
      <c r="A205" s="6" t="str">
        <f>"041101"</f>
        <v>041101</v>
      </c>
      <c r="B205" s="6" t="s">
        <v>240</v>
      </c>
      <c r="C205" s="7">
        <v>18171958</v>
      </c>
      <c r="D205" s="7">
        <v>18287965</v>
      </c>
      <c r="E205" s="8">
        <v>0.64</v>
      </c>
      <c r="F205" s="7">
        <v>4250000</v>
      </c>
      <c r="G205" s="7">
        <v>4300000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4250000</v>
      </c>
      <c r="O205" s="7">
        <v>4300000</v>
      </c>
      <c r="P205" s="8">
        <v>1.18</v>
      </c>
      <c r="Q205" s="7">
        <v>0</v>
      </c>
      <c r="R205" s="7">
        <v>0</v>
      </c>
      <c r="S205" s="7">
        <v>4256719</v>
      </c>
      <c r="T205" s="7">
        <v>4319737</v>
      </c>
      <c r="U205" s="7">
        <v>4250000</v>
      </c>
      <c r="V205" s="7">
        <v>4300000</v>
      </c>
      <c r="W205" s="7">
        <v>6719</v>
      </c>
      <c r="X205" s="7">
        <v>19737</v>
      </c>
      <c r="Y205" s="7">
        <v>673</v>
      </c>
      <c r="Z205" s="7">
        <v>661</v>
      </c>
      <c r="AA205" s="8">
        <v>-1.78</v>
      </c>
      <c r="AB205" s="7">
        <v>2353322</v>
      </c>
      <c r="AC205" s="7">
        <v>2853322</v>
      </c>
      <c r="AD205" s="7">
        <v>550042</v>
      </c>
      <c r="AE205" s="7">
        <v>297590</v>
      </c>
      <c r="AF205" s="7">
        <v>2647955</v>
      </c>
      <c r="AG205" s="7">
        <v>2592140</v>
      </c>
      <c r="AH205" s="8">
        <v>14.57</v>
      </c>
      <c r="AI205" s="8">
        <v>14.17</v>
      </c>
    </row>
    <row r="206" spans="1:35" x14ac:dyDescent="0.25">
      <c r="A206" s="6" t="str">
        <f>"062201"</f>
        <v>062201</v>
      </c>
      <c r="B206" s="6" t="s">
        <v>241</v>
      </c>
      <c r="C206" s="7">
        <v>30904671</v>
      </c>
      <c r="D206" s="7">
        <v>31818588</v>
      </c>
      <c r="E206" s="8">
        <v>2.96</v>
      </c>
      <c r="F206" s="7">
        <v>15611280</v>
      </c>
      <c r="G206" s="7">
        <v>15822024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15611280</v>
      </c>
      <c r="O206" s="7">
        <v>15822024</v>
      </c>
      <c r="P206" s="8">
        <v>1.35</v>
      </c>
      <c r="Q206" s="7">
        <v>0</v>
      </c>
      <c r="R206" s="7">
        <v>0</v>
      </c>
      <c r="S206" s="7">
        <v>15611280</v>
      </c>
      <c r="T206" s="7">
        <v>15822024</v>
      </c>
      <c r="U206" s="7">
        <v>15611280</v>
      </c>
      <c r="V206" s="7">
        <v>15822024</v>
      </c>
      <c r="W206" s="7">
        <v>0</v>
      </c>
      <c r="X206" s="7">
        <v>0</v>
      </c>
      <c r="Y206" s="7">
        <v>1450</v>
      </c>
      <c r="Z206" s="7">
        <v>1457</v>
      </c>
      <c r="AA206" s="8">
        <v>0.48</v>
      </c>
      <c r="AB206" s="7">
        <v>1217776</v>
      </c>
      <c r="AC206" s="7">
        <v>917776</v>
      </c>
      <c r="AD206" s="7">
        <v>1000000</v>
      </c>
      <c r="AE206" s="7">
        <v>950000</v>
      </c>
      <c r="AF206" s="7">
        <v>2234462</v>
      </c>
      <c r="AG206" s="7">
        <v>2000000</v>
      </c>
      <c r="AH206" s="8">
        <v>7.23</v>
      </c>
      <c r="AI206" s="8">
        <v>6.29</v>
      </c>
    </row>
    <row r="207" spans="1:35" x14ac:dyDescent="0.25">
      <c r="A207" s="6" t="str">
        <f>"280209"</f>
        <v>280209</v>
      </c>
      <c r="B207" s="6" t="s">
        <v>242</v>
      </c>
      <c r="C207" s="7">
        <v>170138538</v>
      </c>
      <c r="D207" s="7">
        <v>175028809</v>
      </c>
      <c r="E207" s="8">
        <v>2.87</v>
      </c>
      <c r="F207" s="7">
        <v>87125440</v>
      </c>
      <c r="G207" s="7">
        <v>87047027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87125440</v>
      </c>
      <c r="O207" s="7">
        <v>87047027</v>
      </c>
      <c r="P207" s="8">
        <v>-0.09</v>
      </c>
      <c r="Q207" s="7">
        <v>1273338</v>
      </c>
      <c r="R207" s="7">
        <v>552671</v>
      </c>
      <c r="S207" s="7">
        <v>86000390</v>
      </c>
      <c r="T207" s="7">
        <v>87423391</v>
      </c>
      <c r="U207" s="7">
        <v>85852102</v>
      </c>
      <c r="V207" s="7">
        <v>86494356</v>
      </c>
      <c r="W207" s="7">
        <v>148288</v>
      </c>
      <c r="X207" s="7">
        <v>929035</v>
      </c>
      <c r="Y207" s="7">
        <v>7155</v>
      </c>
      <c r="Z207" s="7">
        <v>7206</v>
      </c>
      <c r="AA207" s="8">
        <v>0.71</v>
      </c>
      <c r="AB207" s="7">
        <v>48044383</v>
      </c>
      <c r="AC207" s="7">
        <v>50500000</v>
      </c>
      <c r="AD207" s="7">
        <v>8000000</v>
      </c>
      <c r="AE207" s="7">
        <v>8000000</v>
      </c>
      <c r="AF207" s="7">
        <v>9323707</v>
      </c>
      <c r="AG207" s="7">
        <v>7001150</v>
      </c>
      <c r="AH207" s="8">
        <v>5.48</v>
      </c>
      <c r="AI207" s="8">
        <v>4</v>
      </c>
    </row>
    <row r="208" spans="1:35" x14ac:dyDescent="0.25">
      <c r="A208" s="6" t="str">
        <f>"060301"</f>
        <v>060301</v>
      </c>
      <c r="B208" s="6" t="s">
        <v>243</v>
      </c>
      <c r="C208" s="7">
        <v>16729939</v>
      </c>
      <c r="D208" s="7">
        <v>18217558</v>
      </c>
      <c r="E208" s="8">
        <v>8.89</v>
      </c>
      <c r="F208" s="7">
        <v>5191989</v>
      </c>
      <c r="G208" s="7">
        <v>5275809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5191989</v>
      </c>
      <c r="O208" s="7">
        <v>5275809</v>
      </c>
      <c r="P208" s="8">
        <v>1.61</v>
      </c>
      <c r="Q208" s="7">
        <v>0</v>
      </c>
      <c r="R208" s="7">
        <v>0</v>
      </c>
      <c r="S208" s="7">
        <v>5191989</v>
      </c>
      <c r="T208" s="7">
        <v>5275809</v>
      </c>
      <c r="U208" s="7">
        <v>5191989</v>
      </c>
      <c r="V208" s="7">
        <v>5275809</v>
      </c>
      <c r="W208" s="7">
        <v>0</v>
      </c>
      <c r="X208" s="7">
        <v>0</v>
      </c>
      <c r="Y208" s="7">
        <v>820</v>
      </c>
      <c r="Z208" s="7">
        <v>805</v>
      </c>
      <c r="AA208" s="8">
        <v>-1.83</v>
      </c>
      <c r="AB208" s="7">
        <v>3527034</v>
      </c>
      <c r="AC208" s="7">
        <v>2646985</v>
      </c>
      <c r="AD208" s="7">
        <v>603610</v>
      </c>
      <c r="AE208" s="7">
        <v>1310049</v>
      </c>
      <c r="AF208" s="7">
        <v>1256356</v>
      </c>
      <c r="AG208" s="7">
        <v>741034</v>
      </c>
      <c r="AH208" s="8">
        <v>7.51</v>
      </c>
      <c r="AI208" s="8">
        <v>4.07</v>
      </c>
    </row>
    <row r="209" spans="1:35" x14ac:dyDescent="0.25">
      <c r="A209" s="6" t="str">
        <f>"021601"</f>
        <v>021601</v>
      </c>
      <c r="B209" s="6" t="s">
        <v>244</v>
      </c>
      <c r="C209" s="7">
        <v>9594956</v>
      </c>
      <c r="D209" s="7">
        <v>9901419</v>
      </c>
      <c r="E209" s="8">
        <v>3.19</v>
      </c>
      <c r="F209" s="7">
        <v>1648852</v>
      </c>
      <c r="G209" s="7">
        <v>1678442</v>
      </c>
      <c r="H209" s="7">
        <v>11400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1660252</v>
      </c>
      <c r="O209" s="7">
        <v>1678442</v>
      </c>
      <c r="P209" s="8">
        <v>1.1000000000000001</v>
      </c>
      <c r="Q209" s="7">
        <v>0</v>
      </c>
      <c r="R209" s="7">
        <v>0</v>
      </c>
      <c r="S209" s="7">
        <v>1648852</v>
      </c>
      <c r="T209" s="7">
        <v>1678442</v>
      </c>
      <c r="U209" s="7">
        <v>1648852</v>
      </c>
      <c r="V209" s="7">
        <v>1678442</v>
      </c>
      <c r="W209" s="7">
        <v>0</v>
      </c>
      <c r="X209" s="7">
        <v>0</v>
      </c>
      <c r="Y209" s="7">
        <v>385</v>
      </c>
      <c r="Z209" s="7">
        <v>366</v>
      </c>
      <c r="AA209" s="8">
        <v>-4.9400000000000004</v>
      </c>
      <c r="AB209" s="7">
        <v>551548</v>
      </c>
      <c r="AC209" s="7">
        <v>515000</v>
      </c>
      <c r="AD209" s="7">
        <v>125325</v>
      </c>
      <c r="AE209" s="7">
        <v>0</v>
      </c>
      <c r="AF209" s="7">
        <v>657474</v>
      </c>
      <c r="AG209" s="7">
        <v>396056</v>
      </c>
      <c r="AH209" s="8">
        <v>6.85</v>
      </c>
      <c r="AI209" s="8">
        <v>4</v>
      </c>
    </row>
    <row r="210" spans="1:35" x14ac:dyDescent="0.25">
      <c r="A210" s="6" t="str">
        <f>"141604"</f>
        <v>141604</v>
      </c>
      <c r="B210" s="6" t="s">
        <v>245</v>
      </c>
      <c r="C210" s="7">
        <v>78601595</v>
      </c>
      <c r="D210" s="7">
        <v>84172397</v>
      </c>
      <c r="E210" s="8">
        <v>7.09</v>
      </c>
      <c r="F210" s="7">
        <v>37808502</v>
      </c>
      <c r="G210" s="7">
        <v>38727313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37808502</v>
      </c>
      <c r="O210" s="7">
        <v>38727313</v>
      </c>
      <c r="P210" s="8">
        <v>2.4300000000000002</v>
      </c>
      <c r="Q210" s="7">
        <v>885563</v>
      </c>
      <c r="R210" s="7">
        <v>885830</v>
      </c>
      <c r="S210" s="7">
        <v>36922939</v>
      </c>
      <c r="T210" s="7">
        <v>37841483</v>
      </c>
      <c r="U210" s="7">
        <v>36922939</v>
      </c>
      <c r="V210" s="7">
        <v>37841483</v>
      </c>
      <c r="W210" s="7">
        <v>0</v>
      </c>
      <c r="X210" s="7">
        <v>0</v>
      </c>
      <c r="Y210" s="7">
        <v>4875</v>
      </c>
      <c r="Z210" s="7">
        <v>4871</v>
      </c>
      <c r="AA210" s="8">
        <v>-0.08</v>
      </c>
      <c r="AB210" s="7">
        <v>7628869</v>
      </c>
      <c r="AC210" s="7">
        <v>9428869</v>
      </c>
      <c r="AD210" s="7">
        <v>632650</v>
      </c>
      <c r="AE210" s="7">
        <v>1203650</v>
      </c>
      <c r="AF210" s="7">
        <v>3143245</v>
      </c>
      <c r="AG210" s="7">
        <v>3366895</v>
      </c>
      <c r="AH210" s="8">
        <v>4</v>
      </c>
      <c r="AI210" s="8">
        <v>4</v>
      </c>
    </row>
    <row r="211" spans="1:35" x14ac:dyDescent="0.25">
      <c r="A211" s="6" t="str">
        <f>"460500"</f>
        <v>460500</v>
      </c>
      <c r="B211" s="6" t="s">
        <v>246</v>
      </c>
      <c r="C211" s="7">
        <v>70336500</v>
      </c>
      <c r="D211" s="7">
        <v>70782921</v>
      </c>
      <c r="E211" s="8">
        <v>0.63</v>
      </c>
      <c r="F211" s="7">
        <v>20583063</v>
      </c>
      <c r="G211" s="7">
        <v>20307853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20583063</v>
      </c>
      <c r="O211" s="7">
        <v>20307853</v>
      </c>
      <c r="P211" s="8">
        <v>-1.34</v>
      </c>
      <c r="Q211" s="7">
        <v>692084</v>
      </c>
      <c r="R211" s="7">
        <v>90991</v>
      </c>
      <c r="S211" s="7">
        <v>19890979</v>
      </c>
      <c r="T211" s="7">
        <v>20216862</v>
      </c>
      <c r="U211" s="7">
        <v>19890979</v>
      </c>
      <c r="V211" s="7">
        <v>20216862</v>
      </c>
      <c r="W211" s="7">
        <v>0</v>
      </c>
      <c r="X211" s="7">
        <v>0</v>
      </c>
      <c r="Y211" s="7">
        <v>3445</v>
      </c>
      <c r="Z211" s="7">
        <v>3450</v>
      </c>
      <c r="AA211" s="8">
        <v>0.15</v>
      </c>
      <c r="AB211" s="7">
        <v>7623086</v>
      </c>
      <c r="AC211" s="7">
        <v>6673086</v>
      </c>
      <c r="AD211" s="7">
        <v>676000</v>
      </c>
      <c r="AE211" s="7">
        <v>475332</v>
      </c>
      <c r="AF211" s="7">
        <v>1901084</v>
      </c>
      <c r="AG211" s="7">
        <v>425752</v>
      </c>
      <c r="AH211" s="8">
        <v>2.7</v>
      </c>
      <c r="AI211" s="8">
        <v>0.6</v>
      </c>
    </row>
    <row r="212" spans="1:35" x14ac:dyDescent="0.25">
      <c r="A212" s="6" t="str">
        <f>"520701"</f>
        <v>520701</v>
      </c>
      <c r="B212" s="6" t="s">
        <v>247</v>
      </c>
      <c r="C212" s="7">
        <v>20159607</v>
      </c>
      <c r="D212" s="7">
        <v>21058918</v>
      </c>
      <c r="E212" s="8">
        <v>4.46</v>
      </c>
      <c r="F212" s="7">
        <v>10066021</v>
      </c>
      <c r="G212" s="7">
        <v>10350093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10066021</v>
      </c>
      <c r="O212" s="7">
        <v>10350093</v>
      </c>
      <c r="P212" s="8">
        <v>2.82</v>
      </c>
      <c r="Q212" s="7">
        <v>249476</v>
      </c>
      <c r="R212" s="7">
        <v>346466</v>
      </c>
      <c r="S212" s="7">
        <v>9816545</v>
      </c>
      <c r="T212" s="7">
        <v>10003627</v>
      </c>
      <c r="U212" s="7">
        <v>9816545</v>
      </c>
      <c r="V212" s="7">
        <v>10003627</v>
      </c>
      <c r="W212" s="7">
        <v>0</v>
      </c>
      <c r="X212" s="7">
        <v>0</v>
      </c>
      <c r="Y212" s="7">
        <v>852</v>
      </c>
      <c r="Z212" s="7">
        <v>808</v>
      </c>
      <c r="AA212" s="8">
        <v>-5.16</v>
      </c>
      <c r="AB212" s="7">
        <v>2718514</v>
      </c>
      <c r="AC212" s="7">
        <v>2681514</v>
      </c>
      <c r="AD212" s="7">
        <v>1226604</v>
      </c>
      <c r="AE212" s="7">
        <v>1550254</v>
      </c>
      <c r="AF212" s="7">
        <v>1491910</v>
      </c>
      <c r="AG212" s="7">
        <v>1131260</v>
      </c>
      <c r="AH212" s="8">
        <v>7.4</v>
      </c>
      <c r="AI212" s="8">
        <v>5.37</v>
      </c>
    </row>
    <row r="213" spans="1:35" x14ac:dyDescent="0.25">
      <c r="A213" s="6" t="str">
        <f>"650902"</f>
        <v>650902</v>
      </c>
      <c r="B213" s="6" t="s">
        <v>248</v>
      </c>
      <c r="C213" s="7">
        <v>21481081</v>
      </c>
      <c r="D213" s="7">
        <v>22618072</v>
      </c>
      <c r="E213" s="8">
        <v>5.29</v>
      </c>
      <c r="F213" s="7">
        <v>9745335</v>
      </c>
      <c r="G213" s="7">
        <v>9919641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9745335</v>
      </c>
      <c r="O213" s="7">
        <v>9919641</v>
      </c>
      <c r="P213" s="8">
        <v>1.79</v>
      </c>
      <c r="Q213" s="7">
        <v>0</v>
      </c>
      <c r="R213" s="7">
        <v>0</v>
      </c>
      <c r="S213" s="7">
        <v>9745335</v>
      </c>
      <c r="T213" s="7">
        <v>9919641</v>
      </c>
      <c r="U213" s="7">
        <v>9745335</v>
      </c>
      <c r="V213" s="7">
        <v>9919641</v>
      </c>
      <c r="W213" s="7">
        <v>0</v>
      </c>
      <c r="X213" s="7">
        <v>0</v>
      </c>
      <c r="Y213" s="7">
        <v>1005</v>
      </c>
      <c r="Z213" s="7">
        <v>987</v>
      </c>
      <c r="AA213" s="8">
        <v>-1.79</v>
      </c>
      <c r="AB213" s="7">
        <v>1617173</v>
      </c>
      <c r="AC213" s="7">
        <v>1117173</v>
      </c>
      <c r="AD213" s="7">
        <v>250000</v>
      </c>
      <c r="AE213" s="7">
        <v>350000</v>
      </c>
      <c r="AF213" s="7">
        <v>804515</v>
      </c>
      <c r="AG213" s="7">
        <v>780000</v>
      </c>
      <c r="AH213" s="8">
        <v>3.75</v>
      </c>
      <c r="AI213" s="8">
        <v>3.45</v>
      </c>
    </row>
    <row r="214" spans="1:35" x14ac:dyDescent="0.25">
      <c r="A214" s="6" t="str">
        <f>"280218"</f>
        <v>280218</v>
      </c>
      <c r="B214" s="6" t="s">
        <v>249</v>
      </c>
      <c r="C214" s="7">
        <v>110827444</v>
      </c>
      <c r="D214" s="7">
        <v>112661581</v>
      </c>
      <c r="E214" s="8">
        <v>1.65</v>
      </c>
      <c r="F214" s="7">
        <v>95936646</v>
      </c>
      <c r="G214" s="7">
        <v>97228089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95936646</v>
      </c>
      <c r="O214" s="7">
        <v>97228089</v>
      </c>
      <c r="P214" s="8">
        <v>1.35</v>
      </c>
      <c r="Q214" s="7">
        <v>5950053</v>
      </c>
      <c r="R214" s="7">
        <v>6012928</v>
      </c>
      <c r="S214" s="7">
        <v>90408526</v>
      </c>
      <c r="T214" s="7">
        <v>91215575</v>
      </c>
      <c r="U214" s="7">
        <v>89986593</v>
      </c>
      <c r="V214" s="7">
        <v>91215161</v>
      </c>
      <c r="W214" s="7">
        <v>421933</v>
      </c>
      <c r="X214" s="7">
        <v>414</v>
      </c>
      <c r="Y214" s="7">
        <v>3827</v>
      </c>
      <c r="Z214" s="7">
        <v>3820</v>
      </c>
      <c r="AA214" s="8">
        <v>-0.18</v>
      </c>
      <c r="AB214" s="7">
        <v>16682083</v>
      </c>
      <c r="AC214" s="7">
        <v>14382083</v>
      </c>
      <c r="AD214" s="7">
        <v>2500000</v>
      </c>
      <c r="AE214" s="7">
        <v>2775000</v>
      </c>
      <c r="AF214" s="7">
        <v>4431596</v>
      </c>
      <c r="AG214" s="7">
        <v>4506463</v>
      </c>
      <c r="AH214" s="8">
        <v>4</v>
      </c>
      <c r="AI214" s="8">
        <v>4</v>
      </c>
    </row>
    <row r="215" spans="1:35" x14ac:dyDescent="0.25">
      <c r="A215" s="6" t="str">
        <f>"480404"</f>
        <v>480404</v>
      </c>
      <c r="B215" s="6" t="s">
        <v>250</v>
      </c>
      <c r="C215" s="7">
        <v>10281960</v>
      </c>
      <c r="D215" s="7">
        <v>10575839</v>
      </c>
      <c r="E215" s="8">
        <v>2.86</v>
      </c>
      <c r="F215" s="7">
        <v>8729157</v>
      </c>
      <c r="G215" s="7">
        <v>8878348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8729157</v>
      </c>
      <c r="O215" s="7">
        <v>8878348</v>
      </c>
      <c r="P215" s="8">
        <v>1.71</v>
      </c>
      <c r="Q215" s="7">
        <v>532252</v>
      </c>
      <c r="R215" s="7">
        <v>539270</v>
      </c>
      <c r="S215" s="7">
        <v>8196918</v>
      </c>
      <c r="T215" s="7">
        <v>8339078</v>
      </c>
      <c r="U215" s="7">
        <v>8196905</v>
      </c>
      <c r="V215" s="7">
        <v>8339078</v>
      </c>
      <c r="W215" s="7">
        <v>13</v>
      </c>
      <c r="X215" s="7">
        <v>0</v>
      </c>
      <c r="Y215" s="7">
        <v>300</v>
      </c>
      <c r="Z215" s="7">
        <v>300</v>
      </c>
      <c r="AA215" s="8">
        <v>0</v>
      </c>
      <c r="AB215" s="7">
        <v>2219242</v>
      </c>
      <c r="AC215" s="7">
        <v>1820000</v>
      </c>
      <c r="AD215" s="7">
        <v>870201</v>
      </c>
      <c r="AE215" s="7">
        <v>850000</v>
      </c>
      <c r="AF215" s="7">
        <v>411280</v>
      </c>
      <c r="AG215" s="7">
        <v>423000</v>
      </c>
      <c r="AH215" s="8">
        <v>4</v>
      </c>
      <c r="AI215" s="8">
        <v>4</v>
      </c>
    </row>
    <row r="216" spans="1:35" x14ac:dyDescent="0.25">
      <c r="A216" s="6" t="str">
        <f>"260401"</f>
        <v>260401</v>
      </c>
      <c r="B216" s="6" t="s">
        <v>251</v>
      </c>
      <c r="C216" s="7">
        <v>100845294</v>
      </c>
      <c r="D216" s="7">
        <v>104023965</v>
      </c>
      <c r="E216" s="8">
        <v>3.15</v>
      </c>
      <c r="F216" s="7">
        <v>50626559</v>
      </c>
      <c r="G216" s="7">
        <v>51636492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50626559</v>
      </c>
      <c r="O216" s="7">
        <v>51636492</v>
      </c>
      <c r="P216" s="8">
        <v>1.99</v>
      </c>
      <c r="Q216" s="7">
        <v>2758082</v>
      </c>
      <c r="R216" s="7">
        <v>2797090</v>
      </c>
      <c r="S216" s="7">
        <v>47868477</v>
      </c>
      <c r="T216" s="7">
        <v>48839402</v>
      </c>
      <c r="U216" s="7">
        <v>47868477</v>
      </c>
      <c r="V216" s="7">
        <v>48839402</v>
      </c>
      <c r="W216" s="7">
        <v>0</v>
      </c>
      <c r="X216" s="7">
        <v>0</v>
      </c>
      <c r="Y216" s="7">
        <v>4094</v>
      </c>
      <c r="Z216" s="7">
        <v>4094</v>
      </c>
      <c r="AA216" s="8">
        <v>0</v>
      </c>
      <c r="AB216" s="7">
        <v>17656643</v>
      </c>
      <c r="AC216" s="7">
        <v>15300000</v>
      </c>
      <c r="AD216" s="7">
        <v>1500000</v>
      </c>
      <c r="AE216" s="7">
        <v>2000000</v>
      </c>
      <c r="AF216" s="7">
        <v>4031765</v>
      </c>
      <c r="AG216" s="7">
        <v>4160959</v>
      </c>
      <c r="AH216" s="8">
        <v>4</v>
      </c>
      <c r="AI216" s="8">
        <v>4</v>
      </c>
    </row>
    <row r="217" spans="1:35" x14ac:dyDescent="0.25">
      <c r="A217" s="6" t="str">
        <f>"220401"</f>
        <v>220401</v>
      </c>
      <c r="B217" s="6" t="s">
        <v>252</v>
      </c>
      <c r="C217" s="7">
        <v>21714656</v>
      </c>
      <c r="D217" s="7">
        <v>22253928</v>
      </c>
      <c r="E217" s="8">
        <v>2.48</v>
      </c>
      <c r="F217" s="7">
        <v>7521050</v>
      </c>
      <c r="G217" s="7">
        <v>7670718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7521050</v>
      </c>
      <c r="O217" s="7">
        <v>7670718</v>
      </c>
      <c r="P217" s="8">
        <v>1.99</v>
      </c>
      <c r="Q217" s="7">
        <v>106243</v>
      </c>
      <c r="R217" s="7">
        <v>155896</v>
      </c>
      <c r="S217" s="7">
        <v>7473549</v>
      </c>
      <c r="T217" s="7">
        <v>7565055</v>
      </c>
      <c r="U217" s="7">
        <v>7414807</v>
      </c>
      <c r="V217" s="7">
        <v>7514822</v>
      </c>
      <c r="W217" s="7">
        <v>58742</v>
      </c>
      <c r="X217" s="7">
        <v>50233</v>
      </c>
      <c r="Y217" s="7">
        <v>1507</v>
      </c>
      <c r="Z217" s="7">
        <v>1494</v>
      </c>
      <c r="AA217" s="8">
        <v>-0.86</v>
      </c>
      <c r="AB217" s="7">
        <v>3236049</v>
      </c>
      <c r="AC217" s="7">
        <v>2236049</v>
      </c>
      <c r="AD217" s="7">
        <v>895000</v>
      </c>
      <c r="AE217" s="7">
        <v>895000</v>
      </c>
      <c r="AF217" s="7">
        <v>789337</v>
      </c>
      <c r="AG217" s="7">
        <v>875000</v>
      </c>
      <c r="AH217" s="8">
        <v>3.64</v>
      </c>
      <c r="AI217" s="8">
        <v>3.93</v>
      </c>
    </row>
    <row r="218" spans="1:35" x14ac:dyDescent="0.25">
      <c r="A218" s="6" t="str">
        <f>"020702"</f>
        <v>020702</v>
      </c>
      <c r="B218" s="6" t="s">
        <v>253</v>
      </c>
      <c r="C218" s="7">
        <v>15289141</v>
      </c>
      <c r="D218" s="7">
        <v>15523697</v>
      </c>
      <c r="E218" s="8">
        <v>1.53</v>
      </c>
      <c r="F218" s="7">
        <v>2891291</v>
      </c>
      <c r="G218" s="7">
        <v>2931286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2891291</v>
      </c>
      <c r="O218" s="7">
        <v>2931286</v>
      </c>
      <c r="P218" s="8">
        <v>1.38</v>
      </c>
      <c r="Q218" s="7">
        <v>0</v>
      </c>
      <c r="R218" s="7">
        <v>0</v>
      </c>
      <c r="S218" s="7">
        <v>2891291</v>
      </c>
      <c r="T218" s="7">
        <v>2931286</v>
      </c>
      <c r="U218" s="7">
        <v>2891291</v>
      </c>
      <c r="V218" s="7">
        <v>2931286</v>
      </c>
      <c r="W218" s="7">
        <v>0</v>
      </c>
      <c r="X218" s="7">
        <v>0</v>
      </c>
      <c r="Y218" s="7">
        <v>585</v>
      </c>
      <c r="Z218" s="7">
        <v>590</v>
      </c>
      <c r="AA218" s="8">
        <v>0.85</v>
      </c>
      <c r="AB218" s="7">
        <v>7264477</v>
      </c>
      <c r="AC218" s="7">
        <v>4967694</v>
      </c>
      <c r="AD218" s="7">
        <v>225000</v>
      </c>
      <c r="AE218" s="7">
        <v>225000</v>
      </c>
      <c r="AF218" s="7">
        <v>894325</v>
      </c>
      <c r="AG218" s="7">
        <v>685741</v>
      </c>
      <c r="AH218" s="8">
        <v>5.85</v>
      </c>
      <c r="AI218" s="8">
        <v>4.42</v>
      </c>
    </row>
    <row r="219" spans="1:35" x14ac:dyDescent="0.25">
      <c r="A219" s="6" t="str">
        <f>"240401"</f>
        <v>240401</v>
      </c>
      <c r="B219" s="6" t="s">
        <v>254</v>
      </c>
      <c r="C219" s="7">
        <v>19612149</v>
      </c>
      <c r="D219" s="7">
        <v>20154146</v>
      </c>
      <c r="E219" s="8">
        <v>2.76</v>
      </c>
      <c r="F219" s="7">
        <v>10485936</v>
      </c>
      <c r="G219" s="7">
        <v>10749133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10485936</v>
      </c>
      <c r="O219" s="7">
        <v>10749133</v>
      </c>
      <c r="P219" s="8">
        <v>2.5099999999999998</v>
      </c>
      <c r="Q219" s="7">
        <v>318910</v>
      </c>
      <c r="R219" s="7">
        <v>544918</v>
      </c>
      <c r="S219" s="7">
        <v>10167027</v>
      </c>
      <c r="T219" s="7">
        <v>10345039</v>
      </c>
      <c r="U219" s="7">
        <v>10167026</v>
      </c>
      <c r="V219" s="7">
        <v>10204215</v>
      </c>
      <c r="W219" s="7">
        <v>1</v>
      </c>
      <c r="X219" s="7">
        <v>140824</v>
      </c>
      <c r="Y219" s="7">
        <v>897</v>
      </c>
      <c r="Z219" s="7">
        <v>891</v>
      </c>
      <c r="AA219" s="8">
        <v>-0.67</v>
      </c>
      <c r="AB219" s="7">
        <v>3948761</v>
      </c>
      <c r="AC219" s="7">
        <v>3698761</v>
      </c>
      <c r="AD219" s="7">
        <v>410762</v>
      </c>
      <c r="AE219" s="7">
        <v>400000</v>
      </c>
      <c r="AF219" s="7">
        <v>784485</v>
      </c>
      <c r="AG219" s="7">
        <v>806166</v>
      </c>
      <c r="AH219" s="8">
        <v>4</v>
      </c>
      <c r="AI219" s="8">
        <v>4</v>
      </c>
    </row>
    <row r="220" spans="1:35" x14ac:dyDescent="0.25">
      <c r="A220" s="6" t="str">
        <f>"430700"</f>
        <v>430700</v>
      </c>
      <c r="B220" s="6" t="s">
        <v>255</v>
      </c>
      <c r="C220" s="7">
        <v>50249590</v>
      </c>
      <c r="D220" s="7">
        <v>52455000</v>
      </c>
      <c r="E220" s="8">
        <v>4.3899999999999997</v>
      </c>
      <c r="F220" s="7">
        <v>18293170</v>
      </c>
      <c r="G220" s="7">
        <v>18878664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18293170</v>
      </c>
      <c r="O220" s="7">
        <v>18878664</v>
      </c>
      <c r="P220" s="8">
        <v>3.2</v>
      </c>
      <c r="Q220" s="7">
        <v>174137</v>
      </c>
      <c r="R220" s="7">
        <v>0</v>
      </c>
      <c r="S220" s="7">
        <v>18119033</v>
      </c>
      <c r="T220" s="7">
        <v>18878664</v>
      </c>
      <c r="U220" s="7">
        <v>18119033</v>
      </c>
      <c r="V220" s="7">
        <v>18878664</v>
      </c>
      <c r="W220" s="7">
        <v>0</v>
      </c>
      <c r="X220" s="7">
        <v>0</v>
      </c>
      <c r="Y220" s="7">
        <v>2130</v>
      </c>
      <c r="Z220" s="7">
        <v>2081</v>
      </c>
      <c r="AA220" s="8">
        <v>-2.2999999999999998</v>
      </c>
      <c r="AB220" s="7">
        <v>697836</v>
      </c>
      <c r="AC220" s="7">
        <v>710000</v>
      </c>
      <c r="AD220" s="7">
        <v>500000</v>
      </c>
      <c r="AE220" s="7">
        <v>500000</v>
      </c>
      <c r="AF220" s="7">
        <v>2009984</v>
      </c>
      <c r="AG220" s="7">
        <v>2098200</v>
      </c>
      <c r="AH220" s="8">
        <v>4</v>
      </c>
      <c r="AI220" s="8">
        <v>4</v>
      </c>
    </row>
    <row r="221" spans="1:35" x14ac:dyDescent="0.25">
      <c r="A221" s="6" t="str">
        <f>"081401"</f>
        <v>081401</v>
      </c>
      <c r="B221" s="6" t="s">
        <v>256</v>
      </c>
      <c r="C221" s="7">
        <v>10542827</v>
      </c>
      <c r="D221" s="7">
        <v>10985046</v>
      </c>
      <c r="E221" s="8">
        <v>4.1900000000000004</v>
      </c>
      <c r="F221" s="7">
        <v>3147128</v>
      </c>
      <c r="G221" s="7">
        <v>3206923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3147128</v>
      </c>
      <c r="O221" s="7">
        <v>3206923</v>
      </c>
      <c r="P221" s="8">
        <v>1.9</v>
      </c>
      <c r="Q221" s="7">
        <v>112179</v>
      </c>
      <c r="R221" s="7">
        <v>131179</v>
      </c>
      <c r="S221" s="7">
        <v>3096939</v>
      </c>
      <c r="T221" s="7">
        <v>3138744</v>
      </c>
      <c r="U221" s="7">
        <v>3034949</v>
      </c>
      <c r="V221" s="7">
        <v>3075744</v>
      </c>
      <c r="W221" s="7">
        <v>61990</v>
      </c>
      <c r="X221" s="7">
        <v>63000</v>
      </c>
      <c r="Y221" s="7">
        <v>352</v>
      </c>
      <c r="Z221" s="7">
        <v>350</v>
      </c>
      <c r="AA221" s="8">
        <v>-0.56999999999999995</v>
      </c>
      <c r="AB221" s="7">
        <v>1676210</v>
      </c>
      <c r="AC221" s="7">
        <v>1868210</v>
      </c>
      <c r="AD221" s="7">
        <v>380000</v>
      </c>
      <c r="AE221" s="7">
        <v>380000</v>
      </c>
      <c r="AF221" s="7">
        <v>495770</v>
      </c>
      <c r="AG221" s="7">
        <v>490000</v>
      </c>
      <c r="AH221" s="8">
        <v>4.7</v>
      </c>
      <c r="AI221" s="8">
        <v>4.46</v>
      </c>
    </row>
    <row r="222" spans="1:35" x14ac:dyDescent="0.25">
      <c r="A222" s="6" t="str">
        <f>"100902"</f>
        <v>100902</v>
      </c>
      <c r="B222" s="6" t="s">
        <v>257</v>
      </c>
      <c r="C222" s="7">
        <v>14784810</v>
      </c>
      <c r="D222" s="7">
        <v>14790612</v>
      </c>
      <c r="E222" s="8">
        <v>0.04</v>
      </c>
      <c r="F222" s="7">
        <v>8424517</v>
      </c>
      <c r="G222" s="7">
        <v>8652540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8424517</v>
      </c>
      <c r="O222" s="7">
        <v>8652540</v>
      </c>
      <c r="P222" s="8">
        <v>2.71</v>
      </c>
      <c r="Q222" s="7">
        <v>176591</v>
      </c>
      <c r="R222" s="7">
        <v>252919</v>
      </c>
      <c r="S222" s="7">
        <v>8247926</v>
      </c>
      <c r="T222" s="7">
        <v>8399621</v>
      </c>
      <c r="U222" s="7">
        <v>8247926</v>
      </c>
      <c r="V222" s="7">
        <v>8399621</v>
      </c>
      <c r="W222" s="7">
        <v>0</v>
      </c>
      <c r="X222" s="7">
        <v>0</v>
      </c>
      <c r="Y222" s="7">
        <v>561</v>
      </c>
      <c r="Z222" s="7">
        <v>561</v>
      </c>
      <c r="AA222" s="8">
        <v>0</v>
      </c>
      <c r="AB222" s="7">
        <v>1620000</v>
      </c>
      <c r="AC222" s="7">
        <v>1620000</v>
      </c>
      <c r="AD222" s="7">
        <v>800600</v>
      </c>
      <c r="AE222" s="7">
        <v>800600</v>
      </c>
      <c r="AF222" s="7">
        <v>1622044</v>
      </c>
      <c r="AG222" s="7">
        <v>1750000</v>
      </c>
      <c r="AH222" s="8">
        <v>10.97</v>
      </c>
      <c r="AI222" s="8">
        <v>11.83</v>
      </c>
    </row>
    <row r="223" spans="1:35" x14ac:dyDescent="0.25">
      <c r="A223" s="6" t="str">
        <f>"470202"</f>
        <v>470202</v>
      </c>
      <c r="B223" s="6" t="s">
        <v>258</v>
      </c>
      <c r="C223" s="7">
        <v>9205500</v>
      </c>
      <c r="D223" s="7">
        <v>9305500</v>
      </c>
      <c r="E223" s="8">
        <v>1.0900000000000001</v>
      </c>
      <c r="F223" s="7">
        <v>2341615</v>
      </c>
      <c r="G223" s="7">
        <v>2380115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2341615</v>
      </c>
      <c r="O223" s="7">
        <v>2380115</v>
      </c>
      <c r="P223" s="8">
        <v>1.64</v>
      </c>
      <c r="Q223" s="7">
        <v>0</v>
      </c>
      <c r="R223" s="7">
        <v>0</v>
      </c>
      <c r="S223" s="7">
        <v>2361953</v>
      </c>
      <c r="T223" s="7">
        <v>2396674</v>
      </c>
      <c r="U223" s="7">
        <v>2341615</v>
      </c>
      <c r="V223" s="7">
        <v>2380115</v>
      </c>
      <c r="W223" s="7">
        <v>20338</v>
      </c>
      <c r="X223" s="7">
        <v>16559</v>
      </c>
      <c r="Y223" s="7">
        <v>395</v>
      </c>
      <c r="Z223" s="7">
        <v>395</v>
      </c>
      <c r="AA223" s="8">
        <v>0</v>
      </c>
      <c r="AB223" s="7">
        <v>2466543</v>
      </c>
      <c r="AC223" s="7">
        <v>2660543</v>
      </c>
      <c r="AD223" s="7">
        <v>331855</v>
      </c>
      <c r="AE223" s="7">
        <v>355000</v>
      </c>
      <c r="AF223" s="7">
        <v>368032</v>
      </c>
      <c r="AG223" s="7">
        <v>372500</v>
      </c>
      <c r="AH223" s="8">
        <v>4</v>
      </c>
      <c r="AI223" s="8">
        <v>4</v>
      </c>
    </row>
    <row r="224" spans="1:35" x14ac:dyDescent="0.25">
      <c r="A224" s="6" t="str">
        <f>"540801"</f>
        <v>540801</v>
      </c>
      <c r="B224" s="6" t="s">
        <v>259</v>
      </c>
      <c r="C224" s="7">
        <v>10455314</v>
      </c>
      <c r="D224" s="7">
        <v>10347770</v>
      </c>
      <c r="E224" s="8">
        <v>-1.03</v>
      </c>
      <c r="F224" s="7">
        <v>6468646</v>
      </c>
      <c r="G224" s="7">
        <v>6533636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6468646</v>
      </c>
      <c r="O224" s="7">
        <v>6533636</v>
      </c>
      <c r="P224" s="8">
        <v>1</v>
      </c>
      <c r="Q224" s="7">
        <v>91117</v>
      </c>
      <c r="R224" s="7">
        <v>94163</v>
      </c>
      <c r="S224" s="7">
        <v>6688396</v>
      </c>
      <c r="T224" s="7">
        <v>6661859</v>
      </c>
      <c r="U224" s="7">
        <v>6377529</v>
      </c>
      <c r="V224" s="7">
        <v>6439473</v>
      </c>
      <c r="W224" s="7">
        <v>310867</v>
      </c>
      <c r="X224" s="7">
        <v>222386</v>
      </c>
      <c r="Y224" s="7">
        <v>293</v>
      </c>
      <c r="Z224" s="7">
        <v>289</v>
      </c>
      <c r="AA224" s="8">
        <v>-1.37</v>
      </c>
      <c r="AB224" s="7">
        <v>3767421</v>
      </c>
      <c r="AC224" s="7">
        <v>3519694</v>
      </c>
      <c r="AD224" s="7">
        <v>450000</v>
      </c>
      <c r="AE224" s="7">
        <v>400000</v>
      </c>
      <c r="AF224" s="7">
        <v>417812</v>
      </c>
      <c r="AG224" s="7">
        <v>413911</v>
      </c>
      <c r="AH224" s="8">
        <v>4</v>
      </c>
      <c r="AI224" s="8">
        <v>4</v>
      </c>
    </row>
    <row r="225" spans="1:35" x14ac:dyDescent="0.25">
      <c r="A225" s="6" t="str">
        <f>"280100"</f>
        <v>280100</v>
      </c>
      <c r="B225" s="6" t="s">
        <v>260</v>
      </c>
      <c r="C225" s="7">
        <v>83705760</v>
      </c>
      <c r="D225" s="7">
        <v>85907869</v>
      </c>
      <c r="E225" s="8">
        <v>2.63</v>
      </c>
      <c r="F225" s="7">
        <v>65891895</v>
      </c>
      <c r="G225" s="7">
        <v>66804233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65891895</v>
      </c>
      <c r="O225" s="7">
        <v>66804233</v>
      </c>
      <c r="P225" s="8">
        <v>1.38</v>
      </c>
      <c r="Q225" s="7">
        <v>1029296</v>
      </c>
      <c r="R225" s="7">
        <v>979588</v>
      </c>
      <c r="S225" s="7">
        <v>64862599</v>
      </c>
      <c r="T225" s="7">
        <v>65824645</v>
      </c>
      <c r="U225" s="7">
        <v>64862599</v>
      </c>
      <c r="V225" s="7">
        <v>65824645</v>
      </c>
      <c r="W225" s="7">
        <v>0</v>
      </c>
      <c r="X225" s="7">
        <v>0</v>
      </c>
      <c r="Y225" s="7">
        <v>3295</v>
      </c>
      <c r="Z225" s="7">
        <v>3462</v>
      </c>
      <c r="AA225" s="8">
        <v>5.07</v>
      </c>
      <c r="AB225" s="7">
        <v>8814948</v>
      </c>
      <c r="AC225" s="7">
        <v>4104948</v>
      </c>
      <c r="AD225" s="7">
        <v>2537523</v>
      </c>
      <c r="AE225" s="7">
        <v>2475000</v>
      </c>
      <c r="AF225" s="7">
        <v>3349290</v>
      </c>
      <c r="AG225" s="7">
        <v>3436315</v>
      </c>
      <c r="AH225" s="8">
        <v>4</v>
      </c>
      <c r="AI225" s="8">
        <v>4</v>
      </c>
    </row>
    <row r="226" spans="1:35" x14ac:dyDescent="0.25">
      <c r="A226" s="6" t="str">
        <f>"630300"</f>
        <v>630300</v>
      </c>
      <c r="B226" s="6" t="s">
        <v>261</v>
      </c>
      <c r="C226" s="7">
        <v>41422882</v>
      </c>
      <c r="D226" s="7">
        <v>43050269</v>
      </c>
      <c r="E226" s="8">
        <v>3.93</v>
      </c>
      <c r="F226" s="7">
        <v>20151883</v>
      </c>
      <c r="G226" s="7">
        <v>20543320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20151883</v>
      </c>
      <c r="O226" s="7">
        <v>20543320</v>
      </c>
      <c r="P226" s="8">
        <v>1.94</v>
      </c>
      <c r="Q226" s="7">
        <v>456737</v>
      </c>
      <c r="R226" s="7">
        <v>628190</v>
      </c>
      <c r="S226" s="7">
        <v>19695146</v>
      </c>
      <c r="T226" s="7">
        <v>19915130</v>
      </c>
      <c r="U226" s="7">
        <v>19695146</v>
      </c>
      <c r="V226" s="7">
        <v>19915130</v>
      </c>
      <c r="W226" s="7">
        <v>0</v>
      </c>
      <c r="X226" s="7">
        <v>0</v>
      </c>
      <c r="Y226" s="7">
        <v>2011</v>
      </c>
      <c r="Z226" s="7">
        <v>2032</v>
      </c>
      <c r="AA226" s="8">
        <v>1.04</v>
      </c>
      <c r="AB226" s="7">
        <v>4543296</v>
      </c>
      <c r="AC226" s="7">
        <v>4469137</v>
      </c>
      <c r="AD226" s="7">
        <v>28225</v>
      </c>
      <c r="AE226" s="7">
        <v>28225</v>
      </c>
      <c r="AF226" s="7">
        <v>4525750</v>
      </c>
      <c r="AG226" s="7">
        <v>4315020</v>
      </c>
      <c r="AH226" s="8">
        <v>10.93</v>
      </c>
      <c r="AI226" s="8">
        <v>10.02</v>
      </c>
    </row>
    <row r="227" spans="1:35" x14ac:dyDescent="0.25">
      <c r="A227" s="6" t="str">
        <f>"630918"</f>
        <v>630918</v>
      </c>
      <c r="B227" s="6" t="s">
        <v>262</v>
      </c>
      <c r="C227" s="7">
        <v>4595402</v>
      </c>
      <c r="D227" s="7">
        <v>4600025</v>
      </c>
      <c r="E227" s="8">
        <v>0.1</v>
      </c>
      <c r="F227" s="7">
        <v>2830920</v>
      </c>
      <c r="G227" s="7">
        <v>2904765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2830920</v>
      </c>
      <c r="O227" s="7">
        <v>2904765</v>
      </c>
      <c r="P227" s="8">
        <v>2.61</v>
      </c>
      <c r="Q227" s="7">
        <v>111563</v>
      </c>
      <c r="R227" s="7">
        <v>84926</v>
      </c>
      <c r="S227" s="7">
        <v>2719357</v>
      </c>
      <c r="T227" s="7">
        <v>2819839</v>
      </c>
      <c r="U227" s="7">
        <v>2719357</v>
      </c>
      <c r="V227" s="7">
        <v>2819839</v>
      </c>
      <c r="W227" s="7">
        <v>0</v>
      </c>
      <c r="X227" s="7">
        <v>0</v>
      </c>
      <c r="Y227" s="7">
        <v>175</v>
      </c>
      <c r="Z227" s="7">
        <v>174</v>
      </c>
      <c r="AA227" s="8">
        <v>-0.56999999999999995</v>
      </c>
      <c r="AB227" s="7">
        <v>197771</v>
      </c>
      <c r="AC227" s="7">
        <v>130156</v>
      </c>
      <c r="AD227" s="7">
        <v>323179</v>
      </c>
      <c r="AE227" s="7">
        <v>205061</v>
      </c>
      <c r="AF227" s="7">
        <v>130158</v>
      </c>
      <c r="AG227" s="7">
        <v>134512</v>
      </c>
      <c r="AH227" s="8">
        <v>2.83</v>
      </c>
      <c r="AI227" s="8">
        <v>2.92</v>
      </c>
    </row>
    <row r="228" spans="1:35" x14ac:dyDescent="0.25">
      <c r="A228" s="6" t="str">
        <f>"170500"</f>
        <v>170500</v>
      </c>
      <c r="B228" s="6" t="s">
        <v>263</v>
      </c>
      <c r="C228" s="7">
        <v>60851235</v>
      </c>
      <c r="D228" s="7">
        <v>61506512</v>
      </c>
      <c r="E228" s="8">
        <v>1.08</v>
      </c>
      <c r="F228" s="7">
        <v>14199834</v>
      </c>
      <c r="G228" s="7">
        <v>14413802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14199834</v>
      </c>
      <c r="O228" s="7">
        <v>14413802</v>
      </c>
      <c r="P228" s="8">
        <v>1.51</v>
      </c>
      <c r="Q228" s="7">
        <v>0</v>
      </c>
      <c r="R228" s="7">
        <v>0</v>
      </c>
      <c r="S228" s="7">
        <v>13329404</v>
      </c>
      <c r="T228" s="7">
        <v>14413802</v>
      </c>
      <c r="U228" s="7">
        <v>14199834</v>
      </c>
      <c r="V228" s="7">
        <v>14413802</v>
      </c>
      <c r="W228" s="7">
        <v>-870430</v>
      </c>
      <c r="X228" s="7">
        <v>0</v>
      </c>
      <c r="Y228" s="7">
        <v>2670</v>
      </c>
      <c r="Z228" s="7">
        <v>2661</v>
      </c>
      <c r="AA228" s="8">
        <v>-0.34</v>
      </c>
      <c r="AB228" s="7">
        <v>1416063</v>
      </c>
      <c r="AC228" s="7">
        <v>910004</v>
      </c>
      <c r="AD228" s="7">
        <v>0</v>
      </c>
      <c r="AE228" s="7">
        <v>434873</v>
      </c>
      <c r="AF228" s="7">
        <v>2434047</v>
      </c>
      <c r="AG228" s="7">
        <v>1999174</v>
      </c>
      <c r="AH228" s="8">
        <v>4</v>
      </c>
      <c r="AI228" s="8">
        <v>3.25</v>
      </c>
    </row>
    <row r="229" spans="1:35" x14ac:dyDescent="0.25">
      <c r="A229" s="6" t="str">
        <f>"430901"</f>
        <v>430901</v>
      </c>
      <c r="B229" s="6" t="s">
        <v>264</v>
      </c>
      <c r="C229" s="7">
        <v>31880010</v>
      </c>
      <c r="D229" s="7">
        <v>32049580</v>
      </c>
      <c r="E229" s="8">
        <v>0.53</v>
      </c>
      <c r="F229" s="7">
        <v>13695673</v>
      </c>
      <c r="G229" s="7">
        <v>13953151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13695673</v>
      </c>
      <c r="O229" s="7">
        <v>13953151</v>
      </c>
      <c r="P229" s="8">
        <v>1.88</v>
      </c>
      <c r="Q229" s="7">
        <v>0</v>
      </c>
      <c r="R229" s="7">
        <v>0</v>
      </c>
      <c r="S229" s="7">
        <v>13695673</v>
      </c>
      <c r="T229" s="7">
        <v>13960322</v>
      </c>
      <c r="U229" s="7">
        <v>13695673</v>
      </c>
      <c r="V229" s="7">
        <v>13953151</v>
      </c>
      <c r="W229" s="7">
        <v>0</v>
      </c>
      <c r="X229" s="7">
        <v>7171</v>
      </c>
      <c r="Y229" s="7">
        <v>1229</v>
      </c>
      <c r="Z229" s="7">
        <v>1235</v>
      </c>
      <c r="AA229" s="8">
        <v>0.49</v>
      </c>
      <c r="AB229" s="7">
        <v>6953728</v>
      </c>
      <c r="AC229" s="7">
        <v>7700000</v>
      </c>
      <c r="AD229" s="7">
        <v>580000</v>
      </c>
      <c r="AE229" s="7">
        <v>580000</v>
      </c>
      <c r="AF229" s="7">
        <v>1275200</v>
      </c>
      <c r="AG229" s="7">
        <v>1281983</v>
      </c>
      <c r="AH229" s="8">
        <v>4</v>
      </c>
      <c r="AI229" s="8">
        <v>4</v>
      </c>
    </row>
    <row r="230" spans="1:35" x14ac:dyDescent="0.25">
      <c r="A230" s="6" t="str">
        <f>"440601"</f>
        <v>440601</v>
      </c>
      <c r="B230" s="6" t="s">
        <v>265</v>
      </c>
      <c r="C230" s="7">
        <v>67778271</v>
      </c>
      <c r="D230" s="7">
        <v>69733196</v>
      </c>
      <c r="E230" s="8">
        <v>2.88</v>
      </c>
      <c r="F230" s="7">
        <v>48346183</v>
      </c>
      <c r="G230" s="7">
        <v>49744442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48346183</v>
      </c>
      <c r="O230" s="7">
        <v>49744442</v>
      </c>
      <c r="P230" s="8">
        <v>2.89</v>
      </c>
      <c r="Q230" s="7">
        <v>498070</v>
      </c>
      <c r="R230" s="7">
        <v>857446</v>
      </c>
      <c r="S230" s="7">
        <v>48540647</v>
      </c>
      <c r="T230" s="7">
        <v>49017847</v>
      </c>
      <c r="U230" s="7">
        <v>47848113</v>
      </c>
      <c r="V230" s="7">
        <v>48886996</v>
      </c>
      <c r="W230" s="7">
        <v>692534</v>
      </c>
      <c r="X230" s="7">
        <v>130851</v>
      </c>
      <c r="Y230" s="7">
        <v>2896</v>
      </c>
      <c r="Z230" s="7">
        <v>2857</v>
      </c>
      <c r="AA230" s="8">
        <v>-1.35</v>
      </c>
      <c r="AB230" s="7">
        <v>20172009</v>
      </c>
      <c r="AC230" s="7">
        <v>8856703</v>
      </c>
      <c r="AD230" s="7">
        <v>980434</v>
      </c>
      <c r="AE230" s="7">
        <v>980434</v>
      </c>
      <c r="AF230" s="7">
        <v>2711135</v>
      </c>
      <c r="AG230" s="7">
        <v>2792445</v>
      </c>
      <c r="AH230" s="8">
        <v>4</v>
      </c>
      <c r="AI230" s="8">
        <v>4</v>
      </c>
    </row>
    <row r="231" spans="1:35" x14ac:dyDescent="0.25">
      <c r="A231" s="6" t="str">
        <f>"511101"</f>
        <v>511101</v>
      </c>
      <c r="B231" s="6" t="s">
        <v>266</v>
      </c>
      <c r="C231" s="7">
        <v>34518260</v>
      </c>
      <c r="D231" s="7">
        <v>34927600</v>
      </c>
      <c r="E231" s="8">
        <v>1.19</v>
      </c>
      <c r="F231" s="7">
        <v>5789708</v>
      </c>
      <c r="G231" s="7">
        <v>5905696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5789708</v>
      </c>
      <c r="O231" s="7">
        <v>5905696</v>
      </c>
      <c r="P231" s="8">
        <v>2</v>
      </c>
      <c r="Q231" s="7">
        <v>259910</v>
      </c>
      <c r="R231" s="7">
        <v>238968</v>
      </c>
      <c r="S231" s="7">
        <v>5590479</v>
      </c>
      <c r="T231" s="7">
        <v>5666728</v>
      </c>
      <c r="U231" s="7">
        <v>5529798</v>
      </c>
      <c r="V231" s="7">
        <v>5666728</v>
      </c>
      <c r="W231" s="7">
        <v>60681</v>
      </c>
      <c r="X231" s="7">
        <v>0</v>
      </c>
      <c r="Y231" s="7">
        <v>1575</v>
      </c>
      <c r="Z231" s="7">
        <v>1562</v>
      </c>
      <c r="AA231" s="8">
        <v>-0.83</v>
      </c>
      <c r="AB231" s="7">
        <v>6565453</v>
      </c>
      <c r="AC231" s="7">
        <v>6500000</v>
      </c>
      <c r="AD231" s="7">
        <v>2248020</v>
      </c>
      <c r="AE231" s="7">
        <v>2000000</v>
      </c>
      <c r="AF231" s="7">
        <v>1788077</v>
      </c>
      <c r="AG231" s="7">
        <v>1677488</v>
      </c>
      <c r="AH231" s="8">
        <v>5.18</v>
      </c>
      <c r="AI231" s="8">
        <v>4.8</v>
      </c>
    </row>
    <row r="232" spans="1:35" x14ac:dyDescent="0.25">
      <c r="A232" s="6" t="str">
        <f>"042801"</f>
        <v>042801</v>
      </c>
      <c r="B232" s="6" t="s">
        <v>267</v>
      </c>
      <c r="C232" s="7">
        <v>29938210</v>
      </c>
      <c r="D232" s="7">
        <v>30025326</v>
      </c>
      <c r="E232" s="8">
        <v>0.28999999999999998</v>
      </c>
      <c r="F232" s="7">
        <v>4976507</v>
      </c>
      <c r="G232" s="7">
        <v>5045762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4976507</v>
      </c>
      <c r="O232" s="7">
        <v>5045762</v>
      </c>
      <c r="P232" s="8">
        <v>1.39</v>
      </c>
      <c r="Q232" s="7">
        <v>0</v>
      </c>
      <c r="R232" s="7">
        <v>0</v>
      </c>
      <c r="S232" s="7">
        <v>4976507</v>
      </c>
      <c r="T232" s="7">
        <v>5045762</v>
      </c>
      <c r="U232" s="7">
        <v>4976507</v>
      </c>
      <c r="V232" s="7">
        <v>5045762</v>
      </c>
      <c r="W232" s="7">
        <v>0</v>
      </c>
      <c r="X232" s="7">
        <v>0</v>
      </c>
      <c r="Y232" s="7">
        <v>1190</v>
      </c>
      <c r="Z232" s="7">
        <v>1192</v>
      </c>
      <c r="AA232" s="8">
        <v>0.17</v>
      </c>
      <c r="AB232" s="7">
        <v>3006742</v>
      </c>
      <c r="AC232" s="7">
        <v>2722333</v>
      </c>
      <c r="AD232" s="7">
        <v>1563425</v>
      </c>
      <c r="AE232" s="7">
        <v>1486836</v>
      </c>
      <c r="AF232" s="7">
        <v>1189538</v>
      </c>
      <c r="AG232" s="7">
        <v>1155057</v>
      </c>
      <c r="AH232" s="8">
        <v>3.97</v>
      </c>
      <c r="AI232" s="8">
        <v>3.85</v>
      </c>
    </row>
    <row r="233" spans="1:35" x14ac:dyDescent="0.25">
      <c r="A233" s="6" t="str">
        <f>"141501"</f>
        <v>141501</v>
      </c>
      <c r="B233" s="6" t="s">
        <v>268</v>
      </c>
      <c r="C233" s="7">
        <v>60977971</v>
      </c>
      <c r="D233" s="7">
        <v>62639021</v>
      </c>
      <c r="E233" s="8">
        <v>2.72</v>
      </c>
      <c r="F233" s="7">
        <v>32281397</v>
      </c>
      <c r="G233" s="7">
        <v>33126393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32281397</v>
      </c>
      <c r="O233" s="7">
        <v>33126393</v>
      </c>
      <c r="P233" s="8">
        <v>2.62</v>
      </c>
      <c r="Q233" s="7">
        <v>1246545</v>
      </c>
      <c r="R233" s="7">
        <v>1430146</v>
      </c>
      <c r="S233" s="7">
        <v>32411194</v>
      </c>
      <c r="T233" s="7">
        <v>33126560</v>
      </c>
      <c r="U233" s="7">
        <v>31034852</v>
      </c>
      <c r="V233" s="7">
        <v>31696247</v>
      </c>
      <c r="W233" s="7">
        <v>1376342</v>
      </c>
      <c r="X233" s="7">
        <v>1430313</v>
      </c>
      <c r="Y233" s="7">
        <v>2914</v>
      </c>
      <c r="Z233" s="7">
        <v>2875</v>
      </c>
      <c r="AA233" s="8">
        <v>-1.34</v>
      </c>
      <c r="AB233" s="7">
        <v>6824725</v>
      </c>
      <c r="AC233" s="7">
        <v>6824725</v>
      </c>
      <c r="AD233" s="7">
        <v>1950000</v>
      </c>
      <c r="AE233" s="7">
        <v>1950000</v>
      </c>
      <c r="AF233" s="7">
        <v>2439119</v>
      </c>
      <c r="AG233" s="7">
        <v>2505561</v>
      </c>
      <c r="AH233" s="8">
        <v>4</v>
      </c>
      <c r="AI233" s="8">
        <v>4</v>
      </c>
    </row>
    <row r="234" spans="1:35" x14ac:dyDescent="0.25">
      <c r="A234" s="6" t="str">
        <f>"640701"</f>
        <v>640701</v>
      </c>
      <c r="B234" s="6" t="s">
        <v>269</v>
      </c>
      <c r="C234" s="7">
        <v>26269865</v>
      </c>
      <c r="D234" s="7">
        <v>26711169</v>
      </c>
      <c r="E234" s="8">
        <v>1.68</v>
      </c>
      <c r="F234" s="7">
        <v>7076119</v>
      </c>
      <c r="G234" s="7">
        <v>7076119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7076119</v>
      </c>
      <c r="O234" s="7">
        <v>7076119</v>
      </c>
      <c r="P234" s="8">
        <v>0</v>
      </c>
      <c r="Q234" s="7">
        <v>532770</v>
      </c>
      <c r="R234" s="7">
        <v>612506</v>
      </c>
      <c r="S234" s="7">
        <v>6551684</v>
      </c>
      <c r="T234" s="7">
        <v>6642992</v>
      </c>
      <c r="U234" s="7">
        <v>6543349</v>
      </c>
      <c r="V234" s="7">
        <v>6463613</v>
      </c>
      <c r="W234" s="7">
        <v>8335</v>
      </c>
      <c r="X234" s="7">
        <v>179379</v>
      </c>
      <c r="Y234" s="7">
        <v>1077</v>
      </c>
      <c r="Z234" s="7">
        <v>1065</v>
      </c>
      <c r="AA234" s="8">
        <v>-1.1100000000000001</v>
      </c>
      <c r="AB234" s="7">
        <v>801065</v>
      </c>
      <c r="AC234" s="7">
        <v>1302340</v>
      </c>
      <c r="AD234" s="7">
        <v>311850</v>
      </c>
      <c r="AE234" s="7">
        <v>200000</v>
      </c>
      <c r="AF234" s="7">
        <v>5825242</v>
      </c>
      <c r="AG234" s="7">
        <v>5220250</v>
      </c>
      <c r="AH234" s="8">
        <v>22.17</v>
      </c>
      <c r="AI234" s="8">
        <v>19.54</v>
      </c>
    </row>
    <row r="235" spans="1:35" x14ac:dyDescent="0.25">
      <c r="A235" s="6" t="str">
        <f>"280407"</f>
        <v>280407</v>
      </c>
      <c r="B235" s="6" t="s">
        <v>270</v>
      </c>
      <c r="C235" s="7">
        <v>219147365</v>
      </c>
      <c r="D235" s="7">
        <v>223311165</v>
      </c>
      <c r="E235" s="8">
        <v>1.9</v>
      </c>
      <c r="F235" s="7">
        <v>196097039</v>
      </c>
      <c r="G235" s="7">
        <v>198564847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196097039</v>
      </c>
      <c r="O235" s="7">
        <v>198564847</v>
      </c>
      <c r="P235" s="8">
        <v>1.26</v>
      </c>
      <c r="Q235" s="7">
        <v>6848117</v>
      </c>
      <c r="R235" s="7">
        <v>7085809</v>
      </c>
      <c r="S235" s="7">
        <v>189248922</v>
      </c>
      <c r="T235" s="7">
        <v>191479038</v>
      </c>
      <c r="U235" s="7">
        <v>189248922</v>
      </c>
      <c r="V235" s="7">
        <v>191479038</v>
      </c>
      <c r="W235" s="7">
        <v>0</v>
      </c>
      <c r="X235" s="7">
        <v>0</v>
      </c>
      <c r="Y235" s="7">
        <v>6354</v>
      </c>
      <c r="Z235" s="7">
        <v>6527</v>
      </c>
      <c r="AA235" s="8">
        <v>2.72</v>
      </c>
      <c r="AB235" s="7">
        <v>26489987</v>
      </c>
      <c r="AC235" s="7">
        <v>35294616</v>
      </c>
      <c r="AD235" s="7">
        <v>1430804</v>
      </c>
      <c r="AE235" s="7">
        <v>1690000</v>
      </c>
      <c r="AF235" s="7">
        <v>10642073</v>
      </c>
      <c r="AG235" s="7">
        <v>8932447</v>
      </c>
      <c r="AH235" s="8">
        <v>4.8600000000000003</v>
      </c>
      <c r="AI235" s="8">
        <v>4</v>
      </c>
    </row>
    <row r="236" spans="1:35" x14ac:dyDescent="0.25">
      <c r="A236" s="6" t="str">
        <f>"260501"</f>
        <v>260501</v>
      </c>
      <c r="B236" s="6" t="s">
        <v>271</v>
      </c>
      <c r="C236" s="7">
        <v>225435829</v>
      </c>
      <c r="D236" s="7">
        <v>227552834</v>
      </c>
      <c r="E236" s="8">
        <v>0.94</v>
      </c>
      <c r="F236" s="7">
        <v>104293488</v>
      </c>
      <c r="G236" s="7">
        <v>106230060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104293488</v>
      </c>
      <c r="O236" s="7">
        <v>106230060</v>
      </c>
      <c r="P236" s="8">
        <v>1.86</v>
      </c>
      <c r="Q236" s="7">
        <v>2370670</v>
      </c>
      <c r="R236" s="7">
        <v>2803030</v>
      </c>
      <c r="S236" s="7">
        <v>101922818</v>
      </c>
      <c r="T236" s="7">
        <v>103427030</v>
      </c>
      <c r="U236" s="7">
        <v>101922818</v>
      </c>
      <c r="V236" s="7">
        <v>103427030</v>
      </c>
      <c r="W236" s="7">
        <v>0</v>
      </c>
      <c r="X236" s="7">
        <v>0</v>
      </c>
      <c r="Y236" s="7">
        <v>10957</v>
      </c>
      <c r="Z236" s="7">
        <v>10505</v>
      </c>
      <c r="AA236" s="8">
        <v>-4.13</v>
      </c>
      <c r="AB236" s="7">
        <v>18909993</v>
      </c>
      <c r="AC236" s="7">
        <v>19084993</v>
      </c>
      <c r="AD236" s="7">
        <v>6000000</v>
      </c>
      <c r="AE236" s="7">
        <v>6743718</v>
      </c>
      <c r="AF236" s="7">
        <v>8969192</v>
      </c>
      <c r="AG236" s="7">
        <v>8263341</v>
      </c>
      <c r="AH236" s="8">
        <v>3.98</v>
      </c>
      <c r="AI236" s="8">
        <v>3.63</v>
      </c>
    </row>
    <row r="237" spans="1:35" x14ac:dyDescent="0.25">
      <c r="A237" s="6" t="str">
        <f>"010701"</f>
        <v>010701</v>
      </c>
      <c r="B237" s="6" t="s">
        <v>272</v>
      </c>
      <c r="C237" s="7">
        <v>7107803</v>
      </c>
      <c r="D237" s="7">
        <v>7292926</v>
      </c>
      <c r="E237" s="8">
        <v>2.6</v>
      </c>
      <c r="F237" s="7">
        <v>3107939</v>
      </c>
      <c r="G237" s="7">
        <v>3208848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3107939</v>
      </c>
      <c r="O237" s="7">
        <v>3208848</v>
      </c>
      <c r="P237" s="8">
        <v>3.25</v>
      </c>
      <c r="Q237" s="7">
        <v>99369</v>
      </c>
      <c r="R237" s="7">
        <v>146245</v>
      </c>
      <c r="S237" s="7">
        <v>3130166</v>
      </c>
      <c r="T237" s="7">
        <v>3208848</v>
      </c>
      <c r="U237" s="7">
        <v>3008570</v>
      </c>
      <c r="V237" s="7">
        <v>3062603</v>
      </c>
      <c r="W237" s="7">
        <v>121596</v>
      </c>
      <c r="X237" s="7">
        <v>146245</v>
      </c>
      <c r="Y237" s="7">
        <v>323</v>
      </c>
      <c r="Z237" s="7">
        <v>324</v>
      </c>
      <c r="AA237" s="8">
        <v>0.31</v>
      </c>
      <c r="AB237" s="7">
        <v>477315</v>
      </c>
      <c r="AC237" s="7">
        <v>537500</v>
      </c>
      <c r="AD237" s="7">
        <v>162799</v>
      </c>
      <c r="AE237" s="7">
        <v>194608</v>
      </c>
      <c r="AF237" s="7">
        <v>254072</v>
      </c>
      <c r="AG237" s="7">
        <v>287500</v>
      </c>
      <c r="AH237" s="8">
        <v>3.57</v>
      </c>
      <c r="AI237" s="8">
        <v>3.94</v>
      </c>
    </row>
    <row r="238" spans="1:35" x14ac:dyDescent="0.25">
      <c r="A238" s="6" t="str">
        <f>"660407"</f>
        <v>660407</v>
      </c>
      <c r="B238" s="6" t="s">
        <v>273</v>
      </c>
      <c r="C238" s="7">
        <v>65642283</v>
      </c>
      <c r="D238" s="7">
        <v>66689145</v>
      </c>
      <c r="E238" s="8">
        <v>1.59</v>
      </c>
      <c r="F238" s="7">
        <v>56739320</v>
      </c>
      <c r="G238" s="7">
        <v>57717825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56739320</v>
      </c>
      <c r="O238" s="7">
        <v>57717825</v>
      </c>
      <c r="P238" s="8">
        <v>1.72</v>
      </c>
      <c r="Q238" s="7">
        <v>402097</v>
      </c>
      <c r="R238" s="7">
        <v>340101</v>
      </c>
      <c r="S238" s="7">
        <v>56338923</v>
      </c>
      <c r="T238" s="7">
        <v>57377753</v>
      </c>
      <c r="U238" s="7">
        <v>56337223</v>
      </c>
      <c r="V238" s="7">
        <v>57377724</v>
      </c>
      <c r="W238" s="7">
        <v>1700</v>
      </c>
      <c r="X238" s="7">
        <v>29</v>
      </c>
      <c r="Y238" s="7">
        <v>1742</v>
      </c>
      <c r="Z238" s="7">
        <v>1756</v>
      </c>
      <c r="AA238" s="8">
        <v>0.8</v>
      </c>
      <c r="AB238" s="7">
        <v>9550827</v>
      </c>
      <c r="AC238" s="7">
        <v>9250000</v>
      </c>
      <c r="AD238" s="7">
        <v>1000000</v>
      </c>
      <c r="AE238" s="7">
        <v>1000000</v>
      </c>
      <c r="AF238" s="7">
        <v>2625691</v>
      </c>
      <c r="AG238" s="7">
        <v>2667000</v>
      </c>
      <c r="AH238" s="8">
        <v>4</v>
      </c>
      <c r="AI238" s="8">
        <v>4</v>
      </c>
    </row>
    <row r="239" spans="1:35" x14ac:dyDescent="0.25">
      <c r="A239" s="6" t="str">
        <f>"080601"</f>
        <v>080601</v>
      </c>
      <c r="B239" s="6" t="s">
        <v>274</v>
      </c>
      <c r="C239" s="7">
        <v>25417832</v>
      </c>
      <c r="D239" s="7">
        <v>26168454</v>
      </c>
      <c r="E239" s="8">
        <v>2.95</v>
      </c>
      <c r="F239" s="7">
        <v>6690500</v>
      </c>
      <c r="G239" s="7">
        <v>6775660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6690500</v>
      </c>
      <c r="O239" s="7">
        <v>6775660</v>
      </c>
      <c r="P239" s="8">
        <v>1.27</v>
      </c>
      <c r="Q239" s="7">
        <v>646145</v>
      </c>
      <c r="R239" s="7">
        <v>649001</v>
      </c>
      <c r="S239" s="7">
        <v>6044383</v>
      </c>
      <c r="T239" s="7">
        <v>6126659</v>
      </c>
      <c r="U239" s="7">
        <v>6044355</v>
      </c>
      <c r="V239" s="7">
        <v>6126659</v>
      </c>
      <c r="W239" s="7">
        <v>28</v>
      </c>
      <c r="X239" s="7">
        <v>0</v>
      </c>
      <c r="Y239" s="7">
        <v>1000</v>
      </c>
      <c r="Z239" s="7">
        <v>1000</v>
      </c>
      <c r="AA239" s="8">
        <v>0</v>
      </c>
      <c r="AB239" s="7">
        <v>3779490</v>
      </c>
      <c r="AC239" s="7">
        <v>3917919</v>
      </c>
      <c r="AD239" s="7">
        <v>513200</v>
      </c>
      <c r="AE239" s="7">
        <v>513200</v>
      </c>
      <c r="AF239" s="7">
        <v>1016713</v>
      </c>
      <c r="AG239" s="7">
        <v>1046738</v>
      </c>
      <c r="AH239" s="8">
        <v>4</v>
      </c>
      <c r="AI239" s="8">
        <v>4</v>
      </c>
    </row>
    <row r="240" spans="1:35" x14ac:dyDescent="0.25">
      <c r="A240" s="6" t="str">
        <f>"581010"</f>
        <v>581010</v>
      </c>
      <c r="B240" s="6" t="s">
        <v>275</v>
      </c>
      <c r="C240" s="7">
        <v>17930820</v>
      </c>
      <c r="D240" s="7">
        <v>18365500</v>
      </c>
      <c r="E240" s="8">
        <v>2.42</v>
      </c>
      <c r="F240" s="7">
        <v>13780531</v>
      </c>
      <c r="G240" s="7">
        <v>14304000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13780531</v>
      </c>
      <c r="O240" s="7">
        <v>14304000</v>
      </c>
      <c r="P240" s="8">
        <v>3.8</v>
      </c>
      <c r="Q240" s="7">
        <v>660379</v>
      </c>
      <c r="R240" s="7">
        <v>637082</v>
      </c>
      <c r="S240" s="7">
        <v>12136440</v>
      </c>
      <c r="T240" s="7">
        <v>13667810</v>
      </c>
      <c r="U240" s="7">
        <v>13120152</v>
      </c>
      <c r="V240" s="7">
        <v>13666918</v>
      </c>
      <c r="W240" s="7">
        <v>-983712</v>
      </c>
      <c r="X240" s="7">
        <v>892</v>
      </c>
      <c r="Y240" s="7">
        <v>641</v>
      </c>
      <c r="Z240" s="7">
        <v>641</v>
      </c>
      <c r="AA240" s="8">
        <v>0</v>
      </c>
      <c r="AB240" s="7">
        <v>3253863</v>
      </c>
      <c r="AC240" s="7">
        <v>3653863</v>
      </c>
      <c r="AD240" s="7">
        <v>580485</v>
      </c>
      <c r="AE240" s="7">
        <v>480500</v>
      </c>
      <c r="AF240" s="7">
        <v>709203</v>
      </c>
      <c r="AG240" s="7">
        <v>730000</v>
      </c>
      <c r="AH240" s="8">
        <v>3.96</v>
      </c>
      <c r="AI240" s="8">
        <v>3.97</v>
      </c>
    </row>
    <row r="241" spans="1:35" x14ac:dyDescent="0.25">
      <c r="A241" s="6" t="str">
        <f>"190701"</f>
        <v>190701</v>
      </c>
      <c r="B241" s="6" t="s">
        <v>276</v>
      </c>
      <c r="C241" s="7">
        <v>29456479</v>
      </c>
      <c r="D241" s="7">
        <v>29809355</v>
      </c>
      <c r="E241" s="8">
        <v>1.2</v>
      </c>
      <c r="F241" s="7">
        <v>16280256</v>
      </c>
      <c r="G241" s="7">
        <v>16543789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16280256</v>
      </c>
      <c r="O241" s="7">
        <v>16543789</v>
      </c>
      <c r="P241" s="8">
        <v>1.62</v>
      </c>
      <c r="Q241" s="7">
        <v>591709</v>
      </c>
      <c r="R241" s="7">
        <v>586679</v>
      </c>
      <c r="S241" s="7">
        <v>15688547</v>
      </c>
      <c r="T241" s="7">
        <v>15957110</v>
      </c>
      <c r="U241" s="7">
        <v>15688547</v>
      </c>
      <c r="V241" s="7">
        <v>15957110</v>
      </c>
      <c r="W241" s="7">
        <v>0</v>
      </c>
      <c r="X241" s="7">
        <v>0</v>
      </c>
      <c r="Y241" s="7">
        <v>1170</v>
      </c>
      <c r="Z241" s="7">
        <v>1160</v>
      </c>
      <c r="AA241" s="8">
        <v>-0.85</v>
      </c>
      <c r="AB241" s="7">
        <v>1370606</v>
      </c>
      <c r="AC241" s="7">
        <v>847126</v>
      </c>
      <c r="AD241" s="7">
        <v>912737</v>
      </c>
      <c r="AE241" s="7">
        <v>779978</v>
      </c>
      <c r="AF241" s="7">
        <v>1177351</v>
      </c>
      <c r="AG241" s="7">
        <v>1191000</v>
      </c>
      <c r="AH241" s="8">
        <v>4</v>
      </c>
      <c r="AI241" s="8">
        <v>4</v>
      </c>
    </row>
    <row r="242" spans="1:35" x14ac:dyDescent="0.25">
      <c r="A242" s="6" t="str">
        <f>"640801"</f>
        <v>640801</v>
      </c>
      <c r="B242" s="6" t="s">
        <v>277</v>
      </c>
      <c r="C242" s="7">
        <v>20375960</v>
      </c>
      <c r="D242" s="7">
        <v>20930570</v>
      </c>
      <c r="E242" s="8">
        <v>2.72</v>
      </c>
      <c r="F242" s="7">
        <v>10450669</v>
      </c>
      <c r="G242" s="7">
        <v>10670541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10450669</v>
      </c>
      <c r="O242" s="7">
        <v>10670541</v>
      </c>
      <c r="P242" s="8">
        <v>2.1</v>
      </c>
      <c r="Q242" s="7">
        <v>349149</v>
      </c>
      <c r="R242" s="7">
        <v>368572</v>
      </c>
      <c r="S242" s="7">
        <v>10101520</v>
      </c>
      <c r="T242" s="7">
        <v>10301969</v>
      </c>
      <c r="U242" s="7">
        <v>10101520</v>
      </c>
      <c r="V242" s="7">
        <v>10301969</v>
      </c>
      <c r="W242" s="7">
        <v>0</v>
      </c>
      <c r="X242" s="7">
        <v>0</v>
      </c>
      <c r="Y242" s="7">
        <v>1043</v>
      </c>
      <c r="Z242" s="7">
        <v>1035</v>
      </c>
      <c r="AA242" s="8">
        <v>-0.77</v>
      </c>
      <c r="AB242" s="7">
        <v>105295</v>
      </c>
      <c r="AC242" s="7">
        <v>99295</v>
      </c>
      <c r="AD242" s="7">
        <v>223264</v>
      </c>
      <c r="AE242" s="7">
        <v>156199</v>
      </c>
      <c r="AF242" s="7">
        <v>616073</v>
      </c>
      <c r="AG242" s="7">
        <v>600504</v>
      </c>
      <c r="AH242" s="8">
        <v>3.02</v>
      </c>
      <c r="AI242" s="8">
        <v>2.87</v>
      </c>
    </row>
    <row r="243" spans="1:35" x14ac:dyDescent="0.25">
      <c r="A243" s="6" t="str">
        <f>"442111"</f>
        <v>442111</v>
      </c>
      <c r="B243" s="6" t="s">
        <v>278</v>
      </c>
      <c r="C243" s="7">
        <v>25445315</v>
      </c>
      <c r="D243" s="7">
        <v>25693920</v>
      </c>
      <c r="E243" s="8">
        <v>0.98</v>
      </c>
      <c r="F243" s="7">
        <v>16210232</v>
      </c>
      <c r="G243" s="7">
        <v>16246256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16210232</v>
      </c>
      <c r="O243" s="7">
        <v>16246256</v>
      </c>
      <c r="P243" s="8">
        <v>0.22</v>
      </c>
      <c r="Q243" s="7">
        <v>186542</v>
      </c>
      <c r="R243" s="7">
        <v>0</v>
      </c>
      <c r="S243" s="7">
        <v>16023690</v>
      </c>
      <c r="T243" s="7">
        <v>16246256</v>
      </c>
      <c r="U243" s="7">
        <v>16023690</v>
      </c>
      <c r="V243" s="7">
        <v>16246256</v>
      </c>
      <c r="W243" s="7">
        <v>0</v>
      </c>
      <c r="X243" s="7">
        <v>0</v>
      </c>
      <c r="Y243" s="7">
        <v>866</v>
      </c>
      <c r="Z243" s="7">
        <v>841</v>
      </c>
      <c r="AA243" s="8">
        <v>-2.89</v>
      </c>
      <c r="AB243" s="7">
        <v>8809709</v>
      </c>
      <c r="AC243" s="7">
        <v>7229587</v>
      </c>
      <c r="AD243" s="7">
        <v>1971411</v>
      </c>
      <c r="AE243" s="7">
        <v>1971411</v>
      </c>
      <c r="AF243" s="7">
        <v>1017813</v>
      </c>
      <c r="AG243" s="7">
        <v>1027757</v>
      </c>
      <c r="AH243" s="8">
        <v>4</v>
      </c>
      <c r="AI243" s="8">
        <v>4</v>
      </c>
    </row>
    <row r="244" spans="1:35" x14ac:dyDescent="0.25">
      <c r="A244" s="6" t="str">
        <f>"610501"</f>
        <v>610501</v>
      </c>
      <c r="B244" s="6" t="s">
        <v>279</v>
      </c>
      <c r="C244" s="7">
        <v>19077383</v>
      </c>
      <c r="D244" s="7">
        <v>19628825</v>
      </c>
      <c r="E244" s="8">
        <v>2.89</v>
      </c>
      <c r="F244" s="7">
        <v>5999712</v>
      </c>
      <c r="G244" s="7">
        <v>5999712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5999712</v>
      </c>
      <c r="O244" s="7">
        <v>5999712</v>
      </c>
      <c r="P244" s="8">
        <v>0</v>
      </c>
      <c r="Q244" s="7">
        <v>33892</v>
      </c>
      <c r="R244" s="7">
        <v>0</v>
      </c>
      <c r="S244" s="7">
        <v>5998248</v>
      </c>
      <c r="T244" s="7">
        <v>6123196</v>
      </c>
      <c r="U244" s="7">
        <v>5965820</v>
      </c>
      <c r="V244" s="7">
        <v>5999712</v>
      </c>
      <c r="W244" s="7">
        <v>32428</v>
      </c>
      <c r="X244" s="7">
        <v>123484</v>
      </c>
      <c r="Y244" s="7">
        <v>794</v>
      </c>
      <c r="Z244" s="7">
        <v>794</v>
      </c>
      <c r="AA244" s="8">
        <v>0</v>
      </c>
      <c r="AB244" s="7">
        <v>3965564</v>
      </c>
      <c r="AC244" s="7">
        <v>3965564</v>
      </c>
      <c r="AD244" s="7">
        <v>803788</v>
      </c>
      <c r="AE244" s="7">
        <v>800000</v>
      </c>
      <c r="AF244" s="7">
        <v>2968444</v>
      </c>
      <c r="AG244" s="7">
        <v>1268444</v>
      </c>
      <c r="AH244" s="8">
        <v>15.56</v>
      </c>
      <c r="AI244" s="8">
        <v>6.46</v>
      </c>
    </row>
    <row r="245" spans="1:35" x14ac:dyDescent="0.25">
      <c r="A245" s="6" t="str">
        <f>"010802"</f>
        <v>010802</v>
      </c>
      <c r="B245" s="6" t="s">
        <v>280</v>
      </c>
      <c r="C245" s="7">
        <v>96590045</v>
      </c>
      <c r="D245" s="7">
        <v>98484110</v>
      </c>
      <c r="E245" s="8">
        <v>1.96</v>
      </c>
      <c r="F245" s="7">
        <v>69561435</v>
      </c>
      <c r="G245" s="7">
        <v>71031397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69561435</v>
      </c>
      <c r="O245" s="7">
        <v>71031397</v>
      </c>
      <c r="P245" s="8">
        <v>2.11</v>
      </c>
      <c r="Q245" s="7">
        <v>2245131</v>
      </c>
      <c r="R245" s="7">
        <v>2468201</v>
      </c>
      <c r="S245" s="7">
        <v>67325409</v>
      </c>
      <c r="T245" s="7">
        <v>68563196</v>
      </c>
      <c r="U245" s="7">
        <v>67316304</v>
      </c>
      <c r="V245" s="7">
        <v>68563196</v>
      </c>
      <c r="W245" s="7">
        <v>9105</v>
      </c>
      <c r="X245" s="7">
        <v>0</v>
      </c>
      <c r="Y245" s="7">
        <v>4901</v>
      </c>
      <c r="Z245" s="7">
        <v>4893</v>
      </c>
      <c r="AA245" s="8">
        <v>-0.16</v>
      </c>
      <c r="AB245" s="7">
        <v>5616816</v>
      </c>
      <c r="AC245" s="7">
        <v>7267610</v>
      </c>
      <c r="AD245" s="7">
        <v>300000</v>
      </c>
      <c r="AE245" s="7">
        <v>300000</v>
      </c>
      <c r="AF245" s="7">
        <v>3862932</v>
      </c>
      <c r="AG245" s="7">
        <v>3926937</v>
      </c>
      <c r="AH245" s="8">
        <v>4</v>
      </c>
      <c r="AI245" s="8">
        <v>3.99</v>
      </c>
    </row>
    <row r="246" spans="1:35" x14ac:dyDescent="0.25">
      <c r="A246" s="6" t="str">
        <f>"630801"</f>
        <v>630801</v>
      </c>
      <c r="B246" s="6" t="s">
        <v>281</v>
      </c>
      <c r="C246" s="7">
        <v>20460943</v>
      </c>
      <c r="D246" s="7">
        <v>20896487</v>
      </c>
      <c r="E246" s="8">
        <v>2.13</v>
      </c>
      <c r="F246" s="7">
        <v>10695703</v>
      </c>
      <c r="G246" s="7">
        <v>10872182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10695703</v>
      </c>
      <c r="O246" s="7">
        <v>10872182</v>
      </c>
      <c r="P246" s="8">
        <v>1.65</v>
      </c>
      <c r="Q246" s="7">
        <v>572054</v>
      </c>
      <c r="R246" s="7">
        <v>575065</v>
      </c>
      <c r="S246" s="7">
        <v>10123649</v>
      </c>
      <c r="T246" s="7">
        <v>10297117</v>
      </c>
      <c r="U246" s="7">
        <v>10123649</v>
      </c>
      <c r="V246" s="7">
        <v>10297117</v>
      </c>
      <c r="W246" s="7">
        <v>0</v>
      </c>
      <c r="X246" s="7">
        <v>0</v>
      </c>
      <c r="Y246" s="7">
        <v>730</v>
      </c>
      <c r="Z246" s="7">
        <v>738</v>
      </c>
      <c r="AA246" s="8">
        <v>1.1000000000000001</v>
      </c>
      <c r="AB246" s="7">
        <v>2172978</v>
      </c>
      <c r="AC246" s="7">
        <v>2937978</v>
      </c>
      <c r="AD246" s="7">
        <v>1062789</v>
      </c>
      <c r="AE246" s="7">
        <v>1050000</v>
      </c>
      <c r="AF246" s="7">
        <v>1329981</v>
      </c>
      <c r="AG246" s="7">
        <v>1449981</v>
      </c>
      <c r="AH246" s="8">
        <v>6.5</v>
      </c>
      <c r="AI246" s="8">
        <v>6.94</v>
      </c>
    </row>
    <row r="247" spans="1:35" x14ac:dyDescent="0.25">
      <c r="A247" s="6" t="str">
        <f>"480401"</f>
        <v>480401</v>
      </c>
      <c r="B247" s="6" t="s">
        <v>282</v>
      </c>
      <c r="C247" s="7">
        <v>23098874</v>
      </c>
      <c r="D247" s="7">
        <v>23518765</v>
      </c>
      <c r="E247" s="8">
        <v>1.82</v>
      </c>
      <c r="F247" s="7">
        <v>18539056</v>
      </c>
      <c r="G247" s="7">
        <v>18952594</v>
      </c>
      <c r="H247" s="7">
        <v>73150</v>
      </c>
      <c r="I247" s="7">
        <v>73150</v>
      </c>
      <c r="J247" s="7">
        <v>0</v>
      </c>
      <c r="K247" s="7">
        <v>0</v>
      </c>
      <c r="L247" s="7">
        <v>0</v>
      </c>
      <c r="M247" s="7">
        <v>0</v>
      </c>
      <c r="N247" s="7">
        <v>18612206</v>
      </c>
      <c r="O247" s="7">
        <v>19025744</v>
      </c>
      <c r="P247" s="8">
        <v>2.2200000000000002</v>
      </c>
      <c r="Q247" s="7">
        <v>729831</v>
      </c>
      <c r="R247" s="7">
        <v>810091</v>
      </c>
      <c r="S247" s="7">
        <v>17816908</v>
      </c>
      <c r="T247" s="7">
        <v>18142503</v>
      </c>
      <c r="U247" s="7">
        <v>17809225</v>
      </c>
      <c r="V247" s="7">
        <v>18142503</v>
      </c>
      <c r="W247" s="7">
        <v>7683</v>
      </c>
      <c r="X247" s="7">
        <v>0</v>
      </c>
      <c r="Y247" s="7">
        <v>820</v>
      </c>
      <c r="Z247" s="7">
        <v>824</v>
      </c>
      <c r="AA247" s="8">
        <v>0.49</v>
      </c>
      <c r="AB247" s="7">
        <v>1596607</v>
      </c>
      <c r="AC247" s="7">
        <v>1351607</v>
      </c>
      <c r="AD247" s="7">
        <v>645000</v>
      </c>
      <c r="AE247" s="7">
        <v>645000</v>
      </c>
      <c r="AF247" s="7">
        <v>922267</v>
      </c>
      <c r="AG247" s="7">
        <v>928990</v>
      </c>
      <c r="AH247" s="8">
        <v>3.99</v>
      </c>
      <c r="AI247" s="8">
        <v>3.95</v>
      </c>
    </row>
    <row r="248" spans="1:35" x14ac:dyDescent="0.25">
      <c r="A248" s="6" t="str">
        <f>"580405"</f>
        <v>580405</v>
      </c>
      <c r="B248" s="6" t="s">
        <v>283</v>
      </c>
      <c r="C248" s="7">
        <v>241298734</v>
      </c>
      <c r="D248" s="7">
        <v>248047565</v>
      </c>
      <c r="E248" s="8">
        <v>2.8</v>
      </c>
      <c r="F248" s="7">
        <v>195722436</v>
      </c>
      <c r="G248" s="7">
        <v>199504372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195722436</v>
      </c>
      <c r="O248" s="7">
        <v>199504372</v>
      </c>
      <c r="P248" s="8">
        <v>1.93</v>
      </c>
      <c r="Q248" s="7">
        <v>5963403</v>
      </c>
      <c r="R248" s="7">
        <v>7009843</v>
      </c>
      <c r="S248" s="7">
        <v>189759033</v>
      </c>
      <c r="T248" s="7">
        <v>192494529</v>
      </c>
      <c r="U248" s="7">
        <v>189759033</v>
      </c>
      <c r="V248" s="7">
        <v>192494529</v>
      </c>
      <c r="W248" s="7">
        <v>0</v>
      </c>
      <c r="X248" s="7">
        <v>0</v>
      </c>
      <c r="Y248" s="7">
        <v>8355</v>
      </c>
      <c r="Z248" s="7">
        <v>7852</v>
      </c>
      <c r="AA248" s="8">
        <v>-6.02</v>
      </c>
      <c r="AB248" s="7">
        <v>30088045</v>
      </c>
      <c r="AC248" s="7">
        <v>22358179</v>
      </c>
      <c r="AD248" s="7">
        <v>2500000</v>
      </c>
      <c r="AE248" s="7">
        <v>2500000</v>
      </c>
      <c r="AF248" s="7">
        <v>9651946</v>
      </c>
      <c r="AG248" s="7">
        <v>9921903</v>
      </c>
      <c r="AH248" s="8">
        <v>4</v>
      </c>
      <c r="AI248" s="8">
        <v>4</v>
      </c>
    </row>
    <row r="249" spans="1:35" x14ac:dyDescent="0.25">
      <c r="A249" s="6" t="str">
        <f>"141601"</f>
        <v>141601</v>
      </c>
      <c r="B249" s="6" t="s">
        <v>284</v>
      </c>
      <c r="C249" s="7">
        <v>66006811</v>
      </c>
      <c r="D249" s="7">
        <v>67795500</v>
      </c>
      <c r="E249" s="8">
        <v>2.71</v>
      </c>
      <c r="F249" s="7">
        <v>35324513</v>
      </c>
      <c r="G249" s="7">
        <v>34946164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35324513</v>
      </c>
      <c r="O249" s="7">
        <v>34946164</v>
      </c>
      <c r="P249" s="8">
        <v>-1.07</v>
      </c>
      <c r="Q249" s="7">
        <v>1533858</v>
      </c>
      <c r="R249" s="7">
        <v>576033</v>
      </c>
      <c r="S249" s="7">
        <v>33790655</v>
      </c>
      <c r="T249" s="7">
        <v>34370131</v>
      </c>
      <c r="U249" s="7">
        <v>33790655</v>
      </c>
      <c r="V249" s="7">
        <v>34370131</v>
      </c>
      <c r="W249" s="7">
        <v>0</v>
      </c>
      <c r="X249" s="7">
        <v>0</v>
      </c>
      <c r="Y249" s="7">
        <v>3527</v>
      </c>
      <c r="Z249" s="7">
        <v>3557</v>
      </c>
      <c r="AA249" s="8">
        <v>0.85</v>
      </c>
      <c r="AB249" s="7">
        <v>844017</v>
      </c>
      <c r="AC249" s="7">
        <v>845705</v>
      </c>
      <c r="AD249" s="7">
        <v>1725000</v>
      </c>
      <c r="AE249" s="7">
        <v>1725000</v>
      </c>
      <c r="AF249" s="7">
        <v>2622514</v>
      </c>
      <c r="AG249" s="7">
        <v>2711820</v>
      </c>
      <c r="AH249" s="8">
        <v>3.97</v>
      </c>
      <c r="AI249" s="8">
        <v>4</v>
      </c>
    </row>
    <row r="250" spans="1:35" x14ac:dyDescent="0.25">
      <c r="A250" s="6" t="str">
        <f>"250701"</f>
        <v>250701</v>
      </c>
      <c r="B250" s="6" t="s">
        <v>285</v>
      </c>
      <c r="C250" s="7">
        <v>12286461</v>
      </c>
      <c r="D250" s="7">
        <v>12581922</v>
      </c>
      <c r="E250" s="8">
        <v>2.4</v>
      </c>
      <c r="F250" s="7">
        <v>7054117</v>
      </c>
      <c r="G250" s="7">
        <v>7124209</v>
      </c>
      <c r="H250" s="7">
        <v>121532</v>
      </c>
      <c r="I250" s="7">
        <v>126224</v>
      </c>
      <c r="J250" s="7">
        <v>0</v>
      </c>
      <c r="K250" s="7">
        <v>0</v>
      </c>
      <c r="L250" s="7">
        <v>0</v>
      </c>
      <c r="M250" s="7">
        <v>0</v>
      </c>
      <c r="N250" s="7">
        <v>7175649</v>
      </c>
      <c r="O250" s="7">
        <v>7250433</v>
      </c>
      <c r="P250" s="8">
        <v>1.04</v>
      </c>
      <c r="Q250" s="7">
        <v>245695</v>
      </c>
      <c r="R250" s="7">
        <v>228614</v>
      </c>
      <c r="S250" s="7">
        <v>6808422</v>
      </c>
      <c r="T250" s="7">
        <v>6931495</v>
      </c>
      <c r="U250" s="7">
        <v>6808422</v>
      </c>
      <c r="V250" s="7">
        <v>6895595</v>
      </c>
      <c r="W250" s="7">
        <v>0</v>
      </c>
      <c r="X250" s="7">
        <v>35900</v>
      </c>
      <c r="Y250" s="7">
        <v>526</v>
      </c>
      <c r="Z250" s="7">
        <v>530</v>
      </c>
      <c r="AA250" s="8">
        <v>0.76</v>
      </c>
      <c r="AB250" s="7">
        <v>1449242</v>
      </c>
      <c r="AC250" s="7">
        <v>1499242</v>
      </c>
      <c r="AD250" s="7">
        <v>130000</v>
      </c>
      <c r="AE250" s="7">
        <v>130000</v>
      </c>
      <c r="AF250" s="7">
        <v>464674</v>
      </c>
      <c r="AG250" s="7">
        <v>496986</v>
      </c>
      <c r="AH250" s="8">
        <v>3.78</v>
      </c>
      <c r="AI250" s="8">
        <v>3.95</v>
      </c>
    </row>
    <row r="251" spans="1:35" x14ac:dyDescent="0.25">
      <c r="A251" s="6" t="str">
        <f>"511201"</f>
        <v>511201</v>
      </c>
      <c r="B251" s="6" t="s">
        <v>286</v>
      </c>
      <c r="C251" s="7">
        <v>7517613</v>
      </c>
      <c r="D251" s="7">
        <v>7665488</v>
      </c>
      <c r="E251" s="8">
        <v>1.97</v>
      </c>
      <c r="F251" s="7">
        <v>3363966</v>
      </c>
      <c r="G251" s="7">
        <v>3431573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3363966</v>
      </c>
      <c r="O251" s="7">
        <v>3431573</v>
      </c>
      <c r="P251" s="8">
        <v>2.0099999999999998</v>
      </c>
      <c r="Q251" s="7">
        <v>0</v>
      </c>
      <c r="R251" s="7">
        <v>0</v>
      </c>
      <c r="S251" s="7">
        <v>3363966</v>
      </c>
      <c r="T251" s="7">
        <v>3431573</v>
      </c>
      <c r="U251" s="7">
        <v>3363966</v>
      </c>
      <c r="V251" s="7">
        <v>3431573</v>
      </c>
      <c r="W251" s="7">
        <v>0</v>
      </c>
      <c r="X251" s="7">
        <v>0</v>
      </c>
      <c r="Y251" s="7">
        <v>290</v>
      </c>
      <c r="Z251" s="7">
        <v>290</v>
      </c>
      <c r="AA251" s="8">
        <v>0</v>
      </c>
      <c r="AB251" s="7">
        <v>2275143</v>
      </c>
      <c r="AC251" s="7">
        <v>1900973</v>
      </c>
      <c r="AD251" s="7">
        <v>374170</v>
      </c>
      <c r="AE251" s="7">
        <v>509681</v>
      </c>
      <c r="AF251" s="7">
        <v>528269</v>
      </c>
      <c r="AG251" s="7">
        <v>325000</v>
      </c>
      <c r="AH251" s="8">
        <v>7.03</v>
      </c>
      <c r="AI251" s="8">
        <v>4.24</v>
      </c>
    </row>
    <row r="252" spans="1:35" x14ac:dyDescent="0.25">
      <c r="A252" s="6" t="str">
        <f>"572901"</f>
        <v>572901</v>
      </c>
      <c r="B252" s="6" t="s">
        <v>287</v>
      </c>
      <c r="C252" s="7">
        <v>13676588</v>
      </c>
      <c r="D252" s="7">
        <v>13996689</v>
      </c>
      <c r="E252" s="8">
        <v>2.34</v>
      </c>
      <c r="F252" s="7">
        <v>8325962</v>
      </c>
      <c r="G252" s="7">
        <v>8459688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8325962</v>
      </c>
      <c r="O252" s="7">
        <v>8459688</v>
      </c>
      <c r="P252" s="8">
        <v>1.61</v>
      </c>
      <c r="Q252" s="7">
        <v>445744</v>
      </c>
      <c r="R252" s="7">
        <v>458609</v>
      </c>
      <c r="S252" s="7">
        <v>7904188</v>
      </c>
      <c r="T252" s="7">
        <v>8026558</v>
      </c>
      <c r="U252" s="7">
        <v>7880218</v>
      </c>
      <c r="V252" s="7">
        <v>8001079</v>
      </c>
      <c r="W252" s="7">
        <v>23970</v>
      </c>
      <c r="X252" s="7">
        <v>25479</v>
      </c>
      <c r="Y252" s="7">
        <v>480</v>
      </c>
      <c r="Z252" s="7">
        <v>470</v>
      </c>
      <c r="AA252" s="8">
        <v>-2.08</v>
      </c>
      <c r="AB252" s="7">
        <v>4448274</v>
      </c>
      <c r="AC252" s="7">
        <v>4978466</v>
      </c>
      <c r="AD252" s="7">
        <v>350000</v>
      </c>
      <c r="AE252" s="7">
        <v>454000</v>
      </c>
      <c r="AF252" s="7">
        <v>681632</v>
      </c>
      <c r="AG252" s="7">
        <v>527570</v>
      </c>
      <c r="AH252" s="8">
        <v>4.9800000000000004</v>
      </c>
      <c r="AI252" s="8">
        <v>3.77</v>
      </c>
    </row>
    <row r="253" spans="1:35" x14ac:dyDescent="0.25">
      <c r="A253" s="6" t="str">
        <f>"580905"</f>
        <v>580905</v>
      </c>
      <c r="B253" s="6" t="s">
        <v>288</v>
      </c>
      <c r="C253" s="7">
        <v>49951477</v>
      </c>
      <c r="D253" s="7">
        <v>50833896</v>
      </c>
      <c r="E253" s="8">
        <v>1.77</v>
      </c>
      <c r="F253" s="7">
        <v>44184331</v>
      </c>
      <c r="G253" s="7">
        <v>44856299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44184331</v>
      </c>
      <c r="O253" s="7">
        <v>44856299</v>
      </c>
      <c r="P253" s="8">
        <v>1.52</v>
      </c>
      <c r="Q253" s="7">
        <v>3930642</v>
      </c>
      <c r="R253" s="7">
        <v>3999047</v>
      </c>
      <c r="S253" s="7">
        <v>40253689</v>
      </c>
      <c r="T253" s="7">
        <v>40857252</v>
      </c>
      <c r="U253" s="7">
        <v>40253689</v>
      </c>
      <c r="V253" s="7">
        <v>40857252</v>
      </c>
      <c r="W253" s="7">
        <v>0</v>
      </c>
      <c r="X253" s="7">
        <v>0</v>
      </c>
      <c r="Y253" s="7">
        <v>2086</v>
      </c>
      <c r="Z253" s="7">
        <v>2099</v>
      </c>
      <c r="AA253" s="8">
        <v>0.62</v>
      </c>
      <c r="AB253" s="7">
        <v>6218430</v>
      </c>
      <c r="AC253" s="7">
        <v>6250000</v>
      </c>
      <c r="AD253" s="7">
        <v>131320</v>
      </c>
      <c r="AE253" s="7">
        <v>95000</v>
      </c>
      <c r="AF253" s="7">
        <v>1998060</v>
      </c>
      <c r="AG253" s="7">
        <v>2033355</v>
      </c>
      <c r="AH253" s="8">
        <v>4</v>
      </c>
      <c r="AI253" s="8">
        <v>4</v>
      </c>
    </row>
    <row r="254" spans="1:35" x14ac:dyDescent="0.25">
      <c r="A254" s="6" t="str">
        <f>"120906"</f>
        <v>120906</v>
      </c>
      <c r="B254" s="6" t="s">
        <v>289</v>
      </c>
      <c r="C254" s="7">
        <v>10684945</v>
      </c>
      <c r="D254" s="7">
        <v>11161753</v>
      </c>
      <c r="E254" s="8">
        <v>4.46</v>
      </c>
      <c r="F254" s="7">
        <v>3862113</v>
      </c>
      <c r="G254" s="7">
        <v>3910493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3862113</v>
      </c>
      <c r="O254" s="7">
        <v>3910493</v>
      </c>
      <c r="P254" s="8">
        <v>1.25</v>
      </c>
      <c r="Q254" s="7">
        <v>196348</v>
      </c>
      <c r="R254" s="7">
        <v>202539</v>
      </c>
      <c r="S254" s="7">
        <v>3804791</v>
      </c>
      <c r="T254" s="7">
        <v>3939356</v>
      </c>
      <c r="U254" s="7">
        <v>3665765</v>
      </c>
      <c r="V254" s="7">
        <v>3707954</v>
      </c>
      <c r="W254" s="7">
        <v>139026</v>
      </c>
      <c r="X254" s="7">
        <v>231402</v>
      </c>
      <c r="Y254" s="7">
        <v>367</v>
      </c>
      <c r="Z254" s="7">
        <v>354</v>
      </c>
      <c r="AA254" s="8">
        <v>-3.54</v>
      </c>
      <c r="AB254" s="7">
        <v>2798197</v>
      </c>
      <c r="AC254" s="7">
        <v>4362327</v>
      </c>
      <c r="AD254" s="7">
        <v>357114</v>
      </c>
      <c r="AE254" s="7">
        <v>282114</v>
      </c>
      <c r="AF254" s="7">
        <v>386050</v>
      </c>
      <c r="AG254" s="7">
        <v>446000</v>
      </c>
      <c r="AH254" s="8">
        <v>3.61</v>
      </c>
      <c r="AI254" s="8">
        <v>4</v>
      </c>
    </row>
    <row r="255" spans="1:35" x14ac:dyDescent="0.25">
      <c r="A255" s="6" t="str">
        <f>"460701"</f>
        <v>460701</v>
      </c>
      <c r="B255" s="6" t="s">
        <v>290</v>
      </c>
      <c r="C255" s="7">
        <v>31633500</v>
      </c>
      <c r="D255" s="7">
        <v>32525700</v>
      </c>
      <c r="E255" s="8">
        <v>2.82</v>
      </c>
      <c r="F255" s="7">
        <v>6580890</v>
      </c>
      <c r="G255" s="7">
        <v>6610504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6580890</v>
      </c>
      <c r="O255" s="7">
        <v>6610504</v>
      </c>
      <c r="P255" s="8">
        <v>0.45</v>
      </c>
      <c r="Q255" s="7">
        <v>0</v>
      </c>
      <c r="R255" s="7">
        <v>0</v>
      </c>
      <c r="S255" s="7">
        <v>6580890</v>
      </c>
      <c r="T255" s="7">
        <v>6610504</v>
      </c>
      <c r="U255" s="7">
        <v>6580890</v>
      </c>
      <c r="V255" s="7">
        <v>6610504</v>
      </c>
      <c r="W255" s="7">
        <v>0</v>
      </c>
      <c r="X255" s="7">
        <v>0</v>
      </c>
      <c r="Y255" s="7">
        <v>1395</v>
      </c>
      <c r="Z255" s="7">
        <v>1400</v>
      </c>
      <c r="AA255" s="8">
        <v>0.36</v>
      </c>
      <c r="AB255" s="7">
        <v>8022737</v>
      </c>
      <c r="AC255" s="7">
        <v>11000000</v>
      </c>
      <c r="AD255" s="7">
        <v>1500000</v>
      </c>
      <c r="AE255" s="7">
        <v>1125196</v>
      </c>
      <c r="AF255" s="7">
        <v>1808431</v>
      </c>
      <c r="AG255" s="7">
        <v>1300000</v>
      </c>
      <c r="AH255" s="8">
        <v>5.72</v>
      </c>
      <c r="AI255" s="8">
        <v>4</v>
      </c>
    </row>
    <row r="256" spans="1:35" x14ac:dyDescent="0.25">
      <c r="A256" s="6" t="str">
        <f>"580406"</f>
        <v>580406</v>
      </c>
      <c r="B256" s="6" t="s">
        <v>291</v>
      </c>
      <c r="C256" s="7">
        <v>82859569</v>
      </c>
      <c r="D256" s="7">
        <v>84174956</v>
      </c>
      <c r="E256" s="8">
        <v>1.59</v>
      </c>
      <c r="F256" s="7">
        <v>62163101</v>
      </c>
      <c r="G256" s="7">
        <v>63205986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62163101</v>
      </c>
      <c r="O256" s="7">
        <v>63205986</v>
      </c>
      <c r="P256" s="8">
        <v>1.68</v>
      </c>
      <c r="Q256" s="7">
        <v>1788753</v>
      </c>
      <c r="R256" s="7">
        <v>1877361</v>
      </c>
      <c r="S256" s="7">
        <v>59670834</v>
      </c>
      <c r="T256" s="7">
        <v>61330132</v>
      </c>
      <c r="U256" s="7">
        <v>60374348</v>
      </c>
      <c r="V256" s="7">
        <v>61328625</v>
      </c>
      <c r="W256" s="7">
        <v>-703514</v>
      </c>
      <c r="X256" s="7">
        <v>1507</v>
      </c>
      <c r="Y256" s="7">
        <v>3139</v>
      </c>
      <c r="Z256" s="7">
        <v>3102</v>
      </c>
      <c r="AA256" s="8">
        <v>-1.18</v>
      </c>
      <c r="AB256" s="7">
        <v>3491539</v>
      </c>
      <c r="AC256" s="7">
        <v>3341539</v>
      </c>
      <c r="AD256" s="7">
        <v>3200000</v>
      </c>
      <c r="AE256" s="7">
        <v>3200000</v>
      </c>
      <c r="AF256" s="7">
        <v>3314056</v>
      </c>
      <c r="AG256" s="7">
        <v>3366998</v>
      </c>
      <c r="AH256" s="8">
        <v>4</v>
      </c>
      <c r="AI256" s="8">
        <v>4</v>
      </c>
    </row>
    <row r="257" spans="1:35" x14ac:dyDescent="0.25">
      <c r="A257" s="6" t="str">
        <f>"030501"</f>
        <v>030501</v>
      </c>
      <c r="B257" s="6" t="s">
        <v>292</v>
      </c>
      <c r="C257" s="7">
        <v>20363159</v>
      </c>
      <c r="D257" s="7">
        <v>19883968</v>
      </c>
      <c r="E257" s="8">
        <v>-2.35</v>
      </c>
      <c r="F257" s="7">
        <v>3857206</v>
      </c>
      <c r="G257" s="7">
        <v>3939554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3857206</v>
      </c>
      <c r="O257" s="7">
        <v>3939554</v>
      </c>
      <c r="P257" s="8">
        <v>2.13</v>
      </c>
      <c r="Q257" s="7">
        <v>86369</v>
      </c>
      <c r="R257" s="7">
        <v>118922</v>
      </c>
      <c r="S257" s="7">
        <v>3770837</v>
      </c>
      <c r="T257" s="7">
        <v>3820632</v>
      </c>
      <c r="U257" s="7">
        <v>3770837</v>
      </c>
      <c r="V257" s="7">
        <v>3820632</v>
      </c>
      <c r="W257" s="7">
        <v>0</v>
      </c>
      <c r="X257" s="7">
        <v>0</v>
      </c>
      <c r="Y257" s="7">
        <v>803</v>
      </c>
      <c r="Z257" s="7">
        <v>803</v>
      </c>
      <c r="AA257" s="8">
        <v>0</v>
      </c>
      <c r="AB257" s="7">
        <v>2943676</v>
      </c>
      <c r="AC257" s="7">
        <v>2653466</v>
      </c>
      <c r="AD257" s="7">
        <v>700000</v>
      </c>
      <c r="AE257" s="7">
        <v>500000</v>
      </c>
      <c r="AF257" s="7">
        <v>752757</v>
      </c>
      <c r="AG257" s="7">
        <v>607105</v>
      </c>
      <c r="AH257" s="8">
        <v>3.7</v>
      </c>
      <c r="AI257" s="8">
        <v>3.05</v>
      </c>
    </row>
    <row r="258" spans="1:35" x14ac:dyDescent="0.25">
      <c r="A258" s="6" t="str">
        <f>"660501"</f>
        <v>660501</v>
      </c>
      <c r="B258" s="6" t="s">
        <v>293</v>
      </c>
      <c r="C258" s="7">
        <v>110033382</v>
      </c>
      <c r="D258" s="7">
        <v>111996711</v>
      </c>
      <c r="E258" s="8">
        <v>1.78</v>
      </c>
      <c r="F258" s="7">
        <v>100949750</v>
      </c>
      <c r="G258" s="7">
        <v>102802573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100949750</v>
      </c>
      <c r="O258" s="7">
        <v>102802573</v>
      </c>
      <c r="P258" s="8">
        <v>1.84</v>
      </c>
      <c r="Q258" s="7">
        <v>2480387</v>
      </c>
      <c r="R258" s="7">
        <v>2556450</v>
      </c>
      <c r="S258" s="7">
        <v>98469363</v>
      </c>
      <c r="T258" s="7">
        <v>100259571</v>
      </c>
      <c r="U258" s="7">
        <v>98469363</v>
      </c>
      <c r="V258" s="7">
        <v>100246123</v>
      </c>
      <c r="W258" s="7">
        <v>0</v>
      </c>
      <c r="X258" s="7">
        <v>13448</v>
      </c>
      <c r="Y258" s="7">
        <v>3611</v>
      </c>
      <c r="Z258" s="7">
        <v>3616</v>
      </c>
      <c r="AA258" s="8">
        <v>0.14000000000000001</v>
      </c>
      <c r="AB258" s="7">
        <v>15783204</v>
      </c>
      <c r="AC258" s="7">
        <v>17670132</v>
      </c>
      <c r="AD258" s="7">
        <v>3872582</v>
      </c>
      <c r="AE258" s="7">
        <v>3350000</v>
      </c>
      <c r="AF258" s="7">
        <v>4401336</v>
      </c>
      <c r="AG258" s="7">
        <v>4479868</v>
      </c>
      <c r="AH258" s="8">
        <v>4</v>
      </c>
      <c r="AI258" s="8">
        <v>4</v>
      </c>
    </row>
    <row r="259" spans="1:35" x14ac:dyDescent="0.25">
      <c r="A259" s="6" t="str">
        <f>"230301"</f>
        <v>230301</v>
      </c>
      <c r="B259" s="6" t="s">
        <v>294</v>
      </c>
      <c r="C259" s="7">
        <v>9544280</v>
      </c>
      <c r="D259" s="7">
        <v>10246941</v>
      </c>
      <c r="E259" s="8">
        <v>7.36</v>
      </c>
      <c r="F259" s="7">
        <v>3602299</v>
      </c>
      <c r="G259" s="7">
        <v>3674345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3602299</v>
      </c>
      <c r="O259" s="7">
        <v>3674345</v>
      </c>
      <c r="P259" s="8">
        <v>2</v>
      </c>
      <c r="Q259" s="7">
        <v>60223</v>
      </c>
      <c r="R259" s="7">
        <v>93696</v>
      </c>
      <c r="S259" s="7">
        <v>3542076</v>
      </c>
      <c r="T259" s="7">
        <v>3602026</v>
      </c>
      <c r="U259" s="7">
        <v>3542076</v>
      </c>
      <c r="V259" s="7">
        <v>3580649</v>
      </c>
      <c r="W259" s="7">
        <v>0</v>
      </c>
      <c r="X259" s="7">
        <v>21377</v>
      </c>
      <c r="Y259" s="7">
        <v>410</v>
      </c>
      <c r="Z259" s="7">
        <v>421</v>
      </c>
      <c r="AA259" s="8">
        <v>2.68</v>
      </c>
      <c r="AB259" s="7">
        <v>2548789</v>
      </c>
      <c r="AC259" s="7">
        <v>2554808</v>
      </c>
      <c r="AD259" s="7">
        <v>566844</v>
      </c>
      <c r="AE259" s="7">
        <v>818878</v>
      </c>
      <c r="AF259" s="7">
        <v>593488</v>
      </c>
      <c r="AG259" s="7">
        <v>407675</v>
      </c>
      <c r="AH259" s="8">
        <v>6.22</v>
      </c>
      <c r="AI259" s="8">
        <v>3.98</v>
      </c>
    </row>
    <row r="260" spans="1:35" x14ac:dyDescent="0.25">
      <c r="A260" s="6" t="str">
        <f>"641001"</f>
        <v>641001</v>
      </c>
      <c r="B260" s="6" t="s">
        <v>295</v>
      </c>
      <c r="C260" s="7">
        <v>11698950</v>
      </c>
      <c r="D260" s="7">
        <v>12232000</v>
      </c>
      <c r="E260" s="8">
        <v>4.5599999999999996</v>
      </c>
      <c r="F260" s="7">
        <v>3461291</v>
      </c>
      <c r="G260" s="7">
        <v>3507584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3461291</v>
      </c>
      <c r="O260" s="7">
        <v>3507584</v>
      </c>
      <c r="P260" s="8">
        <v>1.34</v>
      </c>
      <c r="Q260" s="7">
        <v>221782</v>
      </c>
      <c r="R260" s="7">
        <v>205528</v>
      </c>
      <c r="S260" s="7">
        <v>3239509</v>
      </c>
      <c r="T260" s="7">
        <v>3302056</v>
      </c>
      <c r="U260" s="7">
        <v>3239509</v>
      </c>
      <c r="V260" s="7">
        <v>3302056</v>
      </c>
      <c r="W260" s="7">
        <v>0</v>
      </c>
      <c r="X260" s="7">
        <v>0</v>
      </c>
      <c r="Y260" s="7">
        <v>465</v>
      </c>
      <c r="Z260" s="7">
        <v>448</v>
      </c>
      <c r="AA260" s="8">
        <v>-3.66</v>
      </c>
      <c r="AB260" s="7">
        <v>200589</v>
      </c>
      <c r="AC260" s="7">
        <v>250000</v>
      </c>
      <c r="AD260" s="7">
        <v>453642</v>
      </c>
      <c r="AE260" s="7">
        <v>450000</v>
      </c>
      <c r="AF260" s="7">
        <v>549859</v>
      </c>
      <c r="AG260" s="7">
        <v>400000</v>
      </c>
      <c r="AH260" s="8">
        <v>4.7</v>
      </c>
      <c r="AI260" s="8">
        <v>3.27</v>
      </c>
    </row>
    <row r="261" spans="1:35" x14ac:dyDescent="0.25">
      <c r="A261" s="6" t="str">
        <f>"660404"</f>
        <v>660404</v>
      </c>
      <c r="B261" s="6" t="s">
        <v>296</v>
      </c>
      <c r="C261" s="7">
        <v>47082130</v>
      </c>
      <c r="D261" s="7">
        <v>48454314</v>
      </c>
      <c r="E261" s="8">
        <v>2.91</v>
      </c>
      <c r="F261" s="7">
        <v>38075010</v>
      </c>
      <c r="G261" s="7">
        <v>38704314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38075010</v>
      </c>
      <c r="O261" s="7">
        <v>38704314</v>
      </c>
      <c r="P261" s="8">
        <v>1.65</v>
      </c>
      <c r="Q261" s="7">
        <v>608588</v>
      </c>
      <c r="R261" s="7">
        <v>0</v>
      </c>
      <c r="S261" s="7">
        <v>37488203</v>
      </c>
      <c r="T261" s="7">
        <v>39055650</v>
      </c>
      <c r="U261" s="7">
        <v>37466422</v>
      </c>
      <c r="V261" s="7">
        <v>38704314</v>
      </c>
      <c r="W261" s="7">
        <v>21781</v>
      </c>
      <c r="X261" s="7">
        <v>351336</v>
      </c>
      <c r="Y261" s="7">
        <v>1609</v>
      </c>
      <c r="Z261" s="7">
        <v>1635</v>
      </c>
      <c r="AA261" s="8">
        <v>1.62</v>
      </c>
      <c r="AB261" s="7">
        <v>4913558</v>
      </c>
      <c r="AC261" s="7">
        <v>3468000</v>
      </c>
      <c r="AD261" s="7">
        <v>2967120</v>
      </c>
      <c r="AE261" s="7">
        <v>3215000</v>
      </c>
      <c r="AF261" s="7">
        <v>1797586</v>
      </c>
      <c r="AG261" s="7">
        <v>1937172</v>
      </c>
      <c r="AH261" s="8">
        <v>3.82</v>
      </c>
      <c r="AI261" s="8">
        <v>4</v>
      </c>
    </row>
    <row r="262" spans="1:35" x14ac:dyDescent="0.25">
      <c r="A262" s="6" t="str">
        <f>"580506"</f>
        <v>580506</v>
      </c>
      <c r="B262" s="6" t="s">
        <v>297</v>
      </c>
      <c r="C262" s="7">
        <v>107965857</v>
      </c>
      <c r="D262" s="7">
        <v>110626357</v>
      </c>
      <c r="E262" s="8">
        <v>2.46</v>
      </c>
      <c r="F262" s="7">
        <v>81478064</v>
      </c>
      <c r="G262" s="7">
        <v>82391340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81478064</v>
      </c>
      <c r="O262" s="7">
        <v>82391340</v>
      </c>
      <c r="P262" s="8">
        <v>1.1200000000000001</v>
      </c>
      <c r="Q262" s="7">
        <v>1934057</v>
      </c>
      <c r="R262" s="7">
        <v>2002510</v>
      </c>
      <c r="S262" s="7">
        <v>79544007</v>
      </c>
      <c r="T262" s="7">
        <v>80388830</v>
      </c>
      <c r="U262" s="7">
        <v>79544007</v>
      </c>
      <c r="V262" s="7">
        <v>80388830</v>
      </c>
      <c r="W262" s="7">
        <v>0</v>
      </c>
      <c r="X262" s="7">
        <v>0</v>
      </c>
      <c r="Y262" s="7">
        <v>3617</v>
      </c>
      <c r="Z262" s="7">
        <v>3525</v>
      </c>
      <c r="AA262" s="8">
        <v>-2.54</v>
      </c>
      <c r="AB262" s="7">
        <v>18728048</v>
      </c>
      <c r="AC262" s="7">
        <v>19868148</v>
      </c>
      <c r="AD262" s="7">
        <v>5150000</v>
      </c>
      <c r="AE262" s="7">
        <v>5444800</v>
      </c>
      <c r="AF262" s="7">
        <v>4318634</v>
      </c>
      <c r="AG262" s="7">
        <v>4425054</v>
      </c>
      <c r="AH262" s="8">
        <v>4</v>
      </c>
      <c r="AI262" s="8">
        <v>4</v>
      </c>
    </row>
    <row r="263" spans="1:35" x14ac:dyDescent="0.25">
      <c r="A263" s="6" t="str">
        <f>"500201"</f>
        <v>500201</v>
      </c>
      <c r="B263" s="6" t="s">
        <v>298</v>
      </c>
      <c r="C263" s="7">
        <v>213313835</v>
      </c>
      <c r="D263" s="7">
        <v>216644100</v>
      </c>
      <c r="E263" s="8">
        <v>1.56</v>
      </c>
      <c r="F263" s="7">
        <v>139596919</v>
      </c>
      <c r="G263" s="7">
        <v>141361457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139596919</v>
      </c>
      <c r="O263" s="7">
        <v>141361457</v>
      </c>
      <c r="P263" s="8">
        <v>1.26</v>
      </c>
      <c r="Q263" s="7">
        <v>1689925</v>
      </c>
      <c r="R263" s="7">
        <v>1405450</v>
      </c>
      <c r="S263" s="7">
        <v>137906994</v>
      </c>
      <c r="T263" s="7">
        <v>139956007</v>
      </c>
      <c r="U263" s="7">
        <v>137906994</v>
      </c>
      <c r="V263" s="7">
        <v>139956007</v>
      </c>
      <c r="W263" s="7">
        <v>0</v>
      </c>
      <c r="X263" s="7">
        <v>0</v>
      </c>
      <c r="Y263" s="7">
        <v>7979</v>
      </c>
      <c r="Z263" s="7">
        <v>8005</v>
      </c>
      <c r="AA263" s="8">
        <v>0.33</v>
      </c>
      <c r="AB263" s="7">
        <v>12299934</v>
      </c>
      <c r="AC263" s="7">
        <v>17229934</v>
      </c>
      <c r="AD263" s="7">
        <v>19971676</v>
      </c>
      <c r="AE263" s="7">
        <v>13083219</v>
      </c>
      <c r="AF263" s="7">
        <v>16598056</v>
      </c>
      <c r="AG263" s="7">
        <v>8665764</v>
      </c>
      <c r="AH263" s="8">
        <v>7.78</v>
      </c>
      <c r="AI263" s="8">
        <v>4</v>
      </c>
    </row>
    <row r="264" spans="1:35" x14ac:dyDescent="0.25">
      <c r="A264" s="6" t="str">
        <f>"280201"</f>
        <v>280201</v>
      </c>
      <c r="B264" s="6" t="s">
        <v>299</v>
      </c>
      <c r="C264" s="7">
        <v>189167890</v>
      </c>
      <c r="D264" s="11">
        <v>202696297</v>
      </c>
      <c r="E264" s="8">
        <v>7.15</v>
      </c>
      <c r="F264" s="7">
        <v>75684370</v>
      </c>
      <c r="G264" s="7">
        <v>75934370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75684370</v>
      </c>
      <c r="O264" s="7">
        <v>75934370</v>
      </c>
      <c r="P264" s="8">
        <v>0.33</v>
      </c>
      <c r="Q264" s="7">
        <v>825083</v>
      </c>
      <c r="R264" s="7">
        <v>800000</v>
      </c>
      <c r="S264" s="7">
        <v>74859287</v>
      </c>
      <c r="T264" s="7">
        <v>75134370</v>
      </c>
      <c r="U264" s="7">
        <v>74859287</v>
      </c>
      <c r="V264" s="7">
        <v>75134370</v>
      </c>
      <c r="W264" s="7">
        <v>0</v>
      </c>
      <c r="X264" s="7">
        <v>0</v>
      </c>
      <c r="Y264" s="7">
        <v>8217</v>
      </c>
      <c r="Z264" s="7">
        <v>8500</v>
      </c>
      <c r="AA264" s="8">
        <v>3.44</v>
      </c>
      <c r="AB264" s="7">
        <v>6486783</v>
      </c>
      <c r="AC264" s="7">
        <v>6496783</v>
      </c>
      <c r="AD264" s="7">
        <v>0</v>
      </c>
      <c r="AE264" s="7">
        <v>0</v>
      </c>
      <c r="AF264" s="7">
        <v>3330973</v>
      </c>
      <c r="AG264" s="7">
        <v>500000</v>
      </c>
      <c r="AH264" s="8">
        <v>1.76</v>
      </c>
      <c r="AI264" s="8">
        <v>0.25</v>
      </c>
    </row>
    <row r="265" spans="1:35" x14ac:dyDescent="0.25">
      <c r="A265" s="6" t="str">
        <f>"660203"</f>
        <v>660203</v>
      </c>
      <c r="B265" s="6" t="s">
        <v>300</v>
      </c>
      <c r="C265" s="7">
        <v>75874366</v>
      </c>
      <c r="D265" s="7">
        <v>79623118</v>
      </c>
      <c r="E265" s="8">
        <v>4.9400000000000004</v>
      </c>
      <c r="F265" s="7">
        <v>40768254</v>
      </c>
      <c r="G265" s="7">
        <v>41750344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40768254</v>
      </c>
      <c r="O265" s="7">
        <v>41750344</v>
      </c>
      <c r="P265" s="8">
        <v>2.41</v>
      </c>
      <c r="Q265" s="7">
        <v>4053352</v>
      </c>
      <c r="R265" s="7">
        <v>4140583</v>
      </c>
      <c r="S265" s="7">
        <v>36714902</v>
      </c>
      <c r="T265" s="7">
        <v>37609770</v>
      </c>
      <c r="U265" s="7">
        <v>36714902</v>
      </c>
      <c r="V265" s="7">
        <v>37609761</v>
      </c>
      <c r="W265" s="7">
        <v>0</v>
      </c>
      <c r="X265" s="7">
        <v>9</v>
      </c>
      <c r="Y265" s="7">
        <v>2301</v>
      </c>
      <c r="Z265" s="7">
        <v>2290</v>
      </c>
      <c r="AA265" s="8">
        <v>-0.48</v>
      </c>
      <c r="AB265" s="7">
        <v>886924</v>
      </c>
      <c r="AC265" s="7">
        <v>2900000</v>
      </c>
      <c r="AD265" s="7">
        <v>1588858</v>
      </c>
      <c r="AE265" s="7">
        <v>1200000</v>
      </c>
      <c r="AF265" s="7">
        <v>5358800</v>
      </c>
      <c r="AG265" s="7">
        <v>2658800</v>
      </c>
      <c r="AH265" s="8">
        <v>7.06</v>
      </c>
      <c r="AI265" s="8">
        <v>3.34</v>
      </c>
    </row>
    <row r="266" spans="1:35" x14ac:dyDescent="0.25">
      <c r="A266" s="6" t="str">
        <f>"210601"</f>
        <v>210601</v>
      </c>
      <c r="B266" s="6" t="s">
        <v>301</v>
      </c>
      <c r="C266" s="7">
        <v>23064000</v>
      </c>
      <c r="D266" s="7">
        <v>24414000</v>
      </c>
      <c r="E266" s="8">
        <v>5.85</v>
      </c>
      <c r="F266" s="7">
        <v>8366000</v>
      </c>
      <c r="G266" s="7">
        <v>8510000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8366000</v>
      </c>
      <c r="O266" s="7">
        <v>8510000</v>
      </c>
      <c r="P266" s="8">
        <v>1.72</v>
      </c>
      <c r="Q266" s="7">
        <v>523000</v>
      </c>
      <c r="R266" s="7">
        <v>512000</v>
      </c>
      <c r="S266" s="7">
        <v>7844843</v>
      </c>
      <c r="T266" s="7">
        <v>8000000</v>
      </c>
      <c r="U266" s="7">
        <v>7843000</v>
      </c>
      <c r="V266" s="7">
        <v>7998000</v>
      </c>
      <c r="W266" s="7">
        <v>1843</v>
      </c>
      <c r="X266" s="7">
        <v>2000</v>
      </c>
      <c r="Y266" s="7">
        <v>1132</v>
      </c>
      <c r="Z266" s="7">
        <v>1145</v>
      </c>
      <c r="AA266" s="8">
        <v>1.1499999999999999</v>
      </c>
      <c r="AB266" s="7">
        <v>908156</v>
      </c>
      <c r="AC266" s="7">
        <v>2300000</v>
      </c>
      <c r="AD266" s="7">
        <v>250000</v>
      </c>
      <c r="AE266" s="7">
        <v>250000</v>
      </c>
      <c r="AF266" s="7">
        <v>922000</v>
      </c>
      <c r="AG266" s="7">
        <v>976000</v>
      </c>
      <c r="AH266" s="8">
        <v>4</v>
      </c>
      <c r="AI266" s="8">
        <v>4</v>
      </c>
    </row>
    <row r="267" spans="1:35" x14ac:dyDescent="0.25">
      <c r="A267" s="6" t="str">
        <f>"511301"</f>
        <v>511301</v>
      </c>
      <c r="B267" s="6" t="s">
        <v>302</v>
      </c>
      <c r="C267" s="7">
        <v>9825693</v>
      </c>
      <c r="D267" s="7">
        <v>10195037</v>
      </c>
      <c r="E267" s="8">
        <v>3.76</v>
      </c>
      <c r="F267" s="7">
        <v>2476183</v>
      </c>
      <c r="G267" s="7">
        <v>2467612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2476183</v>
      </c>
      <c r="O267" s="7">
        <v>2467612</v>
      </c>
      <c r="P267" s="8">
        <v>-0.35</v>
      </c>
      <c r="Q267" s="7">
        <v>89258</v>
      </c>
      <c r="R267" s="7">
        <v>47061</v>
      </c>
      <c r="S267" s="7">
        <v>2433579</v>
      </c>
      <c r="T267" s="7">
        <v>2420551</v>
      </c>
      <c r="U267" s="7">
        <v>2386925</v>
      </c>
      <c r="V267" s="7">
        <v>2420551</v>
      </c>
      <c r="W267" s="7">
        <v>46654</v>
      </c>
      <c r="X267" s="7">
        <v>0</v>
      </c>
      <c r="Y267" s="7">
        <v>432</v>
      </c>
      <c r="Z267" s="7">
        <v>441</v>
      </c>
      <c r="AA267" s="8">
        <v>2.08</v>
      </c>
      <c r="AB267" s="7">
        <v>1190728</v>
      </c>
      <c r="AC267" s="7">
        <v>1390306</v>
      </c>
      <c r="AD267" s="7">
        <v>834001</v>
      </c>
      <c r="AE267" s="7">
        <v>1003462</v>
      </c>
      <c r="AF267" s="7">
        <v>369471</v>
      </c>
      <c r="AG267" s="7">
        <v>509752</v>
      </c>
      <c r="AH267" s="8">
        <v>3.76</v>
      </c>
      <c r="AI267" s="8">
        <v>5</v>
      </c>
    </row>
    <row r="268" spans="1:35" x14ac:dyDescent="0.25">
      <c r="A268" s="6" t="str">
        <f>"280409"</f>
        <v>280409</v>
      </c>
      <c r="B268" s="6" t="s">
        <v>303</v>
      </c>
      <c r="C268" s="7">
        <v>110310540</v>
      </c>
      <c r="D268" s="7">
        <v>111215736</v>
      </c>
      <c r="E268" s="8">
        <v>0.82</v>
      </c>
      <c r="F268" s="7">
        <v>92598414</v>
      </c>
      <c r="G268" s="7">
        <v>94094175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92598414</v>
      </c>
      <c r="O268" s="7">
        <v>94094175</v>
      </c>
      <c r="P268" s="8">
        <v>1.62</v>
      </c>
      <c r="Q268" s="7">
        <v>1923589</v>
      </c>
      <c r="R268" s="7">
        <v>1890760</v>
      </c>
      <c r="S268" s="7">
        <v>90940997</v>
      </c>
      <c r="T268" s="7">
        <v>92203415</v>
      </c>
      <c r="U268" s="7">
        <v>90674825</v>
      </c>
      <c r="V268" s="7">
        <v>92203415</v>
      </c>
      <c r="W268" s="7">
        <v>266172</v>
      </c>
      <c r="X268" s="7">
        <v>0</v>
      </c>
      <c r="Y268" s="7">
        <v>3915</v>
      </c>
      <c r="Z268" s="7">
        <v>3906</v>
      </c>
      <c r="AA268" s="8">
        <v>-0.23</v>
      </c>
      <c r="AB268" s="7">
        <v>13671581</v>
      </c>
      <c r="AC268" s="7">
        <v>9910895</v>
      </c>
      <c r="AD268" s="7">
        <v>1200000</v>
      </c>
      <c r="AE268" s="7">
        <v>0</v>
      </c>
      <c r="AF268" s="7">
        <v>4412171</v>
      </c>
      <c r="AG268" s="7">
        <v>4077861</v>
      </c>
      <c r="AH268" s="8">
        <v>4</v>
      </c>
      <c r="AI268" s="8">
        <v>3.67</v>
      </c>
    </row>
    <row r="269" spans="1:35" x14ac:dyDescent="0.25">
      <c r="A269" s="6" t="str">
        <f>"512404"</f>
        <v>512404</v>
      </c>
      <c r="B269" s="6" t="s">
        <v>304</v>
      </c>
      <c r="C269" s="7">
        <v>13254137</v>
      </c>
      <c r="D269" s="7">
        <v>14075941</v>
      </c>
      <c r="E269" s="8">
        <v>6.2</v>
      </c>
      <c r="F269" s="7">
        <v>3275986</v>
      </c>
      <c r="G269" s="7">
        <v>3368347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3275986</v>
      </c>
      <c r="O269" s="7">
        <v>3368347</v>
      </c>
      <c r="P269" s="8">
        <v>2.82</v>
      </c>
      <c r="Q269" s="7">
        <v>53567</v>
      </c>
      <c r="R269" s="7">
        <v>70482</v>
      </c>
      <c r="S269" s="7">
        <v>3222419</v>
      </c>
      <c r="T269" s="7">
        <v>3297865</v>
      </c>
      <c r="U269" s="7">
        <v>3222419</v>
      </c>
      <c r="V269" s="7">
        <v>3297865</v>
      </c>
      <c r="W269" s="7">
        <v>0</v>
      </c>
      <c r="X269" s="7">
        <v>0</v>
      </c>
      <c r="Y269" s="7">
        <v>527</v>
      </c>
      <c r="Z269" s="7">
        <v>524</v>
      </c>
      <c r="AA269" s="8">
        <v>-0.56999999999999995</v>
      </c>
      <c r="AB269" s="7">
        <v>2822638</v>
      </c>
      <c r="AC269" s="7">
        <v>2640905</v>
      </c>
      <c r="AD269" s="7">
        <v>1144764</v>
      </c>
      <c r="AE269" s="7">
        <v>1584860</v>
      </c>
      <c r="AF269" s="7">
        <v>360756</v>
      </c>
      <c r="AG269" s="7">
        <v>321527</v>
      </c>
      <c r="AH269" s="8">
        <v>2.72</v>
      </c>
      <c r="AI269" s="8">
        <v>2.2799999999999998</v>
      </c>
    </row>
    <row r="270" spans="1:35" x14ac:dyDescent="0.25">
      <c r="A270" s="6" t="str">
        <f>"280214"</f>
        <v>280214</v>
      </c>
      <c r="B270" s="6" t="s">
        <v>305</v>
      </c>
      <c r="C270" s="7">
        <v>115354132</v>
      </c>
      <c r="D270" s="7">
        <v>116449996</v>
      </c>
      <c r="E270" s="8">
        <v>0.95</v>
      </c>
      <c r="F270" s="7">
        <v>97538802</v>
      </c>
      <c r="G270" s="7">
        <v>97538802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97538802</v>
      </c>
      <c r="O270" s="7">
        <v>97538802</v>
      </c>
      <c r="P270" s="8">
        <v>0</v>
      </c>
      <c r="Q270" s="7">
        <v>3498940</v>
      </c>
      <c r="R270" s="7">
        <v>4196250</v>
      </c>
      <c r="S270" s="7">
        <v>94506992</v>
      </c>
      <c r="T270" s="7">
        <v>96178182</v>
      </c>
      <c r="U270" s="7">
        <v>94039862</v>
      </c>
      <c r="V270" s="7">
        <v>93342552</v>
      </c>
      <c r="W270" s="7">
        <v>467130</v>
      </c>
      <c r="X270" s="7">
        <v>2835630</v>
      </c>
      <c r="Y270" s="7">
        <v>2942</v>
      </c>
      <c r="Z270" s="7">
        <v>2987</v>
      </c>
      <c r="AA270" s="8">
        <v>1.53</v>
      </c>
      <c r="AB270" s="7">
        <v>60261019</v>
      </c>
      <c r="AC270" s="7">
        <v>55000000</v>
      </c>
      <c r="AD270" s="7">
        <v>3627498</v>
      </c>
      <c r="AE270" s="7">
        <v>3000000</v>
      </c>
      <c r="AF270" s="7">
        <v>4469157</v>
      </c>
      <c r="AG270" s="7">
        <v>4000000</v>
      </c>
      <c r="AH270" s="8">
        <v>3.87</v>
      </c>
      <c r="AI270" s="8">
        <v>3.43</v>
      </c>
    </row>
    <row r="271" spans="1:35" x14ac:dyDescent="0.25">
      <c r="A271" s="6" t="str">
        <f>"280517"</f>
        <v>280517</v>
      </c>
      <c r="B271" s="6" t="s">
        <v>306</v>
      </c>
      <c r="C271" s="7">
        <v>132332014</v>
      </c>
      <c r="D271" s="7">
        <v>134781267</v>
      </c>
      <c r="E271" s="8">
        <v>1.85</v>
      </c>
      <c r="F271" s="7">
        <v>98877594</v>
      </c>
      <c r="G271" s="7">
        <v>100342028</v>
      </c>
      <c r="H271" s="7">
        <v>0</v>
      </c>
      <c r="I271" s="7">
        <v>0</v>
      </c>
      <c r="J271" s="7">
        <v>60000</v>
      </c>
      <c r="K271" s="7">
        <v>60000</v>
      </c>
      <c r="L271" s="7">
        <v>0</v>
      </c>
      <c r="M271" s="7">
        <v>0</v>
      </c>
      <c r="N271" s="7">
        <v>98937594</v>
      </c>
      <c r="O271" s="7">
        <v>100402028</v>
      </c>
      <c r="P271" s="8">
        <v>1.48</v>
      </c>
      <c r="Q271" s="7">
        <v>2957014</v>
      </c>
      <c r="R271" s="7">
        <v>2941058</v>
      </c>
      <c r="S271" s="7">
        <v>95980580</v>
      </c>
      <c r="T271" s="7">
        <v>97460970</v>
      </c>
      <c r="U271" s="7">
        <v>95980580</v>
      </c>
      <c r="V271" s="7">
        <v>97460970</v>
      </c>
      <c r="W271" s="7">
        <v>0</v>
      </c>
      <c r="X271" s="7">
        <v>0</v>
      </c>
      <c r="Y271" s="7">
        <v>5230</v>
      </c>
      <c r="Z271" s="7">
        <v>5258</v>
      </c>
      <c r="AA271" s="8">
        <v>0.54</v>
      </c>
      <c r="AB271" s="7">
        <v>25497026</v>
      </c>
      <c r="AC271" s="7">
        <v>20008095</v>
      </c>
      <c r="AD271" s="7">
        <v>2813000</v>
      </c>
      <c r="AE271" s="7">
        <v>2751493</v>
      </c>
      <c r="AF271" s="7">
        <v>5295680</v>
      </c>
      <c r="AG271" s="7">
        <v>5393650</v>
      </c>
      <c r="AH271" s="8">
        <v>4</v>
      </c>
      <c r="AI271" s="8">
        <v>4</v>
      </c>
    </row>
    <row r="272" spans="1:35" x14ac:dyDescent="0.25">
      <c r="A272" s="6" t="str">
        <f>"620803"</f>
        <v>620803</v>
      </c>
      <c r="B272" s="6" t="s">
        <v>307</v>
      </c>
      <c r="C272" s="7">
        <v>41522885</v>
      </c>
      <c r="D272" s="7">
        <v>42866930</v>
      </c>
      <c r="E272" s="8">
        <v>3.24</v>
      </c>
      <c r="F272" s="7">
        <v>26051044</v>
      </c>
      <c r="G272" s="7">
        <v>26807253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26051044</v>
      </c>
      <c r="O272" s="7">
        <v>26807253</v>
      </c>
      <c r="P272" s="8">
        <v>2.9</v>
      </c>
      <c r="Q272" s="7">
        <v>1003782</v>
      </c>
      <c r="R272" s="7">
        <v>1241177</v>
      </c>
      <c r="S272" s="7">
        <v>25047262</v>
      </c>
      <c r="T272" s="7">
        <v>25566076</v>
      </c>
      <c r="U272" s="7">
        <v>25047262</v>
      </c>
      <c r="V272" s="7">
        <v>25566076</v>
      </c>
      <c r="W272" s="7">
        <v>0</v>
      </c>
      <c r="X272" s="7">
        <v>0</v>
      </c>
      <c r="Y272" s="7">
        <v>1760</v>
      </c>
      <c r="Z272" s="7">
        <v>1780</v>
      </c>
      <c r="AA272" s="8">
        <v>1.1399999999999999</v>
      </c>
      <c r="AB272" s="7">
        <v>900000</v>
      </c>
      <c r="AC272" s="7">
        <v>1050000</v>
      </c>
      <c r="AD272" s="7">
        <v>900000</v>
      </c>
      <c r="AE272" s="7">
        <v>1500000</v>
      </c>
      <c r="AF272" s="7">
        <v>1660500</v>
      </c>
      <c r="AG272" s="7">
        <v>1712500</v>
      </c>
      <c r="AH272" s="8">
        <v>4</v>
      </c>
      <c r="AI272" s="8">
        <v>3.99</v>
      </c>
    </row>
    <row r="273" spans="1:35" x14ac:dyDescent="0.25">
      <c r="A273" s="6" t="str">
        <f>"440901"</f>
        <v>440901</v>
      </c>
      <c r="B273" s="6" t="s">
        <v>308</v>
      </c>
      <c r="C273" s="7">
        <v>28550987</v>
      </c>
      <c r="D273" s="7">
        <v>29759008</v>
      </c>
      <c r="E273" s="8">
        <v>4.2300000000000004</v>
      </c>
      <c r="F273" s="7">
        <v>10267520</v>
      </c>
      <c r="G273" s="7">
        <v>10612951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10267520</v>
      </c>
      <c r="O273" s="7">
        <v>10612951</v>
      </c>
      <c r="P273" s="8">
        <v>3.36</v>
      </c>
      <c r="Q273" s="7">
        <v>428629</v>
      </c>
      <c r="R273" s="7">
        <v>721244</v>
      </c>
      <c r="S273" s="7">
        <v>9838891</v>
      </c>
      <c r="T273" s="7">
        <v>9984694</v>
      </c>
      <c r="U273" s="7">
        <v>9838891</v>
      </c>
      <c r="V273" s="7">
        <v>9891707</v>
      </c>
      <c r="W273" s="7">
        <v>0</v>
      </c>
      <c r="X273" s="7">
        <v>92987</v>
      </c>
      <c r="Y273" s="7">
        <v>983</v>
      </c>
      <c r="Z273" s="7">
        <v>976</v>
      </c>
      <c r="AA273" s="8">
        <v>-0.71</v>
      </c>
      <c r="AB273" s="7">
        <v>6161847</v>
      </c>
      <c r="AC273" s="7">
        <v>7834948</v>
      </c>
      <c r="AD273" s="7">
        <v>540000</v>
      </c>
      <c r="AE273" s="7">
        <v>540000</v>
      </c>
      <c r="AF273" s="7">
        <v>3232172</v>
      </c>
      <c r="AG273" s="7">
        <v>1191768</v>
      </c>
      <c r="AH273" s="8">
        <v>11.32</v>
      </c>
      <c r="AI273" s="8">
        <v>4</v>
      </c>
    </row>
    <row r="274" spans="1:35" x14ac:dyDescent="0.25">
      <c r="A274" s="6" t="str">
        <f>"261101"</f>
        <v>261101</v>
      </c>
      <c r="B274" s="6" t="s">
        <v>309</v>
      </c>
      <c r="C274" s="7">
        <v>79981153</v>
      </c>
      <c r="D274" s="7">
        <v>80875790</v>
      </c>
      <c r="E274" s="8">
        <v>1.1200000000000001</v>
      </c>
      <c r="F274" s="7">
        <v>37325516</v>
      </c>
      <c r="G274" s="7">
        <v>37785547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37325516</v>
      </c>
      <c r="O274" s="7">
        <v>37785547</v>
      </c>
      <c r="P274" s="8">
        <v>1.23</v>
      </c>
      <c r="Q274" s="7">
        <v>1316565</v>
      </c>
      <c r="R274" s="7">
        <v>963484</v>
      </c>
      <c r="S274" s="7">
        <v>36289348</v>
      </c>
      <c r="T274" s="7">
        <v>36822063</v>
      </c>
      <c r="U274" s="7">
        <v>36008951</v>
      </c>
      <c r="V274" s="7">
        <v>36822063</v>
      </c>
      <c r="W274" s="7">
        <v>280397</v>
      </c>
      <c r="X274" s="7">
        <v>0</v>
      </c>
      <c r="Y274" s="7">
        <v>4288</v>
      </c>
      <c r="Z274" s="7">
        <v>4354</v>
      </c>
      <c r="AA274" s="8">
        <v>1.54</v>
      </c>
      <c r="AB274" s="7">
        <v>5214767</v>
      </c>
      <c r="AC274" s="7">
        <v>6297105</v>
      </c>
      <c r="AD274" s="7">
        <v>689412</v>
      </c>
      <c r="AE274" s="7">
        <v>919296</v>
      </c>
      <c r="AF274" s="7">
        <v>3199246</v>
      </c>
      <c r="AG274" s="7">
        <v>3230895</v>
      </c>
      <c r="AH274" s="8">
        <v>4</v>
      </c>
      <c r="AI274" s="8">
        <v>3.99</v>
      </c>
    </row>
    <row r="275" spans="1:35" x14ac:dyDescent="0.25">
      <c r="A275" s="6" t="str">
        <f>"041401"</f>
        <v>041401</v>
      </c>
      <c r="B275" s="6" t="s">
        <v>310</v>
      </c>
      <c r="C275" s="7">
        <v>9668310</v>
      </c>
      <c r="D275" s="7">
        <v>9750912</v>
      </c>
      <c r="E275" s="8">
        <v>0.85</v>
      </c>
      <c r="F275" s="7">
        <v>1876460</v>
      </c>
      <c r="G275" s="7">
        <v>1918209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1876460</v>
      </c>
      <c r="O275" s="7">
        <v>1918209</v>
      </c>
      <c r="P275" s="8">
        <v>2.2200000000000002</v>
      </c>
      <c r="Q275" s="7">
        <v>0</v>
      </c>
      <c r="R275" s="7">
        <v>0</v>
      </c>
      <c r="S275" s="7">
        <v>1888363</v>
      </c>
      <c r="T275" s="7">
        <v>2936344</v>
      </c>
      <c r="U275" s="7">
        <v>1876460</v>
      </c>
      <c r="V275" s="7">
        <v>1918209</v>
      </c>
      <c r="W275" s="7">
        <v>11903</v>
      </c>
      <c r="X275" s="7">
        <v>1018135</v>
      </c>
      <c r="Y275" s="7">
        <v>439</v>
      </c>
      <c r="Z275" s="7">
        <v>436</v>
      </c>
      <c r="AA275" s="8">
        <v>-0.68</v>
      </c>
      <c r="AB275" s="7">
        <v>1527268</v>
      </c>
      <c r="AC275" s="7">
        <v>1527268</v>
      </c>
      <c r="AD275" s="7">
        <v>475000</v>
      </c>
      <c r="AE275" s="7">
        <v>450000</v>
      </c>
      <c r="AF275" s="7">
        <v>960600</v>
      </c>
      <c r="AG275" s="7">
        <v>1014600</v>
      </c>
      <c r="AH275" s="8">
        <v>9.94</v>
      </c>
      <c r="AI275" s="8">
        <v>10.41</v>
      </c>
    </row>
    <row r="276" spans="1:35" x14ac:dyDescent="0.25">
      <c r="A276" s="6" t="str">
        <f>"141701"</f>
        <v>141701</v>
      </c>
      <c r="B276" s="6" t="s">
        <v>311</v>
      </c>
      <c r="C276" s="7">
        <v>18140000</v>
      </c>
      <c r="D276" s="7">
        <v>19285000</v>
      </c>
      <c r="E276" s="8">
        <v>6.31</v>
      </c>
      <c r="F276" s="7">
        <v>7193150</v>
      </c>
      <c r="G276" s="7">
        <v>7193150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7193150</v>
      </c>
      <c r="O276" s="7">
        <v>7193150</v>
      </c>
      <c r="P276" s="8">
        <v>0</v>
      </c>
      <c r="Q276" s="7">
        <v>0</v>
      </c>
      <c r="R276" s="7">
        <v>0</v>
      </c>
      <c r="S276" s="7">
        <v>7312120</v>
      </c>
      <c r="T276" s="7">
        <v>7411675</v>
      </c>
      <c r="U276" s="7">
        <v>7193150</v>
      </c>
      <c r="V276" s="7">
        <v>7193150</v>
      </c>
      <c r="W276" s="7">
        <v>118970</v>
      </c>
      <c r="X276" s="7">
        <v>218525</v>
      </c>
      <c r="Y276" s="7">
        <v>898</v>
      </c>
      <c r="Z276" s="7">
        <v>883</v>
      </c>
      <c r="AA276" s="8">
        <v>-1.67</v>
      </c>
      <c r="AB276" s="7">
        <v>2421582</v>
      </c>
      <c r="AC276" s="7">
        <v>2841561</v>
      </c>
      <c r="AD276" s="7">
        <v>420144</v>
      </c>
      <c r="AE276" s="7">
        <v>271850</v>
      </c>
      <c r="AF276" s="7">
        <v>1257659</v>
      </c>
      <c r="AG276" s="7">
        <v>771400</v>
      </c>
      <c r="AH276" s="8">
        <v>6.93</v>
      </c>
      <c r="AI276" s="8">
        <v>4</v>
      </c>
    </row>
    <row r="277" spans="1:35" x14ac:dyDescent="0.25">
      <c r="A277" s="6" t="str">
        <f>"412201"</f>
        <v>412201</v>
      </c>
      <c r="B277" s="6" t="s">
        <v>312</v>
      </c>
      <c r="C277" s="7">
        <v>32409327</v>
      </c>
      <c r="D277" s="7">
        <v>33808028</v>
      </c>
      <c r="E277" s="8">
        <v>4.32</v>
      </c>
      <c r="F277" s="7">
        <v>12222422</v>
      </c>
      <c r="G277" s="7">
        <v>12454648</v>
      </c>
      <c r="H277" s="7">
        <v>30000</v>
      </c>
      <c r="I277" s="7">
        <v>30000</v>
      </c>
      <c r="J277" s="7">
        <v>0</v>
      </c>
      <c r="K277" s="7">
        <v>0</v>
      </c>
      <c r="L277" s="7">
        <v>0</v>
      </c>
      <c r="M277" s="7">
        <v>0</v>
      </c>
      <c r="N277" s="7">
        <v>12252422</v>
      </c>
      <c r="O277" s="7">
        <v>12484648</v>
      </c>
      <c r="P277" s="8">
        <v>1.9</v>
      </c>
      <c r="Q277" s="7">
        <v>495793</v>
      </c>
      <c r="R277" s="7">
        <v>526166</v>
      </c>
      <c r="S277" s="7">
        <v>11771541</v>
      </c>
      <c r="T277" s="7">
        <v>11969992</v>
      </c>
      <c r="U277" s="7">
        <v>11726629</v>
      </c>
      <c r="V277" s="7">
        <v>11928482</v>
      </c>
      <c r="W277" s="7">
        <v>44912</v>
      </c>
      <c r="X277" s="7">
        <v>41510</v>
      </c>
      <c r="Y277" s="7">
        <v>1476</v>
      </c>
      <c r="Z277" s="7">
        <v>1472</v>
      </c>
      <c r="AA277" s="8">
        <v>-0.27</v>
      </c>
      <c r="AB277" s="7">
        <v>6207985</v>
      </c>
      <c r="AC277" s="7">
        <v>5775304</v>
      </c>
      <c r="AD277" s="7">
        <v>2150000</v>
      </c>
      <c r="AE277" s="7">
        <v>2150000</v>
      </c>
      <c r="AF277" s="7">
        <v>2263130</v>
      </c>
      <c r="AG277" s="7">
        <v>1352321</v>
      </c>
      <c r="AH277" s="8">
        <v>6.98</v>
      </c>
      <c r="AI277" s="8">
        <v>4</v>
      </c>
    </row>
    <row r="278" spans="1:35" x14ac:dyDescent="0.25">
      <c r="A278" s="6" t="str">
        <f>"450704"</f>
        <v>450704</v>
      </c>
      <c r="B278" s="6" t="s">
        <v>313</v>
      </c>
      <c r="C278" s="7">
        <v>24400000</v>
      </c>
      <c r="D278" s="7">
        <v>24500000</v>
      </c>
      <c r="E278" s="8">
        <v>0.41</v>
      </c>
      <c r="F278" s="7">
        <v>6875941</v>
      </c>
      <c r="G278" s="7">
        <v>6968766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6875941</v>
      </c>
      <c r="O278" s="7">
        <v>6968766</v>
      </c>
      <c r="P278" s="8">
        <v>1.35</v>
      </c>
      <c r="Q278" s="7">
        <v>51730</v>
      </c>
      <c r="R278" s="7">
        <v>0</v>
      </c>
      <c r="S278" s="7">
        <v>6875941</v>
      </c>
      <c r="T278" s="7">
        <v>6968766</v>
      </c>
      <c r="U278" s="7">
        <v>6824211</v>
      </c>
      <c r="V278" s="7">
        <v>6968766</v>
      </c>
      <c r="W278" s="7">
        <v>51730</v>
      </c>
      <c r="X278" s="7">
        <v>0</v>
      </c>
      <c r="Y278" s="7">
        <v>1017</v>
      </c>
      <c r="Z278" s="7">
        <v>997</v>
      </c>
      <c r="AA278" s="8">
        <v>-1.97</v>
      </c>
      <c r="AB278" s="7">
        <v>1849634</v>
      </c>
      <c r="AC278" s="7">
        <v>1944000</v>
      </c>
      <c r="AD278" s="7">
        <v>1358951</v>
      </c>
      <c r="AE278" s="7">
        <v>976000</v>
      </c>
      <c r="AF278" s="7">
        <v>832088</v>
      </c>
      <c r="AG278" s="7">
        <v>980000</v>
      </c>
      <c r="AH278" s="8">
        <v>3.41</v>
      </c>
      <c r="AI278" s="8">
        <v>4</v>
      </c>
    </row>
    <row r="279" spans="1:35" x14ac:dyDescent="0.25">
      <c r="A279" s="6" t="str">
        <f>"110701"</f>
        <v>110701</v>
      </c>
      <c r="B279" s="6" t="s">
        <v>314</v>
      </c>
      <c r="C279" s="7">
        <v>41886438</v>
      </c>
      <c r="D279" s="7">
        <v>40884142</v>
      </c>
      <c r="E279" s="8">
        <v>-2.39</v>
      </c>
      <c r="F279" s="7">
        <v>15933460</v>
      </c>
      <c r="G279" s="7">
        <v>15933460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15933460</v>
      </c>
      <c r="O279" s="7">
        <v>15933460</v>
      </c>
      <c r="P279" s="8">
        <v>0</v>
      </c>
      <c r="Q279" s="7">
        <v>0</v>
      </c>
      <c r="R279" s="7">
        <v>0</v>
      </c>
      <c r="S279" s="7">
        <v>16006747</v>
      </c>
      <c r="T279" s="7">
        <v>16228603</v>
      </c>
      <c r="U279" s="7">
        <v>15933460</v>
      </c>
      <c r="V279" s="7">
        <v>15933460</v>
      </c>
      <c r="W279" s="7">
        <v>73287</v>
      </c>
      <c r="X279" s="7">
        <v>295143</v>
      </c>
      <c r="Y279" s="7">
        <v>1935</v>
      </c>
      <c r="Z279" s="7">
        <v>1923</v>
      </c>
      <c r="AA279" s="8">
        <v>-0.62</v>
      </c>
      <c r="AB279" s="7">
        <v>5334413</v>
      </c>
      <c r="AC279" s="7">
        <v>5334413</v>
      </c>
      <c r="AD279" s="7">
        <v>680000</v>
      </c>
      <c r="AE279" s="7">
        <v>680000</v>
      </c>
      <c r="AF279" s="7">
        <v>1675457</v>
      </c>
      <c r="AG279" s="7">
        <v>1635365</v>
      </c>
      <c r="AH279" s="8">
        <v>4</v>
      </c>
      <c r="AI279" s="8">
        <v>4</v>
      </c>
    </row>
    <row r="280" spans="1:35" x14ac:dyDescent="0.25">
      <c r="A280" s="6" t="str">
        <f>"431401"</f>
        <v>431401</v>
      </c>
      <c r="B280" s="6" t="s">
        <v>315</v>
      </c>
      <c r="C280" s="7">
        <v>17821289</v>
      </c>
      <c r="D280" s="7">
        <v>17128837</v>
      </c>
      <c r="E280" s="8">
        <v>-3.89</v>
      </c>
      <c r="F280" s="7">
        <v>9290552</v>
      </c>
      <c r="G280" s="7">
        <v>9148783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9290552</v>
      </c>
      <c r="O280" s="7">
        <v>9148783</v>
      </c>
      <c r="P280" s="8">
        <v>-1.53</v>
      </c>
      <c r="Q280" s="7">
        <v>0</v>
      </c>
      <c r="R280" s="7">
        <v>0</v>
      </c>
      <c r="S280" s="7">
        <v>9290552</v>
      </c>
      <c r="T280" s="7">
        <v>9148783</v>
      </c>
      <c r="U280" s="7">
        <v>9290552</v>
      </c>
      <c r="V280" s="7">
        <v>9148783</v>
      </c>
      <c r="W280" s="7">
        <v>0</v>
      </c>
      <c r="X280" s="7">
        <v>0</v>
      </c>
      <c r="Y280" s="7">
        <v>621</v>
      </c>
      <c r="Z280" s="7">
        <v>625</v>
      </c>
      <c r="AA280" s="8">
        <v>0.64</v>
      </c>
      <c r="AB280" s="7">
        <v>3445711</v>
      </c>
      <c r="AC280" s="7">
        <v>3510450</v>
      </c>
      <c r="AD280" s="7">
        <v>812078</v>
      </c>
      <c r="AE280" s="7">
        <v>692809</v>
      </c>
      <c r="AF280" s="7">
        <v>712852</v>
      </c>
      <c r="AG280" s="7">
        <v>685153</v>
      </c>
      <c r="AH280" s="8">
        <v>4</v>
      </c>
      <c r="AI280" s="8">
        <v>4</v>
      </c>
    </row>
    <row r="281" spans="1:35" x14ac:dyDescent="0.25">
      <c r="A281" s="6" t="str">
        <f>"260901"</f>
        <v>260901</v>
      </c>
      <c r="B281" s="6" t="s">
        <v>316</v>
      </c>
      <c r="C281" s="7">
        <v>48505508</v>
      </c>
      <c r="D281" s="7">
        <v>49220549</v>
      </c>
      <c r="E281" s="8">
        <v>1.47</v>
      </c>
      <c r="F281" s="7">
        <v>27236475</v>
      </c>
      <c r="G281" s="7">
        <v>27766651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27236475</v>
      </c>
      <c r="O281" s="7">
        <v>27766651</v>
      </c>
      <c r="P281" s="8">
        <v>1.95</v>
      </c>
      <c r="Q281" s="7">
        <v>0</v>
      </c>
      <c r="R281" s="7">
        <v>0</v>
      </c>
      <c r="S281" s="7">
        <v>27236475</v>
      </c>
      <c r="T281" s="7">
        <v>27766652</v>
      </c>
      <c r="U281" s="7">
        <v>27236475</v>
      </c>
      <c r="V281" s="7">
        <v>27766651</v>
      </c>
      <c r="W281" s="7">
        <v>0</v>
      </c>
      <c r="X281" s="7">
        <v>1</v>
      </c>
      <c r="Y281" s="7">
        <v>2223</v>
      </c>
      <c r="Z281" s="7">
        <v>2193</v>
      </c>
      <c r="AA281" s="8">
        <v>-1.35</v>
      </c>
      <c r="AB281" s="7">
        <v>5408499</v>
      </c>
      <c r="AC281" s="7">
        <v>5408499</v>
      </c>
      <c r="AD281" s="7">
        <v>1446000</v>
      </c>
      <c r="AE281" s="7">
        <v>840000</v>
      </c>
      <c r="AF281" s="7">
        <v>1940220</v>
      </c>
      <c r="AG281" s="7">
        <v>1968822</v>
      </c>
      <c r="AH281" s="8">
        <v>4</v>
      </c>
      <c r="AI281" s="8">
        <v>4</v>
      </c>
    </row>
    <row r="282" spans="1:35" x14ac:dyDescent="0.25">
      <c r="A282" s="6" t="str">
        <f>"491401"</f>
        <v>491401</v>
      </c>
      <c r="B282" s="6" t="s">
        <v>317</v>
      </c>
      <c r="C282" s="7">
        <v>20885539</v>
      </c>
      <c r="D282" s="7">
        <v>21170163</v>
      </c>
      <c r="E282" s="8">
        <v>1.36</v>
      </c>
      <c r="F282" s="7">
        <v>8722342</v>
      </c>
      <c r="G282" s="7">
        <v>8622342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8722342</v>
      </c>
      <c r="O282" s="7">
        <v>8622342</v>
      </c>
      <c r="P282" s="8">
        <v>-1.1499999999999999</v>
      </c>
      <c r="Q282" s="7">
        <v>72839</v>
      </c>
      <c r="R282" s="7">
        <v>31133</v>
      </c>
      <c r="S282" s="7">
        <v>8773095</v>
      </c>
      <c r="T282" s="7">
        <v>8787633</v>
      </c>
      <c r="U282" s="7">
        <v>8649503</v>
      </c>
      <c r="V282" s="7">
        <v>8591209</v>
      </c>
      <c r="W282" s="7">
        <v>123592</v>
      </c>
      <c r="X282" s="7">
        <v>196424</v>
      </c>
      <c r="Y282" s="7">
        <v>951</v>
      </c>
      <c r="Z282" s="7">
        <v>917</v>
      </c>
      <c r="AA282" s="8">
        <v>-3.58</v>
      </c>
      <c r="AB282" s="7">
        <v>4821041</v>
      </c>
      <c r="AC282" s="7">
        <v>5358235</v>
      </c>
      <c r="AD282" s="7">
        <v>887389</v>
      </c>
      <c r="AE282" s="7">
        <v>987464</v>
      </c>
      <c r="AF282" s="7">
        <v>1424583</v>
      </c>
      <c r="AG282" s="7">
        <v>846806</v>
      </c>
      <c r="AH282" s="8">
        <v>6.82</v>
      </c>
      <c r="AI282" s="8">
        <v>4</v>
      </c>
    </row>
    <row r="283" spans="1:35" x14ac:dyDescent="0.25">
      <c r="A283" s="6" t="str">
        <f>"490501"</f>
        <v>490501</v>
      </c>
      <c r="B283" s="6" t="s">
        <v>318</v>
      </c>
      <c r="C283" s="7">
        <v>23552915</v>
      </c>
      <c r="D283" s="7">
        <v>23448979</v>
      </c>
      <c r="E283" s="8">
        <v>-0.44</v>
      </c>
      <c r="F283" s="7">
        <v>9470390</v>
      </c>
      <c r="G283" s="7">
        <v>9574996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9470390</v>
      </c>
      <c r="O283" s="7">
        <v>9574996</v>
      </c>
      <c r="P283" s="8">
        <v>1.1000000000000001</v>
      </c>
      <c r="Q283" s="7">
        <v>382677</v>
      </c>
      <c r="R283" s="7">
        <v>373386</v>
      </c>
      <c r="S283" s="7">
        <v>9087713</v>
      </c>
      <c r="T283" s="7">
        <v>9201610</v>
      </c>
      <c r="U283" s="7">
        <v>9087713</v>
      </c>
      <c r="V283" s="7">
        <v>9201610</v>
      </c>
      <c r="W283" s="7">
        <v>0</v>
      </c>
      <c r="X283" s="7">
        <v>0</v>
      </c>
      <c r="Y283" s="7">
        <v>1121</v>
      </c>
      <c r="Z283" s="7">
        <v>1128</v>
      </c>
      <c r="AA283" s="8">
        <v>0.62</v>
      </c>
      <c r="AB283" s="7">
        <v>1264716</v>
      </c>
      <c r="AC283" s="7">
        <v>1252715</v>
      </c>
      <c r="AD283" s="7">
        <v>1820376</v>
      </c>
      <c r="AE283" s="7">
        <v>1750000</v>
      </c>
      <c r="AF283" s="7">
        <v>817924</v>
      </c>
      <c r="AG283" s="7">
        <v>800000</v>
      </c>
      <c r="AH283" s="8">
        <v>3.47</v>
      </c>
      <c r="AI283" s="8">
        <v>3.41</v>
      </c>
    </row>
    <row r="284" spans="1:35" x14ac:dyDescent="0.25">
      <c r="A284" s="6" t="str">
        <f>"571800"</f>
        <v>571800</v>
      </c>
      <c r="B284" s="6" t="s">
        <v>319</v>
      </c>
      <c r="C284" s="7">
        <v>37223952</v>
      </c>
      <c r="D284" s="7">
        <v>38114393</v>
      </c>
      <c r="E284" s="8">
        <v>2.39</v>
      </c>
      <c r="F284" s="7">
        <v>7038242</v>
      </c>
      <c r="G284" s="7">
        <v>6853682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7038242</v>
      </c>
      <c r="O284" s="7">
        <v>6853682</v>
      </c>
      <c r="P284" s="8">
        <v>-2.62</v>
      </c>
      <c r="Q284" s="7">
        <v>0</v>
      </c>
      <c r="R284" s="7">
        <v>0</v>
      </c>
      <c r="S284" s="7">
        <v>7096277</v>
      </c>
      <c r="T284" s="7">
        <v>7311039</v>
      </c>
      <c r="U284" s="7">
        <v>7038242</v>
      </c>
      <c r="V284" s="7">
        <v>6853682</v>
      </c>
      <c r="W284" s="7">
        <v>58035</v>
      </c>
      <c r="X284" s="7">
        <v>457357</v>
      </c>
      <c r="Y284" s="7">
        <v>1750</v>
      </c>
      <c r="Z284" s="7">
        <v>1740</v>
      </c>
      <c r="AA284" s="8">
        <v>-0.56999999999999995</v>
      </c>
      <c r="AB284" s="7">
        <v>10500000</v>
      </c>
      <c r="AC284" s="7">
        <v>10762500</v>
      </c>
      <c r="AD284" s="7">
        <v>1405000</v>
      </c>
      <c r="AE284" s="7">
        <v>680000</v>
      </c>
      <c r="AF284" s="7">
        <v>1475509</v>
      </c>
      <c r="AG284" s="7">
        <v>1512396</v>
      </c>
      <c r="AH284" s="8">
        <v>3.96</v>
      </c>
      <c r="AI284" s="8">
        <v>3.97</v>
      </c>
    </row>
    <row r="285" spans="1:35" x14ac:dyDescent="0.25">
      <c r="A285" s="6" t="str">
        <f>"070901"</f>
        <v>070901</v>
      </c>
      <c r="B285" s="6" t="s">
        <v>320</v>
      </c>
      <c r="C285" s="7">
        <v>73737117</v>
      </c>
      <c r="D285" s="7">
        <v>74993599</v>
      </c>
      <c r="E285" s="8">
        <v>1.7</v>
      </c>
      <c r="F285" s="7">
        <v>35307604</v>
      </c>
      <c r="G285" s="7">
        <v>36082023</v>
      </c>
      <c r="H285" s="7" t="s">
        <v>41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35307604</v>
      </c>
      <c r="O285" s="7">
        <v>36082023</v>
      </c>
      <c r="P285" s="8">
        <v>2.19</v>
      </c>
      <c r="Q285" s="7">
        <v>0</v>
      </c>
      <c r="R285" s="7">
        <v>0</v>
      </c>
      <c r="S285" s="7">
        <v>35307604</v>
      </c>
      <c r="T285" s="7">
        <v>36082023</v>
      </c>
      <c r="U285" s="7">
        <v>35307604</v>
      </c>
      <c r="V285" s="7">
        <v>36082023</v>
      </c>
      <c r="W285" s="7">
        <v>0</v>
      </c>
      <c r="X285" s="7">
        <v>0</v>
      </c>
      <c r="Y285" s="7">
        <v>4012</v>
      </c>
      <c r="Z285" s="7">
        <v>3968</v>
      </c>
      <c r="AA285" s="8">
        <v>-1.1000000000000001</v>
      </c>
      <c r="AB285" s="7">
        <v>17501836</v>
      </c>
      <c r="AC285" s="7">
        <v>18058298</v>
      </c>
      <c r="AD285" s="7">
        <v>2500000</v>
      </c>
      <c r="AE285" s="7">
        <v>2500000</v>
      </c>
      <c r="AF285" s="7">
        <v>5632863</v>
      </c>
      <c r="AG285" s="7">
        <v>4999774</v>
      </c>
      <c r="AH285" s="8">
        <v>7.64</v>
      </c>
      <c r="AI285" s="8">
        <v>6.67</v>
      </c>
    </row>
    <row r="286" spans="1:35" x14ac:dyDescent="0.25">
      <c r="A286" s="6" t="str">
        <f>"101300"</f>
        <v>101300</v>
      </c>
      <c r="B286" s="6" t="s">
        <v>321</v>
      </c>
      <c r="C286" s="7">
        <v>45910371</v>
      </c>
      <c r="D286" s="7">
        <v>46566172</v>
      </c>
      <c r="E286" s="8">
        <v>1.43</v>
      </c>
      <c r="F286" s="7">
        <v>21930871</v>
      </c>
      <c r="G286" s="7">
        <v>22411833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21930871</v>
      </c>
      <c r="O286" s="7">
        <v>22411833</v>
      </c>
      <c r="P286" s="8">
        <v>2.19</v>
      </c>
      <c r="Q286" s="7">
        <v>540675</v>
      </c>
      <c r="R286" s="7">
        <v>565434</v>
      </c>
      <c r="S286" s="7">
        <v>21390196</v>
      </c>
      <c r="T286" s="7">
        <v>21981399</v>
      </c>
      <c r="U286" s="7">
        <v>21390196</v>
      </c>
      <c r="V286" s="7">
        <v>21846399</v>
      </c>
      <c r="W286" s="7">
        <v>0</v>
      </c>
      <c r="X286" s="7">
        <v>135000</v>
      </c>
      <c r="Y286" s="7">
        <v>1781</v>
      </c>
      <c r="Z286" s="7">
        <v>1775</v>
      </c>
      <c r="AA286" s="8">
        <v>-0.34</v>
      </c>
      <c r="AB286" s="7">
        <v>2592103</v>
      </c>
      <c r="AC286" s="7">
        <v>2592103</v>
      </c>
      <c r="AD286" s="7">
        <v>453802</v>
      </c>
      <c r="AE286" s="7">
        <v>153802</v>
      </c>
      <c r="AF286" s="7">
        <v>1836415</v>
      </c>
      <c r="AG286" s="7">
        <v>1862647</v>
      </c>
      <c r="AH286" s="8">
        <v>4</v>
      </c>
      <c r="AI286" s="8">
        <v>4</v>
      </c>
    </row>
    <row r="287" spans="1:35" x14ac:dyDescent="0.25">
      <c r="A287" s="6" t="str">
        <f>"641301"</f>
        <v>641301</v>
      </c>
      <c r="B287" s="6" t="s">
        <v>322</v>
      </c>
      <c r="C287" s="7">
        <v>43459271</v>
      </c>
      <c r="D287" s="7">
        <v>44396412</v>
      </c>
      <c r="E287" s="8">
        <v>2.16</v>
      </c>
      <c r="F287" s="7">
        <v>11857762</v>
      </c>
      <c r="G287" s="7">
        <v>12005984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11857762</v>
      </c>
      <c r="O287" s="7">
        <v>12005984</v>
      </c>
      <c r="P287" s="8">
        <v>1.25</v>
      </c>
      <c r="Q287" s="7">
        <v>0</v>
      </c>
      <c r="R287" s="7">
        <v>0</v>
      </c>
      <c r="S287" s="7">
        <v>11880687</v>
      </c>
      <c r="T287" s="7">
        <v>12105881</v>
      </c>
      <c r="U287" s="7">
        <v>11857762</v>
      </c>
      <c r="V287" s="7">
        <v>12005984</v>
      </c>
      <c r="W287" s="7">
        <v>22925</v>
      </c>
      <c r="X287" s="7">
        <v>99897</v>
      </c>
      <c r="Y287" s="7">
        <v>2382</v>
      </c>
      <c r="Z287" s="7">
        <v>2394</v>
      </c>
      <c r="AA287" s="8">
        <v>0.5</v>
      </c>
      <c r="AB287" s="7">
        <v>1514564</v>
      </c>
      <c r="AC287" s="7">
        <v>1464378</v>
      </c>
      <c r="AD287" s="7">
        <v>537713</v>
      </c>
      <c r="AE287" s="7">
        <v>411169</v>
      </c>
      <c r="AF287" s="7">
        <v>1150792</v>
      </c>
      <c r="AG287" s="7">
        <v>1640262</v>
      </c>
      <c r="AH287" s="8">
        <v>2.65</v>
      </c>
      <c r="AI287" s="8">
        <v>3.69</v>
      </c>
    </row>
    <row r="288" spans="1:35" x14ac:dyDescent="0.25">
      <c r="A288" s="6" t="str">
        <f>"190901"</f>
        <v>190901</v>
      </c>
      <c r="B288" s="6" t="s">
        <v>323</v>
      </c>
      <c r="C288" s="7">
        <v>13889437</v>
      </c>
      <c r="D288" s="7">
        <v>14042262</v>
      </c>
      <c r="E288" s="8">
        <v>1.1000000000000001</v>
      </c>
      <c r="F288" s="7">
        <v>10920882</v>
      </c>
      <c r="G288" s="7">
        <v>10944526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10920882</v>
      </c>
      <c r="O288" s="7">
        <v>10944526</v>
      </c>
      <c r="P288" s="8">
        <v>0.22</v>
      </c>
      <c r="Q288" s="7">
        <v>1376138</v>
      </c>
      <c r="R288" s="7">
        <v>1271036</v>
      </c>
      <c r="S288" s="7">
        <v>9544744</v>
      </c>
      <c r="T288" s="7">
        <v>9673490</v>
      </c>
      <c r="U288" s="7">
        <v>9544744</v>
      </c>
      <c r="V288" s="7">
        <v>9673490</v>
      </c>
      <c r="W288" s="7">
        <v>0</v>
      </c>
      <c r="X288" s="7">
        <v>0</v>
      </c>
      <c r="Y288" s="7">
        <v>330</v>
      </c>
      <c r="Z288" s="7">
        <v>368</v>
      </c>
      <c r="AA288" s="8">
        <v>11.52</v>
      </c>
      <c r="AB288" s="7">
        <v>1828057</v>
      </c>
      <c r="AC288" s="7">
        <v>1626885</v>
      </c>
      <c r="AD288" s="7">
        <v>428020</v>
      </c>
      <c r="AE288" s="7">
        <v>391217</v>
      </c>
      <c r="AF288" s="7">
        <v>2973231</v>
      </c>
      <c r="AG288" s="7">
        <v>2806056</v>
      </c>
      <c r="AH288" s="8">
        <v>21.41</v>
      </c>
      <c r="AI288" s="8">
        <v>19.98</v>
      </c>
    </row>
    <row r="289" spans="1:35" x14ac:dyDescent="0.25">
      <c r="A289" s="6" t="str">
        <f>"580403"</f>
        <v>580403</v>
      </c>
      <c r="B289" s="6" t="s">
        <v>324</v>
      </c>
      <c r="C289" s="7">
        <v>123100263</v>
      </c>
      <c r="D289" s="7">
        <v>126213223</v>
      </c>
      <c r="E289" s="8">
        <v>2.5299999999999998</v>
      </c>
      <c r="F289" s="7">
        <v>103421141</v>
      </c>
      <c r="G289" s="7">
        <v>104814107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103421141</v>
      </c>
      <c r="O289" s="7">
        <v>104814107</v>
      </c>
      <c r="P289" s="8">
        <v>1.35</v>
      </c>
      <c r="Q289" s="7">
        <v>0</v>
      </c>
      <c r="R289" s="7">
        <v>0</v>
      </c>
      <c r="S289" s="7">
        <v>103701584</v>
      </c>
      <c r="T289" s="7">
        <v>105380527</v>
      </c>
      <c r="U289" s="7">
        <v>103421141</v>
      </c>
      <c r="V289" s="7">
        <v>104814107</v>
      </c>
      <c r="W289" s="7">
        <v>280443</v>
      </c>
      <c r="X289" s="7">
        <v>566420</v>
      </c>
      <c r="Y289" s="7">
        <v>4546</v>
      </c>
      <c r="Z289" s="7">
        <v>4641</v>
      </c>
      <c r="AA289" s="8">
        <v>2.09</v>
      </c>
      <c r="AB289" s="7">
        <v>20893001</v>
      </c>
      <c r="AC289" s="7">
        <v>20511501</v>
      </c>
      <c r="AD289" s="7">
        <v>1708214</v>
      </c>
      <c r="AE289" s="7">
        <v>1400000</v>
      </c>
      <c r="AF289" s="7">
        <v>4924011</v>
      </c>
      <c r="AG289" s="7">
        <v>5048529</v>
      </c>
      <c r="AH289" s="8">
        <v>4</v>
      </c>
      <c r="AI289" s="8">
        <v>4</v>
      </c>
    </row>
    <row r="290" spans="1:35" x14ac:dyDescent="0.25">
      <c r="A290" s="6" t="str">
        <f>"130801"</f>
        <v>130801</v>
      </c>
      <c r="B290" s="6" t="s">
        <v>325</v>
      </c>
      <c r="C290" s="7">
        <v>90437654</v>
      </c>
      <c r="D290" s="7">
        <v>91733017</v>
      </c>
      <c r="E290" s="8">
        <v>1.43</v>
      </c>
      <c r="F290" s="7">
        <v>57948712</v>
      </c>
      <c r="G290" s="7">
        <v>58678866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57948712</v>
      </c>
      <c r="O290" s="7">
        <v>58678866</v>
      </c>
      <c r="P290" s="8">
        <v>1.26</v>
      </c>
      <c r="Q290" s="7">
        <v>1561820</v>
      </c>
      <c r="R290" s="7">
        <v>1559755</v>
      </c>
      <c r="S290" s="7">
        <v>56386892</v>
      </c>
      <c r="T290" s="7">
        <v>57545243</v>
      </c>
      <c r="U290" s="7">
        <v>56386892</v>
      </c>
      <c r="V290" s="7">
        <v>57119111</v>
      </c>
      <c r="W290" s="7">
        <v>0</v>
      </c>
      <c r="X290" s="7">
        <v>426132</v>
      </c>
      <c r="Y290" s="7">
        <v>3589</v>
      </c>
      <c r="Z290" s="7">
        <v>3542</v>
      </c>
      <c r="AA290" s="8">
        <v>-1.31</v>
      </c>
      <c r="AB290" s="7">
        <v>9356083</v>
      </c>
      <c r="AC290" s="7">
        <v>14794735</v>
      </c>
      <c r="AD290" s="7">
        <v>3028605</v>
      </c>
      <c r="AE290" s="7">
        <v>2634316</v>
      </c>
      <c r="AF290" s="7">
        <v>6837038</v>
      </c>
      <c r="AG290" s="7">
        <v>4047322</v>
      </c>
      <c r="AH290" s="8">
        <v>7.56</v>
      </c>
      <c r="AI290" s="8">
        <v>4.41</v>
      </c>
    </row>
    <row r="291" spans="1:35" x14ac:dyDescent="0.25">
      <c r="A291" s="6" t="str">
        <f>"200401"</f>
        <v>200401</v>
      </c>
      <c r="B291" s="6" t="s">
        <v>326</v>
      </c>
      <c r="C291" s="7">
        <v>6259986</v>
      </c>
      <c r="D291" s="7">
        <v>6319590</v>
      </c>
      <c r="E291" s="8">
        <v>0.95</v>
      </c>
      <c r="F291" s="7">
        <v>4723486</v>
      </c>
      <c r="G291" s="7">
        <v>4823090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4723486</v>
      </c>
      <c r="O291" s="7">
        <v>4823090</v>
      </c>
      <c r="P291" s="8">
        <v>2.11</v>
      </c>
      <c r="Q291" s="7">
        <v>221710</v>
      </c>
      <c r="R291" s="7">
        <v>246018</v>
      </c>
      <c r="S291" s="7">
        <v>4501776</v>
      </c>
      <c r="T291" s="7">
        <v>4577072</v>
      </c>
      <c r="U291" s="7">
        <v>4501776</v>
      </c>
      <c r="V291" s="7">
        <v>4577072</v>
      </c>
      <c r="W291" s="7">
        <v>0</v>
      </c>
      <c r="X291" s="7">
        <v>0</v>
      </c>
      <c r="Y291" s="7">
        <v>119</v>
      </c>
      <c r="Z291" s="7">
        <v>117</v>
      </c>
      <c r="AA291" s="8">
        <v>-1.68</v>
      </c>
      <c r="AB291" s="7">
        <v>497002</v>
      </c>
      <c r="AC291" s="7">
        <v>504190</v>
      </c>
      <c r="AD291" s="7">
        <v>1061121</v>
      </c>
      <c r="AE291" s="7">
        <v>735000</v>
      </c>
      <c r="AF291" s="7">
        <v>250399</v>
      </c>
      <c r="AG291" s="7">
        <v>252784</v>
      </c>
      <c r="AH291" s="8">
        <v>4</v>
      </c>
      <c r="AI291" s="8">
        <v>4</v>
      </c>
    </row>
    <row r="292" spans="1:35" x14ac:dyDescent="0.25">
      <c r="A292" s="6" t="str">
        <f>"220301"</f>
        <v>220301</v>
      </c>
      <c r="B292" s="6" t="s">
        <v>327</v>
      </c>
      <c r="C292" s="7">
        <v>85236911</v>
      </c>
      <c r="D292" s="7">
        <v>87383038</v>
      </c>
      <c r="E292" s="8">
        <v>2.52</v>
      </c>
      <c r="F292" s="7">
        <v>3329996</v>
      </c>
      <c r="G292" s="7">
        <v>3363355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3329996</v>
      </c>
      <c r="O292" s="7">
        <v>3363355</v>
      </c>
      <c r="P292" s="8">
        <v>1</v>
      </c>
      <c r="Q292" s="7">
        <v>157822</v>
      </c>
      <c r="R292" s="7">
        <v>738557</v>
      </c>
      <c r="S292" s="7">
        <v>3366376</v>
      </c>
      <c r="T292" s="7">
        <v>3292358</v>
      </c>
      <c r="U292" s="7">
        <v>3172174</v>
      </c>
      <c r="V292" s="7">
        <v>2624798</v>
      </c>
      <c r="W292" s="7">
        <v>194202</v>
      </c>
      <c r="X292" s="7">
        <v>667560</v>
      </c>
      <c r="Y292" s="7">
        <v>3805</v>
      </c>
      <c r="Z292" s="7">
        <v>3914</v>
      </c>
      <c r="AA292" s="8">
        <v>2.86</v>
      </c>
      <c r="AB292" s="7">
        <v>3500000</v>
      </c>
      <c r="AC292" s="7">
        <v>9500000</v>
      </c>
      <c r="AD292" s="7">
        <v>18668950</v>
      </c>
      <c r="AE292" s="7">
        <v>19870968</v>
      </c>
      <c r="AF292" s="7">
        <v>2801957</v>
      </c>
      <c r="AG292" s="7">
        <v>2451968</v>
      </c>
      <c r="AH292" s="8">
        <v>3.29</v>
      </c>
      <c r="AI292" s="8">
        <v>2.81</v>
      </c>
    </row>
    <row r="293" spans="1:35" x14ac:dyDescent="0.25">
      <c r="A293" s="6" t="str">
        <f>"141301"</f>
        <v>141301</v>
      </c>
      <c r="B293" s="6" t="s">
        <v>328</v>
      </c>
      <c r="C293" s="7">
        <v>47980609</v>
      </c>
      <c r="D293" s="7">
        <v>49026895</v>
      </c>
      <c r="E293" s="8">
        <v>2.1800000000000002</v>
      </c>
      <c r="F293" s="7">
        <v>28068629</v>
      </c>
      <c r="G293" s="7">
        <v>28847815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28068629</v>
      </c>
      <c r="O293" s="7">
        <v>28847815</v>
      </c>
      <c r="P293" s="8">
        <v>2.78</v>
      </c>
      <c r="Q293" s="7">
        <v>31618</v>
      </c>
      <c r="R293" s="7">
        <v>130536</v>
      </c>
      <c r="S293" s="7">
        <v>28037011</v>
      </c>
      <c r="T293" s="7">
        <v>28717279</v>
      </c>
      <c r="U293" s="7">
        <v>28037011</v>
      </c>
      <c r="V293" s="7">
        <v>28717279</v>
      </c>
      <c r="W293" s="7">
        <v>0</v>
      </c>
      <c r="X293" s="7">
        <v>0</v>
      </c>
      <c r="Y293" s="7">
        <v>2261</v>
      </c>
      <c r="Z293" s="7">
        <v>2176</v>
      </c>
      <c r="AA293" s="8">
        <v>-3.76</v>
      </c>
      <c r="AB293" s="7">
        <v>12171635</v>
      </c>
      <c r="AC293" s="7">
        <v>6803966</v>
      </c>
      <c r="AD293" s="7">
        <v>1773612</v>
      </c>
      <c r="AE293" s="7">
        <v>1773612</v>
      </c>
      <c r="AF293" s="7">
        <v>1919228</v>
      </c>
      <c r="AG293" s="7">
        <v>1961851</v>
      </c>
      <c r="AH293" s="8">
        <v>4</v>
      </c>
      <c r="AI293" s="8">
        <v>4</v>
      </c>
    </row>
    <row r="294" spans="1:35" x14ac:dyDescent="0.25">
      <c r="A294" s="6" t="str">
        <f>"660402"</f>
        <v>660402</v>
      </c>
      <c r="B294" s="6" t="s">
        <v>329</v>
      </c>
      <c r="C294" s="7">
        <v>58330000</v>
      </c>
      <c r="D294" s="7">
        <v>59100494</v>
      </c>
      <c r="E294" s="8">
        <v>1.32</v>
      </c>
      <c r="F294" s="7">
        <v>50890214</v>
      </c>
      <c r="G294" s="7">
        <v>52422629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50890214</v>
      </c>
      <c r="O294" s="7">
        <v>52422629</v>
      </c>
      <c r="P294" s="8">
        <v>3.01</v>
      </c>
      <c r="Q294" s="7">
        <v>2768294</v>
      </c>
      <c r="R294" s="7">
        <v>2718422</v>
      </c>
      <c r="S294" s="7">
        <v>48122224</v>
      </c>
      <c r="T294" s="7">
        <v>49704207</v>
      </c>
      <c r="U294" s="7">
        <v>48121920</v>
      </c>
      <c r="V294" s="7">
        <v>49704207</v>
      </c>
      <c r="W294" s="7">
        <v>304</v>
      </c>
      <c r="X294" s="7">
        <v>0</v>
      </c>
      <c r="Y294" s="7">
        <v>1770</v>
      </c>
      <c r="Z294" s="7">
        <v>1750</v>
      </c>
      <c r="AA294" s="8">
        <v>-1.1299999999999999</v>
      </c>
      <c r="AB294" s="7">
        <v>3217571</v>
      </c>
      <c r="AC294" s="7">
        <v>3229354</v>
      </c>
      <c r="AD294" s="7">
        <v>530000</v>
      </c>
      <c r="AE294" s="7">
        <v>422500</v>
      </c>
      <c r="AF294" s="7">
        <v>2333200</v>
      </c>
      <c r="AG294" s="7">
        <v>2364020</v>
      </c>
      <c r="AH294" s="8">
        <v>4</v>
      </c>
      <c r="AI294" s="8">
        <v>4</v>
      </c>
    </row>
    <row r="295" spans="1:35" x14ac:dyDescent="0.25">
      <c r="A295" s="6" t="str">
        <f>"280231"</f>
        <v>280231</v>
      </c>
      <c r="B295" s="6" t="s">
        <v>330</v>
      </c>
      <c r="C295" s="7">
        <v>38784548</v>
      </c>
      <c r="D295" s="7">
        <v>39312704</v>
      </c>
      <c r="E295" s="8">
        <v>1.36</v>
      </c>
      <c r="F295" s="7">
        <v>31050117</v>
      </c>
      <c r="G295" s="7">
        <v>31508198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31050117</v>
      </c>
      <c r="O295" s="7">
        <v>31508198</v>
      </c>
      <c r="P295" s="8">
        <v>1.48</v>
      </c>
      <c r="Q295" s="7">
        <v>1499777</v>
      </c>
      <c r="R295" s="7">
        <v>1731113</v>
      </c>
      <c r="S295" s="7">
        <v>29551092</v>
      </c>
      <c r="T295" s="7">
        <v>30235352</v>
      </c>
      <c r="U295" s="7">
        <v>29550340</v>
      </c>
      <c r="V295" s="7">
        <v>29777085</v>
      </c>
      <c r="W295" s="7">
        <v>752</v>
      </c>
      <c r="X295" s="7">
        <v>458267</v>
      </c>
      <c r="Y295" s="7">
        <v>1064</v>
      </c>
      <c r="Z295" s="7">
        <v>1122</v>
      </c>
      <c r="AA295" s="8">
        <v>5.45</v>
      </c>
      <c r="AB295" s="7">
        <v>8475385</v>
      </c>
      <c r="AC295" s="7">
        <v>8152760</v>
      </c>
      <c r="AD295" s="7">
        <v>3602942</v>
      </c>
      <c r="AE295" s="7">
        <v>3577635</v>
      </c>
      <c r="AF295" s="7">
        <v>1551382</v>
      </c>
      <c r="AG295" s="7">
        <v>1572508</v>
      </c>
      <c r="AH295" s="8">
        <v>4</v>
      </c>
      <c r="AI295" s="8">
        <v>4</v>
      </c>
    </row>
    <row r="296" spans="1:35" x14ac:dyDescent="0.25">
      <c r="A296" s="6" t="str">
        <f>"280226"</f>
        <v>280226</v>
      </c>
      <c r="B296" s="6" t="s">
        <v>331</v>
      </c>
      <c r="C296" s="7">
        <v>61750343</v>
      </c>
      <c r="D296" s="7">
        <v>63389838</v>
      </c>
      <c r="E296" s="8">
        <v>2.66</v>
      </c>
      <c r="F296" s="7">
        <v>40844255</v>
      </c>
      <c r="G296" s="7">
        <v>41992530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40844255</v>
      </c>
      <c r="O296" s="7">
        <v>41992530</v>
      </c>
      <c r="P296" s="8">
        <v>2.81</v>
      </c>
      <c r="Q296" s="7">
        <v>936604</v>
      </c>
      <c r="R296" s="7">
        <v>1574470</v>
      </c>
      <c r="S296" s="7">
        <v>39907651</v>
      </c>
      <c r="T296" s="7">
        <v>40418060</v>
      </c>
      <c r="U296" s="7">
        <v>39907651</v>
      </c>
      <c r="V296" s="7">
        <v>40418060</v>
      </c>
      <c r="W296" s="7">
        <v>0</v>
      </c>
      <c r="X296" s="7">
        <v>0</v>
      </c>
      <c r="Y296" s="7">
        <v>2305</v>
      </c>
      <c r="Z296" s="7">
        <v>2281</v>
      </c>
      <c r="AA296" s="8">
        <v>-1.04</v>
      </c>
      <c r="AB296" s="7">
        <v>4918551</v>
      </c>
      <c r="AC296" s="7">
        <v>4948551</v>
      </c>
      <c r="AD296" s="7">
        <v>2550000</v>
      </c>
      <c r="AE296" s="7">
        <v>2550000</v>
      </c>
      <c r="AF296" s="7">
        <v>2466703</v>
      </c>
      <c r="AG296" s="7">
        <v>2535500</v>
      </c>
      <c r="AH296" s="8">
        <v>3.99</v>
      </c>
      <c r="AI296" s="8">
        <v>4</v>
      </c>
    </row>
    <row r="297" spans="1:35" x14ac:dyDescent="0.25">
      <c r="A297" s="6" t="str">
        <f>"580502"</f>
        <v>580502</v>
      </c>
      <c r="B297" s="6" t="s">
        <v>332</v>
      </c>
      <c r="C297" s="7">
        <v>80882464</v>
      </c>
      <c r="D297" s="7">
        <v>82443203</v>
      </c>
      <c r="E297" s="8">
        <v>1.93</v>
      </c>
      <c r="F297" s="7">
        <v>56462846</v>
      </c>
      <c r="G297" s="7">
        <v>57425613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56462846</v>
      </c>
      <c r="O297" s="7">
        <v>57425613</v>
      </c>
      <c r="P297" s="8">
        <v>1.71</v>
      </c>
      <c r="Q297" s="7">
        <v>1930103</v>
      </c>
      <c r="R297" s="7">
        <v>2204300</v>
      </c>
      <c r="S297" s="7">
        <v>52429576</v>
      </c>
      <c r="T297" s="7">
        <v>55221313</v>
      </c>
      <c r="U297" s="7">
        <v>54532743</v>
      </c>
      <c r="V297" s="7">
        <v>55221313</v>
      </c>
      <c r="W297" s="7">
        <v>-2103167</v>
      </c>
      <c r="X297" s="7">
        <v>0</v>
      </c>
      <c r="Y297" s="7">
        <v>2825</v>
      </c>
      <c r="Z297" s="7">
        <v>2790</v>
      </c>
      <c r="AA297" s="8">
        <v>-1.24</v>
      </c>
      <c r="AB297" s="7">
        <v>4533091</v>
      </c>
      <c r="AC297" s="7">
        <v>4500000</v>
      </c>
      <c r="AD297" s="7">
        <v>2000000</v>
      </c>
      <c r="AE297" s="7">
        <v>2000000</v>
      </c>
      <c r="AF297" s="7">
        <v>3235299</v>
      </c>
      <c r="AG297" s="7">
        <v>3100000</v>
      </c>
      <c r="AH297" s="8">
        <v>4</v>
      </c>
      <c r="AI297" s="8">
        <v>3.76</v>
      </c>
    </row>
    <row r="298" spans="1:35" x14ac:dyDescent="0.25">
      <c r="A298" s="6" t="str">
        <f>"610600"</f>
        <v>610600</v>
      </c>
      <c r="B298" s="6" t="s">
        <v>333</v>
      </c>
      <c r="C298" s="7">
        <v>119088829</v>
      </c>
      <c r="D298" s="7">
        <v>124689000</v>
      </c>
      <c r="E298" s="8">
        <v>4.7</v>
      </c>
      <c r="F298" s="7">
        <v>83901290</v>
      </c>
      <c r="G298" s="7">
        <v>85717703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83901290</v>
      </c>
      <c r="O298" s="7">
        <v>85717703</v>
      </c>
      <c r="P298" s="8">
        <v>2.16</v>
      </c>
      <c r="Q298" s="7">
        <v>5207104</v>
      </c>
      <c r="R298" s="7">
        <v>5088037</v>
      </c>
      <c r="S298" s="7">
        <v>78694186</v>
      </c>
      <c r="T298" s="7">
        <v>80629666</v>
      </c>
      <c r="U298" s="7">
        <v>78694186</v>
      </c>
      <c r="V298" s="7">
        <v>80629666</v>
      </c>
      <c r="W298" s="7">
        <v>0</v>
      </c>
      <c r="X298" s="7">
        <v>0</v>
      </c>
      <c r="Y298" s="7">
        <v>5329</v>
      </c>
      <c r="Z298" s="7">
        <v>5329</v>
      </c>
      <c r="AA298" s="8">
        <v>0</v>
      </c>
      <c r="AB298" s="7">
        <v>7791897</v>
      </c>
      <c r="AC298" s="7">
        <v>9355874</v>
      </c>
      <c r="AD298" s="7">
        <v>3601110</v>
      </c>
      <c r="AE298" s="7">
        <v>4330000</v>
      </c>
      <c r="AF298" s="7">
        <v>4700823</v>
      </c>
      <c r="AG298" s="7">
        <v>4925216</v>
      </c>
      <c r="AH298" s="8">
        <v>3.95</v>
      </c>
      <c r="AI298" s="8">
        <v>3.95</v>
      </c>
    </row>
    <row r="299" spans="1:35" x14ac:dyDescent="0.25">
      <c r="A299" s="6" t="str">
        <f>"061700"</f>
        <v>061700</v>
      </c>
      <c r="B299" s="6" t="s">
        <v>334</v>
      </c>
      <c r="C299" s="7">
        <v>79183399</v>
      </c>
      <c r="D299" s="7">
        <v>84948220</v>
      </c>
      <c r="E299" s="8">
        <v>7.28</v>
      </c>
      <c r="F299" s="7">
        <v>14641567</v>
      </c>
      <c r="G299" s="7">
        <v>14641567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14641567</v>
      </c>
      <c r="O299" s="7">
        <v>14641567</v>
      </c>
      <c r="P299" s="8">
        <v>0</v>
      </c>
      <c r="Q299" s="7">
        <v>581672</v>
      </c>
      <c r="R299" s="7">
        <v>559578</v>
      </c>
      <c r="S299" s="7">
        <v>15095654</v>
      </c>
      <c r="T299" s="7">
        <v>14514240</v>
      </c>
      <c r="U299" s="7">
        <v>14059895</v>
      </c>
      <c r="V299" s="7">
        <v>14081989</v>
      </c>
      <c r="W299" s="7">
        <v>1035759</v>
      </c>
      <c r="X299" s="7">
        <v>432251</v>
      </c>
      <c r="Y299" s="7">
        <v>4687</v>
      </c>
      <c r="Z299" s="7">
        <v>4719</v>
      </c>
      <c r="AA299" s="8">
        <v>0.68</v>
      </c>
      <c r="AB299" s="7">
        <v>2633348</v>
      </c>
      <c r="AC299" s="7">
        <v>5864687</v>
      </c>
      <c r="AD299" s="7">
        <v>0</v>
      </c>
      <c r="AE299" s="7">
        <v>500000</v>
      </c>
      <c r="AF299" s="7">
        <v>4936393</v>
      </c>
      <c r="AG299" s="7">
        <v>3347929</v>
      </c>
      <c r="AH299" s="8">
        <v>6.23</v>
      </c>
      <c r="AI299" s="8">
        <v>3.94</v>
      </c>
    </row>
    <row r="300" spans="1:35" x14ac:dyDescent="0.25">
      <c r="A300" s="6" t="str">
        <f>"420411"</f>
        <v>420411</v>
      </c>
      <c r="B300" s="6" t="s">
        <v>335</v>
      </c>
      <c r="C300" s="7">
        <v>53641746</v>
      </c>
      <c r="D300" s="7">
        <v>54632366</v>
      </c>
      <c r="E300" s="8">
        <v>1.85</v>
      </c>
      <c r="F300" s="7">
        <v>37856528</v>
      </c>
      <c r="G300" s="7">
        <v>38607433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37856528</v>
      </c>
      <c r="O300" s="7">
        <v>38607433</v>
      </c>
      <c r="P300" s="8">
        <v>1.98</v>
      </c>
      <c r="Q300" s="7">
        <v>1266040</v>
      </c>
      <c r="R300" s="7">
        <v>1283737</v>
      </c>
      <c r="S300" s="7">
        <v>36590485</v>
      </c>
      <c r="T300" s="7">
        <v>37323696</v>
      </c>
      <c r="U300" s="7">
        <v>36590488</v>
      </c>
      <c r="V300" s="7">
        <v>37323696</v>
      </c>
      <c r="W300" s="7">
        <v>-3</v>
      </c>
      <c r="X300" s="7">
        <v>0</v>
      </c>
      <c r="Y300" s="7">
        <v>2920</v>
      </c>
      <c r="Z300" s="7">
        <v>2900</v>
      </c>
      <c r="AA300" s="8">
        <v>-0.68</v>
      </c>
      <c r="AB300" s="7">
        <v>2763359</v>
      </c>
      <c r="AC300" s="7">
        <v>3917983</v>
      </c>
      <c r="AD300" s="7">
        <v>1356407</v>
      </c>
      <c r="AE300" s="7">
        <v>1261742</v>
      </c>
      <c r="AF300" s="7">
        <v>1197374</v>
      </c>
      <c r="AG300" s="7">
        <v>2145657</v>
      </c>
      <c r="AH300" s="8">
        <v>2.23</v>
      </c>
      <c r="AI300" s="8">
        <v>3.93</v>
      </c>
    </row>
    <row r="301" spans="1:35" x14ac:dyDescent="0.25">
      <c r="A301" s="6" t="str">
        <f>"572702"</f>
        <v>572702</v>
      </c>
      <c r="B301" s="6" t="s">
        <v>336</v>
      </c>
      <c r="C301" s="7">
        <v>12128221</v>
      </c>
      <c r="D301" s="7">
        <v>12172887</v>
      </c>
      <c r="E301" s="8">
        <v>0.37</v>
      </c>
      <c r="F301" s="7">
        <v>2749313</v>
      </c>
      <c r="G301" s="7">
        <v>2749313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2749313</v>
      </c>
      <c r="O301" s="7">
        <v>2749313</v>
      </c>
      <c r="P301" s="8">
        <v>0</v>
      </c>
      <c r="Q301" s="7">
        <v>0</v>
      </c>
      <c r="R301" s="7">
        <v>0</v>
      </c>
      <c r="S301" s="7">
        <v>2630839</v>
      </c>
      <c r="T301" s="7">
        <v>2809349</v>
      </c>
      <c r="U301" s="7">
        <v>2749313</v>
      </c>
      <c r="V301" s="7">
        <v>2749313</v>
      </c>
      <c r="W301" s="7">
        <v>-118474</v>
      </c>
      <c r="X301" s="7">
        <v>60036</v>
      </c>
      <c r="Y301" s="7">
        <v>545</v>
      </c>
      <c r="Z301" s="7">
        <v>545</v>
      </c>
      <c r="AA301" s="8">
        <v>0</v>
      </c>
      <c r="AB301" s="7">
        <v>701957</v>
      </c>
      <c r="AC301" s="7">
        <v>1872981</v>
      </c>
      <c r="AD301" s="7">
        <v>523500</v>
      </c>
      <c r="AE301" s="7">
        <v>421023</v>
      </c>
      <c r="AF301" s="7">
        <v>1263330</v>
      </c>
      <c r="AG301" s="7">
        <v>991243</v>
      </c>
      <c r="AH301" s="8">
        <v>10.42</v>
      </c>
      <c r="AI301" s="8">
        <v>8.14</v>
      </c>
    </row>
    <row r="302" spans="1:35" x14ac:dyDescent="0.25">
      <c r="A302" s="6" t="str">
        <f>"540901"</f>
        <v>540901</v>
      </c>
      <c r="B302" s="6" t="s">
        <v>337</v>
      </c>
      <c r="C302" s="7">
        <v>6562227</v>
      </c>
      <c r="D302" s="7">
        <v>6587718</v>
      </c>
      <c r="E302" s="8">
        <v>0.39</v>
      </c>
      <c r="F302" s="7">
        <v>2748366</v>
      </c>
      <c r="G302" s="7">
        <v>2793824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2748366</v>
      </c>
      <c r="O302" s="7">
        <v>2793824</v>
      </c>
      <c r="P302" s="8">
        <v>1.65</v>
      </c>
      <c r="Q302" s="7">
        <v>197566</v>
      </c>
      <c r="R302" s="7">
        <v>199474</v>
      </c>
      <c r="S302" s="7">
        <v>2550800</v>
      </c>
      <c r="T302" s="7">
        <v>2594350</v>
      </c>
      <c r="U302" s="7">
        <v>2550800</v>
      </c>
      <c r="V302" s="7">
        <v>2594350</v>
      </c>
      <c r="W302" s="7">
        <v>0</v>
      </c>
      <c r="X302" s="7">
        <v>0</v>
      </c>
      <c r="Y302" s="7">
        <v>235</v>
      </c>
      <c r="Z302" s="7">
        <v>230</v>
      </c>
      <c r="AA302" s="8">
        <v>-2.13</v>
      </c>
      <c r="AB302" s="7">
        <v>635778</v>
      </c>
      <c r="AC302" s="7">
        <v>543137</v>
      </c>
      <c r="AD302" s="7">
        <v>182444</v>
      </c>
      <c r="AE302" s="7">
        <v>178162</v>
      </c>
      <c r="AF302" s="7">
        <v>739806</v>
      </c>
      <c r="AG302" s="7">
        <v>543353</v>
      </c>
      <c r="AH302" s="8">
        <v>11.27</v>
      </c>
      <c r="AI302" s="8">
        <v>8.25</v>
      </c>
    </row>
    <row r="303" spans="1:35" x14ac:dyDescent="0.25">
      <c r="A303" s="6" t="str">
        <f>"280515"</f>
        <v>280515</v>
      </c>
      <c r="B303" s="6" t="s">
        <v>338</v>
      </c>
      <c r="C303" s="7">
        <v>121024051</v>
      </c>
      <c r="D303" s="7">
        <v>122669127</v>
      </c>
      <c r="E303" s="8">
        <v>1.36</v>
      </c>
      <c r="F303" s="7">
        <v>106236917</v>
      </c>
      <c r="G303" s="7">
        <v>107561115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106236917</v>
      </c>
      <c r="O303" s="7">
        <v>107561115</v>
      </c>
      <c r="P303" s="8">
        <v>1.25</v>
      </c>
      <c r="Q303" s="7">
        <v>1754485</v>
      </c>
      <c r="R303" s="7">
        <v>1787275</v>
      </c>
      <c r="S303" s="7">
        <v>104947756</v>
      </c>
      <c r="T303" s="7">
        <v>106064468</v>
      </c>
      <c r="U303" s="7">
        <v>104482432</v>
      </c>
      <c r="V303" s="7">
        <v>105773840</v>
      </c>
      <c r="W303" s="7">
        <v>465324</v>
      </c>
      <c r="X303" s="7">
        <v>290628</v>
      </c>
      <c r="Y303" s="7">
        <v>3013</v>
      </c>
      <c r="Z303" s="7">
        <v>3083</v>
      </c>
      <c r="AA303" s="8">
        <v>2.3199999999999998</v>
      </c>
      <c r="AB303" s="7">
        <v>45936460</v>
      </c>
      <c r="AC303" s="7">
        <v>47170657</v>
      </c>
      <c r="AD303" s="7">
        <v>4200000</v>
      </c>
      <c r="AE303" s="7">
        <v>4000000</v>
      </c>
      <c r="AF303" s="7">
        <v>4840962</v>
      </c>
      <c r="AG303" s="7">
        <v>4906765</v>
      </c>
      <c r="AH303" s="8">
        <v>4</v>
      </c>
      <c r="AI303" s="8">
        <v>4</v>
      </c>
    </row>
    <row r="304" spans="1:35" x14ac:dyDescent="0.25">
      <c r="A304" s="6" t="str">
        <f>"630601"</f>
        <v>630601</v>
      </c>
      <c r="B304" s="6" t="s">
        <v>339</v>
      </c>
      <c r="C304" s="7">
        <v>10547175</v>
      </c>
      <c r="D304" s="7">
        <v>10631439</v>
      </c>
      <c r="E304" s="8">
        <v>0.8</v>
      </c>
      <c r="F304" s="7">
        <v>5593426</v>
      </c>
      <c r="G304" s="7">
        <v>5694816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5593426</v>
      </c>
      <c r="O304" s="7">
        <v>5694816</v>
      </c>
      <c r="P304" s="8">
        <v>1.81</v>
      </c>
      <c r="Q304" s="7">
        <v>293733</v>
      </c>
      <c r="R304" s="7">
        <v>293231</v>
      </c>
      <c r="S304" s="7">
        <v>5299693</v>
      </c>
      <c r="T304" s="7">
        <v>5401585</v>
      </c>
      <c r="U304" s="7">
        <v>5299693</v>
      </c>
      <c r="V304" s="7">
        <v>5401585</v>
      </c>
      <c r="W304" s="7">
        <v>0</v>
      </c>
      <c r="X304" s="7">
        <v>0</v>
      </c>
      <c r="Y304" s="7">
        <v>350</v>
      </c>
      <c r="Z304" s="7">
        <v>346</v>
      </c>
      <c r="AA304" s="8">
        <v>-1.1399999999999999</v>
      </c>
      <c r="AB304" s="7">
        <v>461568</v>
      </c>
      <c r="AC304" s="7">
        <v>461800</v>
      </c>
      <c r="AD304" s="7">
        <v>1018779</v>
      </c>
      <c r="AE304" s="7">
        <v>1039514</v>
      </c>
      <c r="AF304" s="7">
        <v>380000</v>
      </c>
      <c r="AG304" s="7">
        <v>425258</v>
      </c>
      <c r="AH304" s="8">
        <v>3.6</v>
      </c>
      <c r="AI304" s="8">
        <v>4</v>
      </c>
    </row>
    <row r="305" spans="1:35" x14ac:dyDescent="0.25">
      <c r="A305" s="6" t="str">
        <f>"031502"</f>
        <v>031502</v>
      </c>
      <c r="B305" s="6" t="s">
        <v>340</v>
      </c>
      <c r="C305" s="7">
        <v>52866020</v>
      </c>
      <c r="D305" s="7">
        <v>54007539</v>
      </c>
      <c r="E305" s="8">
        <v>2.16</v>
      </c>
      <c r="F305" s="7">
        <v>24854164</v>
      </c>
      <c r="G305" s="7">
        <v>25445630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24854164</v>
      </c>
      <c r="O305" s="7">
        <v>25445630</v>
      </c>
      <c r="P305" s="8">
        <v>2.38</v>
      </c>
      <c r="Q305" s="7">
        <v>829490</v>
      </c>
      <c r="R305" s="7">
        <v>917287</v>
      </c>
      <c r="S305" s="7">
        <v>24024674</v>
      </c>
      <c r="T305" s="7">
        <v>24528343</v>
      </c>
      <c r="U305" s="7">
        <v>24024674</v>
      </c>
      <c r="V305" s="7">
        <v>24528343</v>
      </c>
      <c r="W305" s="7">
        <v>0</v>
      </c>
      <c r="X305" s="7">
        <v>0</v>
      </c>
      <c r="Y305" s="7">
        <v>2513</v>
      </c>
      <c r="Z305" s="7">
        <v>2513</v>
      </c>
      <c r="AA305" s="8">
        <v>0</v>
      </c>
      <c r="AB305" s="7">
        <v>3889294</v>
      </c>
      <c r="AC305" s="7">
        <v>4414347</v>
      </c>
      <c r="AD305" s="7">
        <v>500000</v>
      </c>
      <c r="AE305" s="7">
        <v>750000</v>
      </c>
      <c r="AF305" s="7">
        <v>2060041</v>
      </c>
      <c r="AG305" s="7">
        <v>2022900</v>
      </c>
      <c r="AH305" s="8">
        <v>3.9</v>
      </c>
      <c r="AI305" s="8">
        <v>3.75</v>
      </c>
    </row>
    <row r="306" spans="1:35" x14ac:dyDescent="0.25">
      <c r="A306" s="6" t="str">
        <f>"170600"</f>
        <v>170600</v>
      </c>
      <c r="B306" s="6" t="s">
        <v>341</v>
      </c>
      <c r="C306" s="7">
        <v>33359454</v>
      </c>
      <c r="D306" s="7">
        <v>33899964</v>
      </c>
      <c r="E306" s="8">
        <v>1.62</v>
      </c>
      <c r="F306" s="7">
        <v>8016582</v>
      </c>
      <c r="G306" s="7">
        <v>8297162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8016582</v>
      </c>
      <c r="O306" s="7">
        <v>8297162</v>
      </c>
      <c r="P306" s="8">
        <v>3.5</v>
      </c>
      <c r="Q306" s="7">
        <v>0</v>
      </c>
      <c r="R306" s="7">
        <v>417457</v>
      </c>
      <c r="S306" s="7">
        <v>8016582</v>
      </c>
      <c r="T306" s="7">
        <v>8110514</v>
      </c>
      <c r="U306" s="7">
        <v>8016582</v>
      </c>
      <c r="V306" s="7">
        <v>7879705</v>
      </c>
      <c r="W306" s="7">
        <v>0</v>
      </c>
      <c r="X306" s="7">
        <v>230809</v>
      </c>
      <c r="Y306" s="7">
        <v>1717</v>
      </c>
      <c r="Z306" s="7">
        <v>1720</v>
      </c>
      <c r="AA306" s="8">
        <v>0.17</v>
      </c>
      <c r="AB306" s="7">
        <v>5962230</v>
      </c>
      <c r="AC306" s="7">
        <v>4570767</v>
      </c>
      <c r="AD306" s="7">
        <v>3454825</v>
      </c>
      <c r="AE306" s="7">
        <v>2568265</v>
      </c>
      <c r="AF306" s="7">
        <v>1810732</v>
      </c>
      <c r="AG306" s="7">
        <v>1310732</v>
      </c>
      <c r="AH306" s="8">
        <v>5.43</v>
      </c>
      <c r="AI306" s="8">
        <v>3.87</v>
      </c>
    </row>
    <row r="307" spans="1:35" x14ac:dyDescent="0.25">
      <c r="A307" s="6" t="str">
        <f>"420501"</f>
        <v>420501</v>
      </c>
      <c r="B307" s="6" t="s">
        <v>342</v>
      </c>
      <c r="C307" s="7">
        <v>29198000</v>
      </c>
      <c r="D307" s="7">
        <v>30400000</v>
      </c>
      <c r="E307" s="8">
        <v>4.12</v>
      </c>
      <c r="F307" s="7">
        <v>12239336</v>
      </c>
      <c r="G307" s="7">
        <v>12239336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12239336</v>
      </c>
      <c r="O307" s="7">
        <v>12239336</v>
      </c>
      <c r="P307" s="8">
        <v>0</v>
      </c>
      <c r="Q307" s="7">
        <v>874598</v>
      </c>
      <c r="R307" s="7">
        <v>681204</v>
      </c>
      <c r="S307" s="7">
        <v>11932364</v>
      </c>
      <c r="T307" s="7">
        <v>11569681</v>
      </c>
      <c r="U307" s="7">
        <v>11364738</v>
      </c>
      <c r="V307" s="7">
        <v>11558132</v>
      </c>
      <c r="W307" s="7">
        <v>567626</v>
      </c>
      <c r="X307" s="7">
        <v>11549</v>
      </c>
      <c r="Y307" s="7">
        <v>1245</v>
      </c>
      <c r="Z307" s="7">
        <v>1228</v>
      </c>
      <c r="AA307" s="8">
        <v>-1.37</v>
      </c>
      <c r="AB307" s="7">
        <v>2619283</v>
      </c>
      <c r="AC307" s="7">
        <v>3200000</v>
      </c>
      <c r="AD307" s="7">
        <v>1524584</v>
      </c>
      <c r="AE307" s="7">
        <v>1283604</v>
      </c>
      <c r="AF307" s="7">
        <v>1185537</v>
      </c>
      <c r="AG307" s="7">
        <v>1216000</v>
      </c>
      <c r="AH307" s="8">
        <v>4.0599999999999996</v>
      </c>
      <c r="AI307" s="8">
        <v>4</v>
      </c>
    </row>
    <row r="308" spans="1:35" x14ac:dyDescent="0.25">
      <c r="A308" s="6" t="str">
        <f>"660101"</f>
        <v>660101</v>
      </c>
      <c r="B308" s="6" t="s">
        <v>343</v>
      </c>
      <c r="C308" s="7">
        <v>105994936</v>
      </c>
      <c r="D308" s="7">
        <v>106809945</v>
      </c>
      <c r="E308" s="8">
        <v>0.77</v>
      </c>
      <c r="F308" s="7">
        <v>92825737</v>
      </c>
      <c r="G308" s="7">
        <v>94423460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92825737</v>
      </c>
      <c r="O308" s="7">
        <v>94423460</v>
      </c>
      <c r="P308" s="8">
        <v>1.72</v>
      </c>
      <c r="Q308" s="7">
        <v>1607440</v>
      </c>
      <c r="R308" s="7">
        <v>1881692</v>
      </c>
      <c r="S308" s="7">
        <v>91438897</v>
      </c>
      <c r="T308" s="7">
        <v>92762428</v>
      </c>
      <c r="U308" s="7">
        <v>91218297</v>
      </c>
      <c r="V308" s="7">
        <v>92541768</v>
      </c>
      <c r="W308" s="7">
        <v>220600</v>
      </c>
      <c r="X308" s="7">
        <v>220660</v>
      </c>
      <c r="Y308" s="7">
        <v>3112</v>
      </c>
      <c r="Z308" s="7">
        <v>3052</v>
      </c>
      <c r="AA308" s="8">
        <v>-1.93</v>
      </c>
      <c r="AB308" s="7">
        <v>7663618</v>
      </c>
      <c r="AC308" s="7">
        <v>7696671</v>
      </c>
      <c r="AD308" s="7">
        <v>3961233</v>
      </c>
      <c r="AE308" s="7">
        <v>3640813</v>
      </c>
      <c r="AF308" s="7">
        <v>4012694</v>
      </c>
      <c r="AG308" s="7">
        <v>4168230</v>
      </c>
      <c r="AH308" s="8">
        <v>3.79</v>
      </c>
      <c r="AI308" s="8">
        <v>3.9</v>
      </c>
    </row>
    <row r="309" spans="1:35" x14ac:dyDescent="0.25">
      <c r="A309" s="6" t="str">
        <f>"150601"</f>
        <v>150601</v>
      </c>
      <c r="B309" s="6" t="s">
        <v>344</v>
      </c>
      <c r="C309" s="7">
        <v>5974852</v>
      </c>
      <c r="D309" s="7">
        <v>6104676</v>
      </c>
      <c r="E309" s="8">
        <v>2.17</v>
      </c>
      <c r="F309" s="7">
        <v>4905310</v>
      </c>
      <c r="G309" s="7">
        <v>4981181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4905310</v>
      </c>
      <c r="O309" s="7">
        <v>4981181</v>
      </c>
      <c r="P309" s="8">
        <v>1.55</v>
      </c>
      <c r="Q309" s="7">
        <v>461417</v>
      </c>
      <c r="R309" s="7">
        <v>431624</v>
      </c>
      <c r="S309" s="7">
        <v>4905310</v>
      </c>
      <c r="T309" s="7">
        <v>4981181</v>
      </c>
      <c r="U309" s="7">
        <v>4443893</v>
      </c>
      <c r="V309" s="7">
        <v>4549557</v>
      </c>
      <c r="W309" s="7">
        <v>461417</v>
      </c>
      <c r="X309" s="7">
        <v>431624</v>
      </c>
      <c r="Y309" s="7">
        <v>167</v>
      </c>
      <c r="Z309" s="7">
        <v>165</v>
      </c>
      <c r="AA309" s="8">
        <v>-1.2</v>
      </c>
      <c r="AB309" s="7">
        <v>638233</v>
      </c>
      <c r="AC309" s="7">
        <v>1001000</v>
      </c>
      <c r="AD309" s="7">
        <v>160000</v>
      </c>
      <c r="AE309" s="7">
        <v>200000</v>
      </c>
      <c r="AF309" s="7">
        <v>592525</v>
      </c>
      <c r="AG309" s="7">
        <v>450000</v>
      </c>
      <c r="AH309" s="8">
        <v>9.92</v>
      </c>
      <c r="AI309" s="8">
        <v>7.37</v>
      </c>
    </row>
    <row r="310" spans="1:35" x14ac:dyDescent="0.25">
      <c r="A310" s="6" t="str">
        <f>"450607"</f>
        <v>450607</v>
      </c>
      <c r="B310" s="6" t="s">
        <v>345</v>
      </c>
      <c r="C310" s="7">
        <v>17392234</v>
      </c>
      <c r="D310" s="7">
        <v>17415783</v>
      </c>
      <c r="E310" s="8">
        <v>0.14000000000000001</v>
      </c>
      <c r="F310" s="7">
        <v>4669245</v>
      </c>
      <c r="G310" s="7">
        <v>4715842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4669245</v>
      </c>
      <c r="O310" s="7">
        <v>4715842</v>
      </c>
      <c r="P310" s="8">
        <v>1</v>
      </c>
      <c r="Q310" s="7">
        <v>0</v>
      </c>
      <c r="R310" s="7">
        <v>0</v>
      </c>
      <c r="S310" s="7">
        <v>4691295</v>
      </c>
      <c r="T310" s="7">
        <v>4715842</v>
      </c>
      <c r="U310" s="7">
        <v>4669245</v>
      </c>
      <c r="V310" s="7">
        <v>4715842</v>
      </c>
      <c r="W310" s="7">
        <v>22050</v>
      </c>
      <c r="X310" s="7">
        <v>0</v>
      </c>
      <c r="Y310" s="7">
        <v>721</v>
      </c>
      <c r="Z310" s="7">
        <v>703</v>
      </c>
      <c r="AA310" s="8">
        <v>-2.5</v>
      </c>
      <c r="AB310" s="7">
        <v>5652086</v>
      </c>
      <c r="AC310" s="7">
        <v>5652086</v>
      </c>
      <c r="AD310" s="7">
        <v>147925</v>
      </c>
      <c r="AE310" s="7">
        <v>147925</v>
      </c>
      <c r="AF310" s="7">
        <v>599460</v>
      </c>
      <c r="AG310" s="7">
        <v>599460</v>
      </c>
      <c r="AH310" s="8">
        <v>3.45</v>
      </c>
      <c r="AI310" s="8">
        <v>3.44</v>
      </c>
    </row>
    <row r="311" spans="1:35" x14ac:dyDescent="0.25">
      <c r="A311" s="6" t="str">
        <f>"142601"</f>
        <v>142601</v>
      </c>
      <c r="B311" s="6" t="s">
        <v>346</v>
      </c>
      <c r="C311" s="7">
        <v>157110733</v>
      </c>
      <c r="D311" s="7">
        <v>160656978</v>
      </c>
      <c r="E311" s="8">
        <v>2.2599999999999998</v>
      </c>
      <c r="F311" s="7">
        <v>82390409</v>
      </c>
      <c r="G311" s="7">
        <v>82390409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82390409</v>
      </c>
      <c r="O311" s="7">
        <v>82390409</v>
      </c>
      <c r="P311" s="8">
        <v>0</v>
      </c>
      <c r="Q311" s="7">
        <v>1637705</v>
      </c>
      <c r="R311" s="7">
        <v>1153969</v>
      </c>
      <c r="S311" s="7">
        <v>80752704</v>
      </c>
      <c r="T311" s="7">
        <v>81236440</v>
      </c>
      <c r="U311" s="7">
        <v>80752704</v>
      </c>
      <c r="V311" s="7">
        <v>81236440</v>
      </c>
      <c r="W311" s="7">
        <v>0</v>
      </c>
      <c r="X311" s="7">
        <v>0</v>
      </c>
      <c r="Y311" s="7">
        <v>7023</v>
      </c>
      <c r="Z311" s="7">
        <v>6921</v>
      </c>
      <c r="AA311" s="8">
        <v>-1.45</v>
      </c>
      <c r="AB311" s="7">
        <v>20471113</v>
      </c>
      <c r="AC311" s="7">
        <v>23000000</v>
      </c>
      <c r="AD311" s="7">
        <v>5900000</v>
      </c>
      <c r="AE311" s="7">
        <v>5850000</v>
      </c>
      <c r="AF311" s="7">
        <v>6284429</v>
      </c>
      <c r="AG311" s="7">
        <v>6426279</v>
      </c>
      <c r="AH311" s="8">
        <v>4</v>
      </c>
      <c r="AI311" s="8">
        <v>4</v>
      </c>
    </row>
    <row r="312" spans="1:35" x14ac:dyDescent="0.25">
      <c r="A312" s="6" t="str">
        <f>"101401"</f>
        <v>101401</v>
      </c>
      <c r="B312" s="6" t="s">
        <v>347</v>
      </c>
      <c r="C312" s="7">
        <v>38133987</v>
      </c>
      <c r="D312" s="7">
        <v>39189544</v>
      </c>
      <c r="E312" s="8">
        <v>2.77</v>
      </c>
      <c r="F312" s="7">
        <v>22451460</v>
      </c>
      <c r="G312" s="7">
        <v>22781192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22451460</v>
      </c>
      <c r="O312" s="7">
        <v>22781192</v>
      </c>
      <c r="P312" s="8">
        <v>1.47</v>
      </c>
      <c r="Q312" s="7">
        <v>279291</v>
      </c>
      <c r="R312" s="7">
        <v>261542</v>
      </c>
      <c r="S312" s="7">
        <v>22172169</v>
      </c>
      <c r="T312" s="7">
        <v>22519650</v>
      </c>
      <c r="U312" s="7">
        <v>22172169</v>
      </c>
      <c r="V312" s="7">
        <v>22519650</v>
      </c>
      <c r="W312" s="7">
        <v>0</v>
      </c>
      <c r="X312" s="7">
        <v>0</v>
      </c>
      <c r="Y312" s="7">
        <v>1835</v>
      </c>
      <c r="Z312" s="7">
        <v>1787</v>
      </c>
      <c r="AA312" s="8">
        <v>-2.62</v>
      </c>
      <c r="AB312" s="7">
        <v>1502818</v>
      </c>
      <c r="AC312" s="7">
        <v>1500000</v>
      </c>
      <c r="AD312" s="7">
        <v>650457</v>
      </c>
      <c r="AE312" s="7">
        <v>500000</v>
      </c>
      <c r="AF312" s="7">
        <v>1255697</v>
      </c>
      <c r="AG312" s="7">
        <v>1425000</v>
      </c>
      <c r="AH312" s="8">
        <v>3.29</v>
      </c>
      <c r="AI312" s="8">
        <v>3.64</v>
      </c>
    </row>
    <row r="313" spans="1:35" x14ac:dyDescent="0.25">
      <c r="A313" s="6" t="str">
        <f>"580805"</f>
        <v>580805</v>
      </c>
      <c r="B313" s="6" t="s">
        <v>348</v>
      </c>
      <c r="C313" s="7">
        <v>86655918</v>
      </c>
      <c r="D313" s="7">
        <v>88548072</v>
      </c>
      <c r="E313" s="8">
        <v>2.1800000000000002</v>
      </c>
      <c r="F313" s="7">
        <v>66420917</v>
      </c>
      <c r="G313" s="7">
        <v>67801784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66420917</v>
      </c>
      <c r="O313" s="7">
        <v>67801784</v>
      </c>
      <c r="P313" s="8">
        <v>2.08</v>
      </c>
      <c r="Q313" s="7">
        <v>1574972</v>
      </c>
      <c r="R313" s="7">
        <v>1930282</v>
      </c>
      <c r="S313" s="7">
        <v>64845946</v>
      </c>
      <c r="T313" s="7">
        <v>65871503</v>
      </c>
      <c r="U313" s="7">
        <v>64845945</v>
      </c>
      <c r="V313" s="7">
        <v>65871502</v>
      </c>
      <c r="W313" s="7">
        <v>1</v>
      </c>
      <c r="X313" s="7">
        <v>1</v>
      </c>
      <c r="Y313" s="7">
        <v>3291</v>
      </c>
      <c r="Z313" s="7">
        <v>3140</v>
      </c>
      <c r="AA313" s="8">
        <v>-4.59</v>
      </c>
      <c r="AB313" s="7">
        <v>6283620</v>
      </c>
      <c r="AC313" s="7">
        <v>6798953</v>
      </c>
      <c r="AD313" s="7">
        <v>2200000</v>
      </c>
      <c r="AE313" s="7">
        <v>2189353</v>
      </c>
      <c r="AF313" s="7">
        <v>3425015</v>
      </c>
      <c r="AG313" s="7">
        <v>3525000</v>
      </c>
      <c r="AH313" s="8">
        <v>3.95</v>
      </c>
      <c r="AI313" s="8">
        <v>3.98</v>
      </c>
    </row>
    <row r="314" spans="1:35" x14ac:dyDescent="0.25">
      <c r="A314" s="6" t="str">
        <f>"620600"</f>
        <v>620600</v>
      </c>
      <c r="B314" s="6" t="s">
        <v>349</v>
      </c>
      <c r="C314" s="7">
        <v>161598610</v>
      </c>
      <c r="D314" s="7">
        <v>169581541</v>
      </c>
      <c r="E314" s="8">
        <v>4.9400000000000004</v>
      </c>
      <c r="F314" s="7">
        <v>100347571</v>
      </c>
      <c r="G314" s="7">
        <v>101701335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100347571</v>
      </c>
      <c r="O314" s="7">
        <v>101701335</v>
      </c>
      <c r="P314" s="8">
        <v>1.35</v>
      </c>
      <c r="Q314" s="7">
        <v>2756457</v>
      </c>
      <c r="R314" s="7">
        <v>2836669</v>
      </c>
      <c r="S314" s="7">
        <v>98955422</v>
      </c>
      <c r="T314" s="7">
        <v>98864666</v>
      </c>
      <c r="U314" s="7">
        <v>97591114</v>
      </c>
      <c r="V314" s="7">
        <v>98864666</v>
      </c>
      <c r="W314" s="7">
        <v>1364308</v>
      </c>
      <c r="X314" s="7">
        <v>0</v>
      </c>
      <c r="Y314" s="7">
        <v>6371</v>
      </c>
      <c r="Z314" s="7">
        <v>6277</v>
      </c>
      <c r="AA314" s="8">
        <v>-1.48</v>
      </c>
      <c r="AB314" s="7">
        <v>21137000</v>
      </c>
      <c r="AC314" s="7">
        <v>19000000</v>
      </c>
      <c r="AD314" s="7">
        <v>1000000</v>
      </c>
      <c r="AE314" s="7">
        <v>1713107</v>
      </c>
      <c r="AF314" s="7">
        <v>6463944</v>
      </c>
      <c r="AG314" s="7">
        <v>6783261</v>
      </c>
      <c r="AH314" s="8">
        <v>4</v>
      </c>
      <c r="AI314" s="8">
        <v>4</v>
      </c>
    </row>
    <row r="315" spans="1:35" x14ac:dyDescent="0.25">
      <c r="A315" s="6" t="str">
        <f>"441202"</f>
        <v>441202</v>
      </c>
      <c r="B315" s="6" t="s">
        <v>350</v>
      </c>
      <c r="C315" s="7">
        <v>23537408</v>
      </c>
      <c r="D315" s="7">
        <v>23990753</v>
      </c>
      <c r="E315" s="8">
        <v>1.93</v>
      </c>
      <c r="F315" s="7">
        <v>10030372</v>
      </c>
      <c r="G315" s="7">
        <v>10228973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10030372</v>
      </c>
      <c r="O315" s="7">
        <v>10228973</v>
      </c>
      <c r="P315" s="8">
        <v>1.98</v>
      </c>
      <c r="Q315" s="7">
        <v>982349</v>
      </c>
      <c r="R315" s="7">
        <v>931828</v>
      </c>
      <c r="S315" s="7">
        <v>9048023</v>
      </c>
      <c r="T315" s="7">
        <v>9672913</v>
      </c>
      <c r="U315" s="7">
        <v>9048023</v>
      </c>
      <c r="V315" s="7">
        <v>9297145</v>
      </c>
      <c r="W315" s="7">
        <v>0</v>
      </c>
      <c r="X315" s="7">
        <v>375768</v>
      </c>
      <c r="Y315" s="7">
        <v>160</v>
      </c>
      <c r="Z315" s="7">
        <v>177</v>
      </c>
      <c r="AA315" s="8">
        <v>10.63</v>
      </c>
      <c r="AB315" s="7">
        <v>4497061</v>
      </c>
      <c r="AC315" s="7">
        <v>5314656</v>
      </c>
      <c r="AD315" s="7">
        <v>355559</v>
      </c>
      <c r="AE315" s="7">
        <v>449562</v>
      </c>
      <c r="AF315" s="7">
        <v>941496</v>
      </c>
      <c r="AG315" s="7">
        <v>959630</v>
      </c>
      <c r="AH315" s="8">
        <v>4</v>
      </c>
      <c r="AI315" s="8">
        <v>4</v>
      </c>
    </row>
    <row r="316" spans="1:35" x14ac:dyDescent="0.25">
      <c r="A316" s="6" t="str">
        <f>"221401"</f>
        <v>221401</v>
      </c>
      <c r="B316" s="6" t="s">
        <v>351</v>
      </c>
      <c r="C316" s="7">
        <v>10953980</v>
      </c>
      <c r="D316" s="7">
        <v>11140908</v>
      </c>
      <c r="E316" s="8">
        <v>1.71</v>
      </c>
      <c r="F316" s="7">
        <v>3840638</v>
      </c>
      <c r="G316" s="7">
        <v>3904830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3840638</v>
      </c>
      <c r="O316" s="7">
        <v>3904830</v>
      </c>
      <c r="P316" s="8">
        <v>1.67</v>
      </c>
      <c r="Q316" s="7">
        <v>264988</v>
      </c>
      <c r="R316" s="7">
        <v>357204</v>
      </c>
      <c r="S316" s="7">
        <v>3642148</v>
      </c>
      <c r="T316" s="7">
        <v>3642113</v>
      </c>
      <c r="U316" s="7">
        <v>3575650</v>
      </c>
      <c r="V316" s="7">
        <v>3547626</v>
      </c>
      <c r="W316" s="7">
        <v>66498</v>
      </c>
      <c r="X316" s="7">
        <v>94487</v>
      </c>
      <c r="Y316" s="7">
        <v>545</v>
      </c>
      <c r="Z316" s="7">
        <v>526</v>
      </c>
      <c r="AA316" s="8">
        <v>-3.49</v>
      </c>
      <c r="AB316" s="7">
        <v>2244325</v>
      </c>
      <c r="AC316" s="7">
        <v>2570215</v>
      </c>
      <c r="AD316" s="7">
        <v>995000</v>
      </c>
      <c r="AE316" s="7">
        <v>979500</v>
      </c>
      <c r="AF316" s="7">
        <v>437933</v>
      </c>
      <c r="AG316" s="7">
        <v>445636</v>
      </c>
      <c r="AH316" s="8">
        <v>4</v>
      </c>
      <c r="AI316" s="8">
        <v>4</v>
      </c>
    </row>
    <row r="317" spans="1:35" x14ac:dyDescent="0.25">
      <c r="A317" s="6" t="str">
        <f>"141800"</f>
        <v>141800</v>
      </c>
      <c r="B317" s="6" t="s">
        <v>352</v>
      </c>
      <c r="C317" s="7">
        <v>47352824</v>
      </c>
      <c r="D317" s="7">
        <v>50731024</v>
      </c>
      <c r="E317" s="8">
        <v>7.13</v>
      </c>
      <c r="F317" s="7">
        <v>9294517</v>
      </c>
      <c r="G317" s="7">
        <v>9480408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9294517</v>
      </c>
      <c r="O317" s="7">
        <v>9480408</v>
      </c>
      <c r="P317" s="8">
        <v>2</v>
      </c>
      <c r="Q317" s="7">
        <v>109000</v>
      </c>
      <c r="R317" s="7">
        <v>274318</v>
      </c>
      <c r="S317" s="7">
        <v>9222233</v>
      </c>
      <c r="T317" s="7">
        <v>9312660</v>
      </c>
      <c r="U317" s="7">
        <v>9185517</v>
      </c>
      <c r="V317" s="7">
        <v>9206090</v>
      </c>
      <c r="W317" s="7">
        <v>36716</v>
      </c>
      <c r="X317" s="7">
        <v>106570</v>
      </c>
      <c r="Y317" s="7">
        <v>2498</v>
      </c>
      <c r="Z317" s="7">
        <v>2603</v>
      </c>
      <c r="AA317" s="8">
        <v>4.2</v>
      </c>
      <c r="AB317" s="7">
        <v>316077</v>
      </c>
      <c r="AC317" s="7">
        <v>315000</v>
      </c>
      <c r="AD317" s="7">
        <v>1700000</v>
      </c>
      <c r="AE317" s="7">
        <v>1947498</v>
      </c>
      <c r="AF317" s="7">
        <v>1526800</v>
      </c>
      <c r="AG317" s="7">
        <v>500911</v>
      </c>
      <c r="AH317" s="8">
        <v>3.22</v>
      </c>
      <c r="AI317" s="8">
        <v>0.99</v>
      </c>
    </row>
    <row r="318" spans="1:35" x14ac:dyDescent="0.25">
      <c r="A318" s="6" t="str">
        <f>"420807"</f>
        <v>420807</v>
      </c>
      <c r="B318" s="6" t="s">
        <v>353</v>
      </c>
      <c r="C318" s="7">
        <v>18162146</v>
      </c>
      <c r="D318" s="7">
        <v>18735315</v>
      </c>
      <c r="E318" s="8">
        <v>3.16</v>
      </c>
      <c r="F318" s="7">
        <v>5736320</v>
      </c>
      <c r="G318" s="7">
        <v>5849176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5736320</v>
      </c>
      <c r="O318" s="7">
        <v>5849176</v>
      </c>
      <c r="P318" s="8">
        <v>1.97</v>
      </c>
      <c r="Q318" s="7">
        <v>169472</v>
      </c>
      <c r="R318" s="7">
        <v>334428</v>
      </c>
      <c r="S318" s="7">
        <v>5568064</v>
      </c>
      <c r="T318" s="7">
        <v>5681716</v>
      </c>
      <c r="U318" s="7">
        <v>5566848</v>
      </c>
      <c r="V318" s="7">
        <v>5514748</v>
      </c>
      <c r="W318" s="7">
        <v>1216</v>
      </c>
      <c r="X318" s="7">
        <v>166968</v>
      </c>
      <c r="Y318" s="7">
        <v>918</v>
      </c>
      <c r="Z318" s="7">
        <v>906</v>
      </c>
      <c r="AA318" s="8">
        <v>-1.31</v>
      </c>
      <c r="AB318" s="7">
        <v>2697685</v>
      </c>
      <c r="AC318" s="7">
        <v>2562685</v>
      </c>
      <c r="AD318" s="7">
        <v>609422</v>
      </c>
      <c r="AE318" s="7">
        <v>610000</v>
      </c>
      <c r="AF318" s="7">
        <v>726486</v>
      </c>
      <c r="AG318" s="7">
        <v>726486</v>
      </c>
      <c r="AH318" s="8">
        <v>4</v>
      </c>
      <c r="AI318" s="8">
        <v>3.88</v>
      </c>
    </row>
    <row r="319" spans="1:35" x14ac:dyDescent="0.25">
      <c r="A319" s="6" t="str">
        <f>"630701"</f>
        <v>630701</v>
      </c>
      <c r="B319" s="6" t="s">
        <v>354</v>
      </c>
      <c r="C319" s="7">
        <v>22632957</v>
      </c>
      <c r="D319" s="7">
        <v>22916452</v>
      </c>
      <c r="E319" s="8">
        <v>1.25</v>
      </c>
      <c r="F319" s="7">
        <v>18900497</v>
      </c>
      <c r="G319" s="7">
        <v>19246256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18900497</v>
      </c>
      <c r="O319" s="7">
        <v>19246256</v>
      </c>
      <c r="P319" s="8">
        <v>1.83</v>
      </c>
      <c r="Q319" s="7">
        <v>859827</v>
      </c>
      <c r="R319" s="7">
        <v>908318</v>
      </c>
      <c r="S319" s="7">
        <v>18050647</v>
      </c>
      <c r="T319" s="7">
        <v>18375193</v>
      </c>
      <c r="U319" s="7">
        <v>18040670</v>
      </c>
      <c r="V319" s="7">
        <v>18337938</v>
      </c>
      <c r="W319" s="7">
        <v>9977</v>
      </c>
      <c r="X319" s="7">
        <v>37255</v>
      </c>
      <c r="Y319" s="7">
        <v>795</v>
      </c>
      <c r="Z319" s="7">
        <v>784</v>
      </c>
      <c r="AA319" s="8">
        <v>-1.38</v>
      </c>
      <c r="AB319" s="7">
        <v>3075933</v>
      </c>
      <c r="AC319" s="7">
        <v>3495000</v>
      </c>
      <c r="AD319" s="7">
        <v>919668</v>
      </c>
      <c r="AE319" s="7">
        <v>876172</v>
      </c>
      <c r="AF319" s="7">
        <v>905319</v>
      </c>
      <c r="AG319" s="7">
        <v>916658</v>
      </c>
      <c r="AH319" s="8">
        <v>4</v>
      </c>
      <c r="AI319" s="8">
        <v>4</v>
      </c>
    </row>
    <row r="320" spans="1:35" x14ac:dyDescent="0.25">
      <c r="A320" s="6" t="str">
        <f>"151102"</f>
        <v>151102</v>
      </c>
      <c r="B320" s="6" t="s">
        <v>355</v>
      </c>
      <c r="C320" s="7">
        <v>18382342</v>
      </c>
      <c r="D320" s="7">
        <v>18723883</v>
      </c>
      <c r="E320" s="8">
        <v>1.86</v>
      </c>
      <c r="F320" s="7">
        <v>14907043</v>
      </c>
      <c r="G320" s="7">
        <v>15142238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14907043</v>
      </c>
      <c r="O320" s="7">
        <v>15142238</v>
      </c>
      <c r="P320" s="8">
        <v>1.58</v>
      </c>
      <c r="Q320" s="7">
        <v>899698</v>
      </c>
      <c r="R320" s="7">
        <v>907027</v>
      </c>
      <c r="S320" s="7">
        <v>14007345</v>
      </c>
      <c r="T320" s="7">
        <v>14235211</v>
      </c>
      <c r="U320" s="7">
        <v>14007345</v>
      </c>
      <c r="V320" s="7">
        <v>14235211</v>
      </c>
      <c r="W320" s="7">
        <v>0</v>
      </c>
      <c r="X320" s="7">
        <v>0</v>
      </c>
      <c r="Y320" s="7">
        <v>691</v>
      </c>
      <c r="Z320" s="7">
        <v>690</v>
      </c>
      <c r="AA320" s="8">
        <v>-0.14000000000000001</v>
      </c>
      <c r="AB320" s="7">
        <v>1984896</v>
      </c>
      <c r="AC320" s="7">
        <v>1859896</v>
      </c>
      <c r="AD320" s="7">
        <v>430000</v>
      </c>
      <c r="AE320" s="7">
        <v>490000</v>
      </c>
      <c r="AF320" s="7">
        <v>1460978</v>
      </c>
      <c r="AG320" s="7">
        <v>1210978</v>
      </c>
      <c r="AH320" s="8">
        <v>7.95</v>
      </c>
      <c r="AI320" s="8">
        <v>6.47</v>
      </c>
    </row>
    <row r="321" spans="1:35" x14ac:dyDescent="0.25">
      <c r="A321" s="6" t="str">
        <f>"200601"</f>
        <v>200601</v>
      </c>
      <c r="B321" s="6" t="s">
        <v>356</v>
      </c>
      <c r="C321" s="7">
        <v>5014985</v>
      </c>
      <c r="D321" s="7">
        <v>5055887</v>
      </c>
      <c r="E321" s="8">
        <v>0.82</v>
      </c>
      <c r="F321" s="7">
        <v>3644289</v>
      </c>
      <c r="G321" s="7">
        <v>3700026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3644289</v>
      </c>
      <c r="O321" s="7">
        <v>3700026</v>
      </c>
      <c r="P321" s="8">
        <v>1.53</v>
      </c>
      <c r="Q321" s="7">
        <v>435514</v>
      </c>
      <c r="R321" s="7">
        <v>438274</v>
      </c>
      <c r="S321" s="7">
        <v>3208775</v>
      </c>
      <c r="T321" s="7">
        <v>3261752</v>
      </c>
      <c r="U321" s="7">
        <v>3208775</v>
      </c>
      <c r="V321" s="7">
        <v>3261752</v>
      </c>
      <c r="W321" s="7">
        <v>0</v>
      </c>
      <c r="X321" s="7">
        <v>0</v>
      </c>
      <c r="Y321" s="7">
        <v>87</v>
      </c>
      <c r="Z321" s="7">
        <v>91</v>
      </c>
      <c r="AA321" s="8">
        <v>4.5999999999999996</v>
      </c>
      <c r="AB321" s="11">
        <v>1349177</v>
      </c>
      <c r="AC321" s="7">
        <v>1308064</v>
      </c>
      <c r="AD321" s="7">
        <v>588267</v>
      </c>
      <c r="AE321" s="7">
        <v>588267</v>
      </c>
      <c r="AF321" s="7">
        <v>200599</v>
      </c>
      <c r="AG321" s="7">
        <v>202237</v>
      </c>
      <c r="AH321" s="8">
        <v>4</v>
      </c>
      <c r="AI321" s="8">
        <v>4</v>
      </c>
    </row>
    <row r="322" spans="1:35" x14ac:dyDescent="0.25">
      <c r="A322" s="6" t="str">
        <f>"662401"</f>
        <v>662401</v>
      </c>
      <c r="B322" s="6" t="s">
        <v>357</v>
      </c>
      <c r="C322" s="7">
        <v>161174165</v>
      </c>
      <c r="D322" s="7">
        <v>162716765</v>
      </c>
      <c r="E322" s="8">
        <v>0.96</v>
      </c>
      <c r="F322" s="7">
        <v>113040523</v>
      </c>
      <c r="G322" s="7">
        <v>113888327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113040523</v>
      </c>
      <c r="O322" s="7">
        <v>113888327</v>
      </c>
      <c r="P322" s="8">
        <v>0.75</v>
      </c>
      <c r="Q322" s="7">
        <v>1489983</v>
      </c>
      <c r="R322" s="7">
        <v>2543748</v>
      </c>
      <c r="S322" s="7">
        <v>111909737</v>
      </c>
      <c r="T322" s="7">
        <v>113753770</v>
      </c>
      <c r="U322" s="7">
        <v>111550540</v>
      </c>
      <c r="V322" s="7">
        <v>111344579</v>
      </c>
      <c r="W322" s="7">
        <v>359197</v>
      </c>
      <c r="X322" s="7">
        <v>2409191</v>
      </c>
      <c r="Y322" s="7">
        <v>5750</v>
      </c>
      <c r="Z322" s="7">
        <v>5640</v>
      </c>
      <c r="AA322" s="8">
        <v>-1.91</v>
      </c>
      <c r="AB322" s="7">
        <v>20432703</v>
      </c>
      <c r="AC322" s="7">
        <v>37175587</v>
      </c>
      <c r="AD322" s="7">
        <v>5572000</v>
      </c>
      <c r="AE322" s="7">
        <v>5500000</v>
      </c>
      <c r="AF322" s="7">
        <v>18179555</v>
      </c>
      <c r="AG322" s="7">
        <v>6508671</v>
      </c>
      <c r="AH322" s="8">
        <v>11.28</v>
      </c>
      <c r="AI322" s="8">
        <v>4</v>
      </c>
    </row>
    <row r="323" spans="1:35" x14ac:dyDescent="0.25">
      <c r="A323" s="6" t="str">
        <f>"141901"</f>
        <v>141901</v>
      </c>
      <c r="B323" s="6" t="s">
        <v>358</v>
      </c>
      <c r="C323" s="7">
        <v>101521206</v>
      </c>
      <c r="D323" s="7">
        <v>103867519</v>
      </c>
      <c r="E323" s="8">
        <v>2.31</v>
      </c>
      <c r="F323" s="7">
        <v>49472993</v>
      </c>
      <c r="G323" s="7">
        <v>50544983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49472993</v>
      </c>
      <c r="O323" s="7">
        <v>50544983</v>
      </c>
      <c r="P323" s="8">
        <v>2.17</v>
      </c>
      <c r="Q323" s="7">
        <v>0</v>
      </c>
      <c r="R323" s="7">
        <v>0</v>
      </c>
      <c r="S323" s="7">
        <v>49879319</v>
      </c>
      <c r="T323" s="7">
        <v>51313731</v>
      </c>
      <c r="U323" s="7">
        <v>49472993</v>
      </c>
      <c r="V323" s="7">
        <v>50544983</v>
      </c>
      <c r="W323" s="7">
        <v>406326</v>
      </c>
      <c r="X323" s="7">
        <v>768748</v>
      </c>
      <c r="Y323" s="7">
        <v>5762</v>
      </c>
      <c r="Z323" s="7">
        <v>5721</v>
      </c>
      <c r="AA323" s="8">
        <v>-0.71</v>
      </c>
      <c r="AB323" s="7">
        <v>37905687</v>
      </c>
      <c r="AC323" s="7">
        <v>28682204</v>
      </c>
      <c r="AD323" s="7">
        <v>2233466</v>
      </c>
      <c r="AE323" s="7">
        <v>3118825</v>
      </c>
      <c r="AF323" s="7">
        <v>3931459</v>
      </c>
      <c r="AG323" s="7">
        <v>3899537</v>
      </c>
      <c r="AH323" s="8">
        <v>3.87</v>
      </c>
      <c r="AI323" s="8">
        <v>3.75</v>
      </c>
    </row>
    <row r="324" spans="1:35" x14ac:dyDescent="0.25">
      <c r="A324" s="6" t="str">
        <f>"610801"</f>
        <v>610801</v>
      </c>
      <c r="B324" s="6" t="s">
        <v>359</v>
      </c>
      <c r="C324" s="7">
        <v>28047000</v>
      </c>
      <c r="D324" s="7">
        <v>29152000</v>
      </c>
      <c r="E324" s="8">
        <v>3.94</v>
      </c>
      <c r="F324" s="7">
        <v>17162333</v>
      </c>
      <c r="G324" s="7">
        <v>18343440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17162333</v>
      </c>
      <c r="O324" s="7">
        <v>18343440</v>
      </c>
      <c r="P324" s="8">
        <v>6.88</v>
      </c>
      <c r="Q324" s="7">
        <v>955740</v>
      </c>
      <c r="R324" s="7">
        <v>962339</v>
      </c>
      <c r="S324" s="7">
        <v>17383200</v>
      </c>
      <c r="T324" s="7">
        <v>18345539</v>
      </c>
      <c r="U324" s="7">
        <v>16206593</v>
      </c>
      <c r="V324" s="7">
        <v>17381101</v>
      </c>
      <c r="W324" s="7">
        <v>1176607</v>
      </c>
      <c r="X324" s="7">
        <v>964438</v>
      </c>
      <c r="Y324" s="7">
        <v>1184</v>
      </c>
      <c r="Z324" s="7">
        <v>1184</v>
      </c>
      <c r="AA324" s="8">
        <v>0</v>
      </c>
      <c r="AB324" s="7">
        <v>5406577</v>
      </c>
      <c r="AC324" s="7">
        <v>3600000</v>
      </c>
      <c r="AD324" s="7">
        <v>162000</v>
      </c>
      <c r="AE324" s="7">
        <v>115000</v>
      </c>
      <c r="AF324" s="7">
        <v>1120977</v>
      </c>
      <c r="AG324" s="7">
        <v>1166080</v>
      </c>
      <c r="AH324" s="8">
        <v>4</v>
      </c>
      <c r="AI324" s="8">
        <v>4</v>
      </c>
    </row>
    <row r="325" spans="1:35" x14ac:dyDescent="0.25">
      <c r="A325" s="6" t="str">
        <f>"490601"</f>
        <v>490601</v>
      </c>
      <c r="B325" s="6" t="s">
        <v>360</v>
      </c>
      <c r="C325" s="7">
        <v>45239433</v>
      </c>
      <c r="D325" s="7">
        <v>46687962</v>
      </c>
      <c r="E325" s="8">
        <v>3.2</v>
      </c>
      <c r="F325" s="7">
        <v>15097310</v>
      </c>
      <c r="G325" s="7">
        <v>15368410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15097310</v>
      </c>
      <c r="O325" s="7">
        <v>15368410</v>
      </c>
      <c r="P325" s="8">
        <v>1.8</v>
      </c>
      <c r="Q325" s="7">
        <v>846647</v>
      </c>
      <c r="R325" s="7">
        <v>902356</v>
      </c>
      <c r="S325" s="7">
        <v>15174104</v>
      </c>
      <c r="T325" s="7">
        <v>15406288</v>
      </c>
      <c r="U325" s="7">
        <v>14250663</v>
      </c>
      <c r="V325" s="7">
        <v>14466054</v>
      </c>
      <c r="W325" s="7">
        <v>923441</v>
      </c>
      <c r="X325" s="7">
        <v>940234</v>
      </c>
      <c r="Y325" s="7">
        <v>2388</v>
      </c>
      <c r="Z325" s="7">
        <v>2367</v>
      </c>
      <c r="AA325" s="8">
        <v>-0.88</v>
      </c>
      <c r="AB325" s="7">
        <v>5500000</v>
      </c>
      <c r="AC325" s="7">
        <v>5500000</v>
      </c>
      <c r="AD325" s="7">
        <v>1275000</v>
      </c>
      <c r="AE325" s="7">
        <v>1275000</v>
      </c>
      <c r="AF325" s="7">
        <v>1809577</v>
      </c>
      <c r="AG325" s="7">
        <v>1867517</v>
      </c>
      <c r="AH325" s="8">
        <v>4</v>
      </c>
      <c r="AI325" s="8">
        <v>4</v>
      </c>
    </row>
    <row r="326" spans="1:35" x14ac:dyDescent="0.25">
      <c r="A326" s="6" t="str">
        <f>"470801"</f>
        <v>470801</v>
      </c>
      <c r="B326" s="6" t="s">
        <v>361</v>
      </c>
      <c r="C326" s="7">
        <v>9588236</v>
      </c>
      <c r="D326" s="7">
        <v>9732121</v>
      </c>
      <c r="E326" s="8">
        <v>1.5</v>
      </c>
      <c r="F326" s="7">
        <v>2653934</v>
      </c>
      <c r="G326" s="7">
        <v>2687531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2653934</v>
      </c>
      <c r="O326" s="7">
        <v>2687531</v>
      </c>
      <c r="P326" s="8">
        <v>1.27</v>
      </c>
      <c r="Q326" s="7">
        <v>196569</v>
      </c>
      <c r="R326" s="7">
        <v>191141</v>
      </c>
      <c r="S326" s="7">
        <v>2457365</v>
      </c>
      <c r="T326" s="7">
        <v>2496390</v>
      </c>
      <c r="U326" s="7">
        <v>2457365</v>
      </c>
      <c r="V326" s="7">
        <v>2496390</v>
      </c>
      <c r="W326" s="7">
        <v>0</v>
      </c>
      <c r="X326" s="7">
        <v>0</v>
      </c>
      <c r="Y326" s="7">
        <v>340</v>
      </c>
      <c r="Z326" s="7">
        <v>340</v>
      </c>
      <c r="AA326" s="8">
        <v>0</v>
      </c>
      <c r="AB326" s="7">
        <v>2955946</v>
      </c>
      <c r="AC326" s="7">
        <v>2650000</v>
      </c>
      <c r="AD326" s="7">
        <v>370401</v>
      </c>
      <c r="AE326" s="7">
        <v>375108</v>
      </c>
      <c r="AF326" s="7">
        <v>383527</v>
      </c>
      <c r="AG326" s="7">
        <v>389285</v>
      </c>
      <c r="AH326" s="8">
        <v>4</v>
      </c>
      <c r="AI326" s="8">
        <v>4</v>
      </c>
    </row>
    <row r="327" spans="1:35" x14ac:dyDescent="0.25">
      <c r="A327" s="6" t="str">
        <f>"280215"</f>
        <v>280215</v>
      </c>
      <c r="B327" s="6" t="s">
        <v>362</v>
      </c>
      <c r="C327" s="7">
        <v>99561935</v>
      </c>
      <c r="D327" s="7">
        <v>100783090</v>
      </c>
      <c r="E327" s="8">
        <v>1.23</v>
      </c>
      <c r="F327" s="7">
        <v>83770595</v>
      </c>
      <c r="G327" s="7">
        <v>85593836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83770595</v>
      </c>
      <c r="O327" s="7">
        <v>85593836</v>
      </c>
      <c r="P327" s="8">
        <v>2.1800000000000002</v>
      </c>
      <c r="Q327" s="7">
        <v>0</v>
      </c>
      <c r="R327" s="7">
        <v>0</v>
      </c>
      <c r="S327" s="7">
        <v>83951088</v>
      </c>
      <c r="T327" s="7">
        <v>85593836</v>
      </c>
      <c r="U327" s="7">
        <v>83770595</v>
      </c>
      <c r="V327" s="7">
        <v>85593836</v>
      </c>
      <c r="W327" s="7">
        <v>180493</v>
      </c>
      <c r="X327" s="7">
        <v>0</v>
      </c>
      <c r="Y327" s="7">
        <v>2790</v>
      </c>
      <c r="Z327" s="7">
        <v>2765</v>
      </c>
      <c r="AA327" s="8">
        <v>-0.9</v>
      </c>
      <c r="AB327" s="7">
        <v>1807624</v>
      </c>
      <c r="AC327" s="7">
        <v>1807624</v>
      </c>
      <c r="AD327" s="7">
        <v>0</v>
      </c>
      <c r="AE327" s="7">
        <v>0</v>
      </c>
      <c r="AF327" s="7">
        <v>3982477</v>
      </c>
      <c r="AG327" s="7">
        <v>4031324</v>
      </c>
      <c r="AH327" s="8">
        <v>4</v>
      </c>
      <c r="AI327" s="8">
        <v>4</v>
      </c>
    </row>
    <row r="328" spans="1:35" x14ac:dyDescent="0.25">
      <c r="A328" s="6" t="str">
        <f>"181001"</f>
        <v>181001</v>
      </c>
      <c r="B328" s="6" t="s">
        <v>363</v>
      </c>
      <c r="C328" s="7">
        <v>23214781</v>
      </c>
      <c r="D328" s="7">
        <v>24520718</v>
      </c>
      <c r="E328" s="8">
        <v>5.63</v>
      </c>
      <c r="F328" s="7">
        <v>9584652</v>
      </c>
      <c r="G328" s="7">
        <v>9776659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9584652</v>
      </c>
      <c r="O328" s="7">
        <v>9776659</v>
      </c>
      <c r="P328" s="8">
        <v>2</v>
      </c>
      <c r="Q328" s="7">
        <v>46000</v>
      </c>
      <c r="R328" s="7">
        <v>130551</v>
      </c>
      <c r="S328" s="7">
        <v>9737355</v>
      </c>
      <c r="T328" s="7">
        <v>9937960</v>
      </c>
      <c r="U328" s="7">
        <v>9538652</v>
      </c>
      <c r="V328" s="7">
        <v>9646108</v>
      </c>
      <c r="W328" s="7">
        <v>198703</v>
      </c>
      <c r="X328" s="7">
        <v>291852</v>
      </c>
      <c r="Y328" s="7">
        <v>1166</v>
      </c>
      <c r="Z328" s="7">
        <v>1170</v>
      </c>
      <c r="AA328" s="8">
        <v>0.34</v>
      </c>
      <c r="AB328" s="7">
        <v>1676696</v>
      </c>
      <c r="AC328" s="7">
        <v>1678000</v>
      </c>
      <c r="AD328" s="7">
        <v>523227</v>
      </c>
      <c r="AE328" s="7">
        <v>524000</v>
      </c>
      <c r="AF328" s="7">
        <v>938269</v>
      </c>
      <c r="AG328" s="7">
        <v>980829</v>
      </c>
      <c r="AH328" s="8">
        <v>4.04</v>
      </c>
      <c r="AI328" s="8">
        <v>4</v>
      </c>
    </row>
    <row r="329" spans="1:35" x14ac:dyDescent="0.25">
      <c r="A329" s="6" t="str">
        <f>"670401"</f>
        <v>670401</v>
      </c>
      <c r="B329" s="6" t="s">
        <v>364</v>
      </c>
      <c r="C329" s="7">
        <v>19036649</v>
      </c>
      <c r="D329" s="7">
        <v>19210779</v>
      </c>
      <c r="E329" s="8">
        <v>0.91</v>
      </c>
      <c r="F329" s="7">
        <v>4392139</v>
      </c>
      <c r="G329" s="7">
        <v>4493158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4392139</v>
      </c>
      <c r="O329" s="7">
        <v>4493158</v>
      </c>
      <c r="P329" s="8">
        <v>2.2999999999999998</v>
      </c>
      <c r="Q329" s="7">
        <v>0</v>
      </c>
      <c r="R329" s="7">
        <v>0</v>
      </c>
      <c r="S329" s="7">
        <v>4418847</v>
      </c>
      <c r="T329" s="7">
        <v>4580540</v>
      </c>
      <c r="U329" s="7">
        <v>4392139</v>
      </c>
      <c r="V329" s="7">
        <v>4493158</v>
      </c>
      <c r="W329" s="7">
        <v>26708</v>
      </c>
      <c r="X329" s="7">
        <v>87382</v>
      </c>
      <c r="Y329" s="7">
        <v>918</v>
      </c>
      <c r="Z329" s="7">
        <v>909</v>
      </c>
      <c r="AA329" s="8">
        <v>-0.98</v>
      </c>
      <c r="AB329" s="7">
        <v>9832763</v>
      </c>
      <c r="AC329" s="7">
        <v>9440115</v>
      </c>
      <c r="AD329" s="7">
        <v>349468</v>
      </c>
      <c r="AE329" s="7">
        <v>300000</v>
      </c>
      <c r="AF329" s="7">
        <v>761465</v>
      </c>
      <c r="AG329" s="7">
        <v>768431</v>
      </c>
      <c r="AH329" s="8">
        <v>4</v>
      </c>
      <c r="AI329" s="8">
        <v>4</v>
      </c>
    </row>
    <row r="330" spans="1:35" x14ac:dyDescent="0.25">
      <c r="A330" s="6" t="str">
        <f>"280205"</f>
        <v>280205</v>
      </c>
      <c r="B330" s="6" t="s">
        <v>365</v>
      </c>
      <c r="C330" s="7">
        <v>205449470</v>
      </c>
      <c r="D330" s="7">
        <v>210218722</v>
      </c>
      <c r="E330" s="8">
        <v>2.3199999999999998</v>
      </c>
      <c r="F330" s="7">
        <v>134739685</v>
      </c>
      <c r="G330" s="7">
        <v>136270739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134739685</v>
      </c>
      <c r="O330" s="7">
        <v>136270739</v>
      </c>
      <c r="P330" s="8">
        <v>1.1399999999999999</v>
      </c>
      <c r="Q330" s="7">
        <v>878406</v>
      </c>
      <c r="R330" s="7">
        <v>740061</v>
      </c>
      <c r="S330" s="7">
        <v>133861279</v>
      </c>
      <c r="T330" s="7">
        <v>135530678</v>
      </c>
      <c r="U330" s="7">
        <v>133861279</v>
      </c>
      <c r="V330" s="7">
        <v>135530678</v>
      </c>
      <c r="W330" s="7">
        <v>0</v>
      </c>
      <c r="X330" s="7">
        <v>0</v>
      </c>
      <c r="Y330" s="7">
        <v>7085</v>
      </c>
      <c r="Z330" s="7">
        <v>7077</v>
      </c>
      <c r="AA330" s="8">
        <v>-0.11</v>
      </c>
      <c r="AB330" s="7">
        <v>41657650</v>
      </c>
      <c r="AC330" s="7">
        <v>27528483</v>
      </c>
      <c r="AD330" s="7">
        <v>7509569</v>
      </c>
      <c r="AE330" s="7">
        <v>8855000</v>
      </c>
      <c r="AF330" s="7">
        <v>8217979</v>
      </c>
      <c r="AG330" s="7">
        <v>8413537</v>
      </c>
      <c r="AH330" s="8">
        <v>4</v>
      </c>
      <c r="AI330" s="8">
        <v>4</v>
      </c>
    </row>
    <row r="331" spans="1:35" x14ac:dyDescent="0.25">
      <c r="A331" s="6" t="str">
        <f>"400301"</f>
        <v>400301</v>
      </c>
      <c r="B331" s="6" t="s">
        <v>366</v>
      </c>
      <c r="C331" s="7">
        <v>43091723</v>
      </c>
      <c r="D331" s="7">
        <v>44882121</v>
      </c>
      <c r="E331" s="8">
        <v>4.1500000000000004</v>
      </c>
      <c r="F331" s="7">
        <v>25409283</v>
      </c>
      <c r="G331" s="7">
        <v>25797536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25409283</v>
      </c>
      <c r="O331" s="7">
        <v>25797536</v>
      </c>
      <c r="P331" s="8">
        <v>1.53</v>
      </c>
      <c r="Q331" s="7">
        <v>1203815</v>
      </c>
      <c r="R331" s="7">
        <v>1167185</v>
      </c>
      <c r="S331" s="7">
        <v>24304542</v>
      </c>
      <c r="T331" s="7">
        <v>24729850</v>
      </c>
      <c r="U331" s="7">
        <v>24205468</v>
      </c>
      <c r="V331" s="7">
        <v>24630351</v>
      </c>
      <c r="W331" s="7">
        <v>99074</v>
      </c>
      <c r="X331" s="7">
        <v>99499</v>
      </c>
      <c r="Y331" s="7">
        <v>2161</v>
      </c>
      <c r="Z331" s="7">
        <v>2097</v>
      </c>
      <c r="AA331" s="8">
        <v>-2.96</v>
      </c>
      <c r="AB331" s="7">
        <v>1300216</v>
      </c>
      <c r="AC331" s="7">
        <v>1429999</v>
      </c>
      <c r="AD331" s="7">
        <v>400000</v>
      </c>
      <c r="AE331" s="7">
        <v>700000</v>
      </c>
      <c r="AF331" s="7">
        <v>1944542</v>
      </c>
      <c r="AG331" s="7">
        <v>1839585</v>
      </c>
      <c r="AH331" s="8">
        <v>4.51</v>
      </c>
      <c r="AI331" s="8">
        <v>4.0999999999999996</v>
      </c>
    </row>
    <row r="332" spans="1:35" x14ac:dyDescent="0.25">
      <c r="A332" s="6" t="str">
        <f>"590901"</f>
        <v>590901</v>
      </c>
      <c r="B332" s="6" t="s">
        <v>367</v>
      </c>
      <c r="C332" s="7">
        <v>44414849</v>
      </c>
      <c r="D332" s="7">
        <v>45913009</v>
      </c>
      <c r="E332" s="8">
        <v>3.37</v>
      </c>
      <c r="F332" s="7">
        <v>18666828</v>
      </c>
      <c r="G332" s="7">
        <v>18666828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18666828</v>
      </c>
      <c r="O332" s="7">
        <v>18666828</v>
      </c>
      <c r="P332" s="8">
        <v>0</v>
      </c>
      <c r="Q332" s="7">
        <v>0</v>
      </c>
      <c r="R332" s="7">
        <v>0</v>
      </c>
      <c r="S332" s="7">
        <v>19359311</v>
      </c>
      <c r="T332" s="7">
        <v>18905919</v>
      </c>
      <c r="U332" s="7">
        <v>18666828</v>
      </c>
      <c r="V332" s="7">
        <v>18666828</v>
      </c>
      <c r="W332" s="7">
        <v>692483</v>
      </c>
      <c r="X332" s="7">
        <v>239091</v>
      </c>
      <c r="Y332" s="7">
        <v>1709</v>
      </c>
      <c r="Z332" s="7">
        <v>1776</v>
      </c>
      <c r="AA332" s="8">
        <v>3.92</v>
      </c>
      <c r="AB332" s="7">
        <v>7996494</v>
      </c>
      <c r="AC332" s="7">
        <v>9496833</v>
      </c>
      <c r="AD332" s="7">
        <v>0</v>
      </c>
      <c r="AE332" s="7">
        <v>120888</v>
      </c>
      <c r="AF332" s="7">
        <v>2236444</v>
      </c>
      <c r="AG332" s="7">
        <v>1836520</v>
      </c>
      <c r="AH332" s="8">
        <v>5.04</v>
      </c>
      <c r="AI332" s="8">
        <v>4</v>
      </c>
    </row>
    <row r="333" spans="1:35" x14ac:dyDescent="0.25">
      <c r="A333" s="6" t="str">
        <f>"580104"</f>
        <v>580104</v>
      </c>
      <c r="B333" s="6" t="s">
        <v>368</v>
      </c>
      <c r="C333" s="7">
        <v>151534773</v>
      </c>
      <c r="D333" s="7">
        <v>155974566</v>
      </c>
      <c r="E333" s="8">
        <v>2.93</v>
      </c>
      <c r="F333" s="7">
        <v>94867892</v>
      </c>
      <c r="G333" s="7">
        <v>96227213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94867892</v>
      </c>
      <c r="O333" s="7">
        <v>96227213</v>
      </c>
      <c r="P333" s="8">
        <v>1.43</v>
      </c>
      <c r="Q333" s="7">
        <v>2271070</v>
      </c>
      <c r="R333" s="7">
        <v>2253220</v>
      </c>
      <c r="S333" s="7">
        <v>92599324</v>
      </c>
      <c r="T333" s="7">
        <v>93973993</v>
      </c>
      <c r="U333" s="7">
        <v>92596822</v>
      </c>
      <c r="V333" s="7">
        <v>93973993</v>
      </c>
      <c r="W333" s="7">
        <v>2502</v>
      </c>
      <c r="X333" s="7">
        <v>0</v>
      </c>
      <c r="Y333" s="7">
        <v>5998</v>
      </c>
      <c r="Z333" s="7">
        <v>5990</v>
      </c>
      <c r="AA333" s="8">
        <v>-0.13</v>
      </c>
      <c r="AB333" s="7">
        <v>12587810</v>
      </c>
      <c r="AC333" s="7">
        <v>12867810</v>
      </c>
      <c r="AD333" s="7">
        <v>2100000</v>
      </c>
      <c r="AE333" s="7">
        <v>1900000</v>
      </c>
      <c r="AF333" s="7">
        <v>6061391</v>
      </c>
      <c r="AG333" s="7">
        <v>6238983</v>
      </c>
      <c r="AH333" s="8">
        <v>4</v>
      </c>
      <c r="AI333" s="8">
        <v>4</v>
      </c>
    </row>
    <row r="334" spans="1:35" x14ac:dyDescent="0.25">
      <c r="A334" s="6" t="str">
        <f>"511602"</f>
        <v>511602</v>
      </c>
      <c r="B334" s="6" t="s">
        <v>369</v>
      </c>
      <c r="C334" s="7">
        <v>12969755</v>
      </c>
      <c r="D334" s="7">
        <v>12933650</v>
      </c>
      <c r="E334" s="8">
        <v>-0.28000000000000003</v>
      </c>
      <c r="F334" s="7">
        <v>3336905</v>
      </c>
      <c r="G334" s="7">
        <v>3409622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3336905</v>
      </c>
      <c r="O334" s="7">
        <v>3409622</v>
      </c>
      <c r="P334" s="8">
        <v>2.1800000000000002</v>
      </c>
      <c r="Q334" s="7">
        <v>0</v>
      </c>
      <c r="R334" s="7">
        <v>0</v>
      </c>
      <c r="S334" s="7">
        <v>3336905</v>
      </c>
      <c r="T334" s="7">
        <v>3409622</v>
      </c>
      <c r="U334" s="7">
        <v>3336905</v>
      </c>
      <c r="V334" s="7">
        <v>3409622</v>
      </c>
      <c r="W334" s="7">
        <v>0</v>
      </c>
      <c r="X334" s="7">
        <v>0</v>
      </c>
      <c r="Y334" s="7">
        <v>585</v>
      </c>
      <c r="Z334" s="7">
        <v>585</v>
      </c>
      <c r="AA334" s="8">
        <v>0</v>
      </c>
      <c r="AB334" s="7">
        <v>1958793</v>
      </c>
      <c r="AC334" s="7">
        <v>1963432</v>
      </c>
      <c r="AD334" s="7">
        <v>2275354</v>
      </c>
      <c r="AE334" s="7">
        <v>2231112</v>
      </c>
      <c r="AF334" s="7">
        <v>518790</v>
      </c>
      <c r="AG334" s="7">
        <v>517346</v>
      </c>
      <c r="AH334" s="8">
        <v>4</v>
      </c>
      <c r="AI334" s="8">
        <v>4</v>
      </c>
    </row>
    <row r="335" spans="1:35" x14ac:dyDescent="0.25">
      <c r="A335" s="6" t="str">
        <f>"210800"</f>
        <v>210800</v>
      </c>
      <c r="B335" s="6" t="s">
        <v>370</v>
      </c>
      <c r="C335" s="7">
        <v>21969830</v>
      </c>
      <c r="D335" s="7">
        <v>21377838</v>
      </c>
      <c r="E335" s="8">
        <v>-2.69</v>
      </c>
      <c r="F335" s="7">
        <v>8637397</v>
      </c>
      <c r="G335" s="7">
        <v>8637397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8637397</v>
      </c>
      <c r="O335" s="7">
        <v>8637397</v>
      </c>
      <c r="P335" s="8">
        <v>0</v>
      </c>
      <c r="Q335" s="7">
        <v>20485</v>
      </c>
      <c r="R335" s="7">
        <v>28776</v>
      </c>
      <c r="S335" s="7">
        <v>8616912</v>
      </c>
      <c r="T335" s="7">
        <v>8824396</v>
      </c>
      <c r="U335" s="7">
        <v>8616912</v>
      </c>
      <c r="V335" s="7">
        <v>8608621</v>
      </c>
      <c r="W335" s="7">
        <v>0</v>
      </c>
      <c r="X335" s="7">
        <v>215775</v>
      </c>
      <c r="Y335" s="7">
        <v>1103</v>
      </c>
      <c r="Z335" s="7">
        <v>1100</v>
      </c>
      <c r="AA335" s="8">
        <v>-0.27</v>
      </c>
      <c r="AB335" s="7">
        <v>93719</v>
      </c>
      <c r="AC335" s="7">
        <v>0</v>
      </c>
      <c r="AD335" s="7">
        <v>53142</v>
      </c>
      <c r="AE335" s="7">
        <v>51756</v>
      </c>
      <c r="AF335" s="7">
        <v>2034369</v>
      </c>
      <c r="AG335" s="7">
        <v>2000000</v>
      </c>
      <c r="AH335" s="8">
        <v>9.26</v>
      </c>
      <c r="AI335" s="8">
        <v>9.36</v>
      </c>
    </row>
    <row r="336" spans="1:35" x14ac:dyDescent="0.25">
      <c r="A336" s="6" t="str">
        <f>"421501"</f>
        <v>421501</v>
      </c>
      <c r="B336" s="6" t="s">
        <v>371</v>
      </c>
      <c r="C336" s="7">
        <v>148975797</v>
      </c>
      <c r="D336" s="7">
        <v>153389263</v>
      </c>
      <c r="E336" s="8">
        <v>2.96</v>
      </c>
      <c r="F336" s="7">
        <v>80847241</v>
      </c>
      <c r="G336" s="7">
        <v>82829680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80847241</v>
      </c>
      <c r="O336" s="7">
        <v>82829680</v>
      </c>
      <c r="P336" s="8">
        <v>2.4500000000000002</v>
      </c>
      <c r="Q336" s="7">
        <v>3852707</v>
      </c>
      <c r="R336" s="7">
        <v>4424564</v>
      </c>
      <c r="S336" s="7">
        <v>77203563</v>
      </c>
      <c r="T336" s="7">
        <v>78405116</v>
      </c>
      <c r="U336" s="7">
        <v>76994534</v>
      </c>
      <c r="V336" s="7">
        <v>78405116</v>
      </c>
      <c r="W336" s="7">
        <v>209029</v>
      </c>
      <c r="X336" s="7">
        <v>0</v>
      </c>
      <c r="Y336" s="7">
        <v>7338</v>
      </c>
      <c r="Z336" s="7">
        <v>7305</v>
      </c>
      <c r="AA336" s="8">
        <v>-0.45</v>
      </c>
      <c r="AB336" s="7">
        <v>13152969</v>
      </c>
      <c r="AC336" s="7">
        <v>13336435</v>
      </c>
      <c r="AD336" s="7">
        <v>3995829</v>
      </c>
      <c r="AE336" s="7">
        <v>4048385</v>
      </c>
      <c r="AF336" s="7">
        <v>5959031</v>
      </c>
      <c r="AG336" s="7">
        <v>6135570</v>
      </c>
      <c r="AH336" s="8">
        <v>4</v>
      </c>
      <c r="AI336" s="8">
        <v>4</v>
      </c>
    </row>
    <row r="337" spans="1:35" x14ac:dyDescent="0.25">
      <c r="A337" s="6" t="str">
        <f>"591302"</f>
        <v>591302</v>
      </c>
      <c r="B337" s="6" t="s">
        <v>372</v>
      </c>
      <c r="C337" s="7">
        <v>15986263</v>
      </c>
      <c r="D337" s="7">
        <v>16300529</v>
      </c>
      <c r="E337" s="8">
        <v>1.97</v>
      </c>
      <c r="F337" s="7">
        <v>8099973</v>
      </c>
      <c r="G337" s="7">
        <v>8215438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8099973</v>
      </c>
      <c r="O337" s="7">
        <v>8215438</v>
      </c>
      <c r="P337" s="8">
        <v>1.43</v>
      </c>
      <c r="Q337" s="7">
        <v>0</v>
      </c>
      <c r="R337" s="7">
        <v>0</v>
      </c>
      <c r="S337" s="7">
        <v>8099973</v>
      </c>
      <c r="T337" s="7">
        <v>8215438</v>
      </c>
      <c r="U337" s="7">
        <v>8099973</v>
      </c>
      <c r="V337" s="7">
        <v>8215438</v>
      </c>
      <c r="W337" s="7">
        <v>0</v>
      </c>
      <c r="X337" s="7">
        <v>0</v>
      </c>
      <c r="Y337" s="7">
        <v>489</v>
      </c>
      <c r="Z337" s="7">
        <v>497</v>
      </c>
      <c r="AA337" s="8">
        <v>1.64</v>
      </c>
      <c r="AB337" s="7">
        <v>4892879</v>
      </c>
      <c r="AC337" s="7">
        <v>6596219</v>
      </c>
      <c r="AD337" s="7">
        <v>800000</v>
      </c>
      <c r="AE337" s="7">
        <v>700000</v>
      </c>
      <c r="AF337" s="7">
        <v>639451</v>
      </c>
      <c r="AG337" s="7">
        <v>652021</v>
      </c>
      <c r="AH337" s="8">
        <v>4</v>
      </c>
      <c r="AI337" s="8">
        <v>4</v>
      </c>
    </row>
    <row r="338" spans="1:35" x14ac:dyDescent="0.25">
      <c r="A338" s="6" t="str">
        <f>"240801"</f>
        <v>240801</v>
      </c>
      <c r="B338" s="6" t="s">
        <v>373</v>
      </c>
      <c r="C338" s="7">
        <v>33349686</v>
      </c>
      <c r="D338" s="7">
        <v>33844929</v>
      </c>
      <c r="E338" s="8">
        <v>1.49</v>
      </c>
      <c r="F338" s="7">
        <v>16702510</v>
      </c>
      <c r="G338" s="7">
        <v>16915270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16702510</v>
      </c>
      <c r="O338" s="7">
        <v>16915270</v>
      </c>
      <c r="P338" s="8">
        <v>1.27</v>
      </c>
      <c r="Q338" s="7">
        <v>723466</v>
      </c>
      <c r="R338" s="7">
        <v>662498</v>
      </c>
      <c r="S338" s="7">
        <v>15979044</v>
      </c>
      <c r="T338" s="7">
        <v>16252772</v>
      </c>
      <c r="U338" s="7">
        <v>15979044</v>
      </c>
      <c r="V338" s="7">
        <v>16252772</v>
      </c>
      <c r="W338" s="7">
        <v>0</v>
      </c>
      <c r="X338" s="7">
        <v>0</v>
      </c>
      <c r="Y338" s="7">
        <v>1590</v>
      </c>
      <c r="Z338" s="7">
        <v>1494</v>
      </c>
      <c r="AA338" s="8">
        <v>-6.04</v>
      </c>
      <c r="AB338" s="7">
        <v>1440528</v>
      </c>
      <c r="AC338" s="7">
        <v>1440528</v>
      </c>
      <c r="AD338" s="7">
        <v>1151880</v>
      </c>
      <c r="AE338" s="7">
        <v>830950</v>
      </c>
      <c r="AF338" s="7">
        <v>1393662</v>
      </c>
      <c r="AG338" s="7">
        <v>1355000</v>
      </c>
      <c r="AH338" s="8">
        <v>4.18</v>
      </c>
      <c r="AI338" s="8">
        <v>4</v>
      </c>
    </row>
    <row r="339" spans="1:35" x14ac:dyDescent="0.25">
      <c r="A339" s="6" t="str">
        <f>"400400"</f>
        <v>400400</v>
      </c>
      <c r="B339" s="6" t="s">
        <v>374</v>
      </c>
      <c r="C339" s="7">
        <v>93867139</v>
      </c>
      <c r="D339" s="7">
        <v>96818467</v>
      </c>
      <c r="E339" s="8">
        <v>3.14</v>
      </c>
      <c r="F339" s="7">
        <v>37103937</v>
      </c>
      <c r="G339" s="7">
        <v>37658476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37103937</v>
      </c>
      <c r="O339" s="7">
        <v>37658476</v>
      </c>
      <c r="P339" s="8">
        <v>1.49</v>
      </c>
      <c r="Q339" s="7">
        <v>0</v>
      </c>
      <c r="R339" s="7">
        <v>0</v>
      </c>
      <c r="S339" s="7">
        <v>37103937</v>
      </c>
      <c r="T339" s="7">
        <v>37658476</v>
      </c>
      <c r="U339" s="7">
        <v>37103937</v>
      </c>
      <c r="V339" s="7">
        <v>37658476</v>
      </c>
      <c r="W339" s="7">
        <v>0</v>
      </c>
      <c r="X339" s="7">
        <v>0</v>
      </c>
      <c r="Y339" s="7">
        <v>4715</v>
      </c>
      <c r="Z339" s="7">
        <v>4742</v>
      </c>
      <c r="AA339" s="8">
        <v>0.56999999999999995</v>
      </c>
      <c r="AB339" s="7">
        <v>11026703</v>
      </c>
      <c r="AC339" s="7">
        <v>10490959</v>
      </c>
      <c r="AD339" s="7">
        <v>1572022</v>
      </c>
      <c r="AE339" s="7">
        <v>2292777</v>
      </c>
      <c r="AF339" s="7">
        <v>3754685</v>
      </c>
      <c r="AG339" s="7">
        <v>3872739</v>
      </c>
      <c r="AH339" s="8">
        <v>4</v>
      </c>
      <c r="AI339" s="8">
        <v>4</v>
      </c>
    </row>
    <row r="340" spans="1:35" x14ac:dyDescent="0.25">
      <c r="A340" s="6" t="str">
        <f>"280503"</f>
        <v>280503</v>
      </c>
      <c r="B340" s="6" t="s">
        <v>375</v>
      </c>
      <c r="C340" s="7">
        <v>82875746</v>
      </c>
      <c r="D340" s="7">
        <v>84082613</v>
      </c>
      <c r="E340" s="8">
        <v>1.46</v>
      </c>
      <c r="F340" s="7">
        <v>77278903</v>
      </c>
      <c r="G340" s="7">
        <v>78283529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77278903</v>
      </c>
      <c r="O340" s="7">
        <v>78283529</v>
      </c>
      <c r="P340" s="8">
        <v>1.3</v>
      </c>
      <c r="Q340" s="7">
        <v>3620673</v>
      </c>
      <c r="R340" s="7">
        <v>3622810</v>
      </c>
      <c r="S340" s="7">
        <v>73697261</v>
      </c>
      <c r="T340" s="7">
        <v>74685638</v>
      </c>
      <c r="U340" s="7">
        <v>73658230</v>
      </c>
      <c r="V340" s="7">
        <v>74660719</v>
      </c>
      <c r="W340" s="7">
        <v>39031</v>
      </c>
      <c r="X340" s="7">
        <v>24919</v>
      </c>
      <c r="Y340" s="7">
        <v>2100</v>
      </c>
      <c r="Z340" s="7">
        <v>2065</v>
      </c>
      <c r="AA340" s="8">
        <v>-1.67</v>
      </c>
      <c r="AB340" s="7">
        <v>14571400</v>
      </c>
      <c r="AC340" s="7">
        <v>15175000</v>
      </c>
      <c r="AD340" s="7">
        <v>0</v>
      </c>
      <c r="AE340" s="7">
        <v>0</v>
      </c>
      <c r="AF340" s="7">
        <v>3315000</v>
      </c>
      <c r="AG340" s="7">
        <v>3354000</v>
      </c>
      <c r="AH340" s="8">
        <v>4</v>
      </c>
      <c r="AI340" s="8">
        <v>3.99</v>
      </c>
    </row>
    <row r="341" spans="1:35" x14ac:dyDescent="0.25">
      <c r="A341" s="6" t="str">
        <f>"280300"</f>
        <v>280300</v>
      </c>
      <c r="B341" s="6" t="s">
        <v>376</v>
      </c>
      <c r="C341" s="7">
        <v>135523692</v>
      </c>
      <c r="D341" s="7">
        <v>135326640</v>
      </c>
      <c r="E341" s="8">
        <v>-0.15</v>
      </c>
      <c r="F341" s="7">
        <v>97145689</v>
      </c>
      <c r="G341" s="7">
        <v>99078437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97145689</v>
      </c>
      <c r="O341" s="7">
        <v>99078437</v>
      </c>
      <c r="P341" s="8">
        <v>1.99</v>
      </c>
      <c r="Q341" s="7">
        <v>6481115</v>
      </c>
      <c r="R341" s="7">
        <v>6879032</v>
      </c>
      <c r="S341" s="7">
        <v>90664574</v>
      </c>
      <c r="T341" s="7">
        <v>92199405</v>
      </c>
      <c r="U341" s="7">
        <v>90664574</v>
      </c>
      <c r="V341" s="7">
        <v>92199405</v>
      </c>
      <c r="W341" s="7">
        <v>0</v>
      </c>
      <c r="X341" s="7">
        <v>0</v>
      </c>
      <c r="Y341" s="7">
        <v>3655</v>
      </c>
      <c r="Z341" s="7">
        <v>3673</v>
      </c>
      <c r="AA341" s="8">
        <v>0.49</v>
      </c>
      <c r="AB341" s="7">
        <v>15091072</v>
      </c>
      <c r="AC341" s="7">
        <v>13862460</v>
      </c>
      <c r="AD341" s="7">
        <v>1000000</v>
      </c>
      <c r="AE341" s="7">
        <v>939972</v>
      </c>
      <c r="AF341" s="7">
        <v>8357430</v>
      </c>
      <c r="AG341" s="7">
        <v>7532458</v>
      </c>
      <c r="AH341" s="8">
        <v>6.17</v>
      </c>
      <c r="AI341" s="8">
        <v>5.57</v>
      </c>
    </row>
    <row r="342" spans="1:35" x14ac:dyDescent="0.25">
      <c r="A342" s="6" t="str">
        <f>"200701"</f>
        <v>200701</v>
      </c>
      <c r="B342" s="6" t="s">
        <v>377</v>
      </c>
      <c r="C342" s="7">
        <v>3894743</v>
      </c>
      <c r="D342" s="7">
        <v>3990242</v>
      </c>
      <c r="E342" s="8">
        <v>2.4500000000000002</v>
      </c>
      <c r="F342" s="7">
        <v>2746561</v>
      </c>
      <c r="G342" s="7">
        <v>2789000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2746561</v>
      </c>
      <c r="O342" s="7">
        <v>2789000</v>
      </c>
      <c r="P342" s="8">
        <v>1.55</v>
      </c>
      <c r="Q342" s="7">
        <v>0</v>
      </c>
      <c r="R342" s="7">
        <v>0</v>
      </c>
      <c r="S342" s="7">
        <v>2751477</v>
      </c>
      <c r="T342" s="7">
        <v>2789143</v>
      </c>
      <c r="U342" s="7">
        <v>2746561</v>
      </c>
      <c r="V342" s="7">
        <v>2789000</v>
      </c>
      <c r="W342" s="7">
        <v>4916</v>
      </c>
      <c r="X342" s="7">
        <v>143</v>
      </c>
      <c r="Y342" s="7">
        <v>61</v>
      </c>
      <c r="Z342" s="7">
        <v>61</v>
      </c>
      <c r="AA342" s="8">
        <v>0</v>
      </c>
      <c r="AB342" s="7">
        <v>718251</v>
      </c>
      <c r="AC342" s="7">
        <v>603251</v>
      </c>
      <c r="AD342" s="7">
        <v>910558</v>
      </c>
      <c r="AE342" s="7">
        <v>949942</v>
      </c>
      <c r="AF342" s="7">
        <v>183447</v>
      </c>
      <c r="AG342" s="7">
        <v>159500</v>
      </c>
      <c r="AH342" s="8">
        <v>4.71</v>
      </c>
      <c r="AI342" s="8">
        <v>4</v>
      </c>
    </row>
    <row r="343" spans="1:35" x14ac:dyDescent="0.25">
      <c r="A343" s="6" t="str">
        <f>"580212"</f>
        <v>580212</v>
      </c>
      <c r="B343" s="6" t="s">
        <v>378</v>
      </c>
      <c r="C343" s="7">
        <v>235000000</v>
      </c>
      <c r="D343" s="7">
        <v>242800000</v>
      </c>
      <c r="E343" s="8">
        <v>3.32</v>
      </c>
      <c r="F343" s="7">
        <v>134022359</v>
      </c>
      <c r="G343" s="7">
        <v>137864766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134022359</v>
      </c>
      <c r="O343" s="7">
        <v>137864766</v>
      </c>
      <c r="P343" s="8">
        <v>2.87</v>
      </c>
      <c r="Q343" s="7">
        <v>3237475</v>
      </c>
      <c r="R343" s="7">
        <v>3312261</v>
      </c>
      <c r="S343" s="7">
        <v>130784884</v>
      </c>
      <c r="T343" s="7">
        <v>134552505</v>
      </c>
      <c r="U343" s="7">
        <v>130784884</v>
      </c>
      <c r="V343" s="7">
        <v>134552505</v>
      </c>
      <c r="W343" s="7">
        <v>0</v>
      </c>
      <c r="X343" s="7">
        <v>0</v>
      </c>
      <c r="Y343" s="7">
        <v>9026</v>
      </c>
      <c r="Z343" s="7">
        <v>8998</v>
      </c>
      <c r="AA343" s="8">
        <v>-0.31</v>
      </c>
      <c r="AB343" s="7">
        <v>21896650</v>
      </c>
      <c r="AC343" s="7">
        <v>22896650</v>
      </c>
      <c r="AD343" s="7">
        <v>5000000</v>
      </c>
      <c r="AE343" s="7">
        <v>6000000</v>
      </c>
      <c r="AF343" s="7">
        <v>9400000</v>
      </c>
      <c r="AG343" s="7">
        <v>9712000</v>
      </c>
      <c r="AH343" s="8">
        <v>4</v>
      </c>
      <c r="AI343" s="8">
        <v>4</v>
      </c>
    </row>
    <row r="344" spans="1:35" x14ac:dyDescent="0.25">
      <c r="A344" s="6" t="str">
        <f>"230901"</f>
        <v>230901</v>
      </c>
      <c r="B344" s="6" t="s">
        <v>379</v>
      </c>
      <c r="C344" s="7">
        <v>26139210</v>
      </c>
      <c r="D344" s="7">
        <v>27154444</v>
      </c>
      <c r="E344" s="8">
        <v>3.88</v>
      </c>
      <c r="F344" s="7">
        <v>3940071</v>
      </c>
      <c r="G344" s="7">
        <v>3940071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3940071</v>
      </c>
      <c r="O344" s="7">
        <v>3940071</v>
      </c>
      <c r="P344" s="8">
        <v>0</v>
      </c>
      <c r="Q344" s="7">
        <v>160965</v>
      </c>
      <c r="R344" s="7">
        <v>70871</v>
      </c>
      <c r="S344" s="7">
        <v>3909823</v>
      </c>
      <c r="T344" s="7">
        <v>3895877</v>
      </c>
      <c r="U344" s="7">
        <v>3779106</v>
      </c>
      <c r="V344" s="7">
        <v>3869200</v>
      </c>
      <c r="W344" s="7">
        <v>130717</v>
      </c>
      <c r="X344" s="7">
        <v>26677</v>
      </c>
      <c r="Y344" s="7">
        <v>1401</v>
      </c>
      <c r="Z344" s="7">
        <v>1357</v>
      </c>
      <c r="AA344" s="8">
        <v>-3.14</v>
      </c>
      <c r="AB344" s="7">
        <v>2945622</v>
      </c>
      <c r="AC344" s="7">
        <v>12451583</v>
      </c>
      <c r="AD344" s="7">
        <v>1500000</v>
      </c>
      <c r="AE344" s="7">
        <v>1200000</v>
      </c>
      <c r="AF344" s="7">
        <v>10358798</v>
      </c>
      <c r="AG344" s="7">
        <v>1086685</v>
      </c>
      <c r="AH344" s="8">
        <v>39.630000000000003</v>
      </c>
      <c r="AI344" s="8">
        <v>4</v>
      </c>
    </row>
    <row r="345" spans="1:35" x14ac:dyDescent="0.25">
      <c r="A345" s="6" t="str">
        <f>"221301"</f>
        <v>221301</v>
      </c>
      <c r="B345" s="6" t="s">
        <v>380</v>
      </c>
      <c r="C345" s="7">
        <v>7885389</v>
      </c>
      <c r="D345" s="7">
        <v>7743867</v>
      </c>
      <c r="E345" s="8">
        <v>-1.79</v>
      </c>
      <c r="F345" s="7">
        <v>3941974</v>
      </c>
      <c r="G345" s="7">
        <v>3975000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3941974</v>
      </c>
      <c r="O345" s="7">
        <v>3975000</v>
      </c>
      <c r="P345" s="8">
        <v>0.84</v>
      </c>
      <c r="Q345" s="7">
        <v>166499</v>
      </c>
      <c r="R345" s="7">
        <v>224408</v>
      </c>
      <c r="S345" s="7">
        <v>3775475</v>
      </c>
      <c r="T345" s="7">
        <v>3750592</v>
      </c>
      <c r="U345" s="7">
        <v>3775475</v>
      </c>
      <c r="V345" s="7">
        <v>3750592</v>
      </c>
      <c r="W345" s="7">
        <v>0</v>
      </c>
      <c r="X345" s="7">
        <v>0</v>
      </c>
      <c r="Y345" s="7">
        <v>340</v>
      </c>
      <c r="Z345" s="7">
        <v>340</v>
      </c>
      <c r="AA345" s="8">
        <v>0</v>
      </c>
      <c r="AB345" s="7">
        <v>715000</v>
      </c>
      <c r="AC345" s="7">
        <v>1500000</v>
      </c>
      <c r="AD345" s="7">
        <v>298902</v>
      </c>
      <c r="AE345" s="7">
        <v>275000</v>
      </c>
      <c r="AF345" s="7">
        <v>1294140</v>
      </c>
      <c r="AG345" s="7">
        <v>620000</v>
      </c>
      <c r="AH345" s="8">
        <v>16.41</v>
      </c>
      <c r="AI345" s="8">
        <v>8.01</v>
      </c>
    </row>
    <row r="346" spans="1:35" x14ac:dyDescent="0.25">
      <c r="A346" s="6" t="str">
        <f>"280220"</f>
        <v>280220</v>
      </c>
      <c r="B346" s="6" t="s">
        <v>381</v>
      </c>
      <c r="C346" s="7">
        <v>80867382</v>
      </c>
      <c r="D346" s="7">
        <v>82486886</v>
      </c>
      <c r="E346" s="8">
        <v>2</v>
      </c>
      <c r="F346" s="7">
        <v>64750162</v>
      </c>
      <c r="G346" s="7">
        <v>65737442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64750162</v>
      </c>
      <c r="O346" s="7">
        <v>65737442</v>
      </c>
      <c r="P346" s="8">
        <v>1.52</v>
      </c>
      <c r="Q346" s="7">
        <v>0</v>
      </c>
      <c r="R346" s="7">
        <v>0</v>
      </c>
      <c r="S346" s="7">
        <v>64750162</v>
      </c>
      <c r="T346" s="7">
        <v>65737442</v>
      </c>
      <c r="U346" s="7">
        <v>64750162</v>
      </c>
      <c r="V346" s="7">
        <v>65737442</v>
      </c>
      <c r="W346" s="7">
        <v>0</v>
      </c>
      <c r="X346" s="7">
        <v>0</v>
      </c>
      <c r="Y346" s="7">
        <v>2771</v>
      </c>
      <c r="Z346" s="7">
        <v>2797</v>
      </c>
      <c r="AA346" s="8">
        <v>0.94</v>
      </c>
      <c r="AB346" s="7">
        <v>20505397</v>
      </c>
      <c r="AC346" s="7">
        <v>20670396</v>
      </c>
      <c r="AD346" s="7">
        <v>1500000</v>
      </c>
      <c r="AE346" s="7">
        <v>1500000</v>
      </c>
      <c r="AF346" s="7">
        <v>3234694</v>
      </c>
      <c r="AG346" s="7">
        <v>3299475</v>
      </c>
      <c r="AH346" s="8">
        <v>4</v>
      </c>
      <c r="AI346" s="8">
        <v>4</v>
      </c>
    </row>
    <row r="347" spans="1:35" x14ac:dyDescent="0.25">
      <c r="A347" s="6" t="str">
        <f>"421504"</f>
        <v>421504</v>
      </c>
      <c r="B347" s="6" t="s">
        <v>382</v>
      </c>
      <c r="C347" s="7">
        <v>10139000</v>
      </c>
      <c r="D347" s="7">
        <v>10304000</v>
      </c>
      <c r="E347" s="8">
        <v>1.63</v>
      </c>
      <c r="F347" s="7">
        <v>5419027</v>
      </c>
      <c r="G347" s="7">
        <v>5445872</v>
      </c>
      <c r="H347" s="7">
        <v>0</v>
      </c>
      <c r="I347" s="7">
        <v>0</v>
      </c>
      <c r="J347" s="7">
        <v>0</v>
      </c>
      <c r="K347" s="7">
        <v>0</v>
      </c>
      <c r="L347" s="7">
        <v>1186</v>
      </c>
      <c r="M347" s="7">
        <v>0</v>
      </c>
      <c r="N347" s="7">
        <v>5417841</v>
      </c>
      <c r="O347" s="7">
        <v>5445872</v>
      </c>
      <c r="P347" s="8">
        <v>0.52</v>
      </c>
      <c r="Q347" s="7">
        <v>27075</v>
      </c>
      <c r="R347" s="7">
        <v>31348</v>
      </c>
      <c r="S347" s="7">
        <v>5391952</v>
      </c>
      <c r="T347" s="7">
        <v>5414524</v>
      </c>
      <c r="U347" s="7">
        <v>5391952</v>
      </c>
      <c r="V347" s="7">
        <v>5414524</v>
      </c>
      <c r="W347" s="7">
        <v>0</v>
      </c>
      <c r="X347" s="7">
        <v>0</v>
      </c>
      <c r="Y347" s="7">
        <v>518</v>
      </c>
      <c r="Z347" s="7">
        <v>530</v>
      </c>
      <c r="AA347" s="8">
        <v>2.3199999999999998</v>
      </c>
      <c r="AB347" s="7">
        <v>1850833</v>
      </c>
      <c r="AC347" s="7">
        <v>1968228</v>
      </c>
      <c r="AD347" s="7">
        <v>500000</v>
      </c>
      <c r="AE347" s="7">
        <v>570000</v>
      </c>
      <c r="AF347" s="7">
        <v>1438357</v>
      </c>
      <c r="AG347" s="7">
        <v>1138357</v>
      </c>
      <c r="AH347" s="8">
        <v>14.19</v>
      </c>
      <c r="AI347" s="8">
        <v>11.05</v>
      </c>
    </row>
    <row r="348" spans="1:35" x14ac:dyDescent="0.25">
      <c r="A348" s="6" t="str">
        <f>"451001"</f>
        <v>451001</v>
      </c>
      <c r="B348" s="6" t="s">
        <v>383</v>
      </c>
      <c r="C348" s="7">
        <v>13254000</v>
      </c>
      <c r="D348" s="7">
        <v>13532000</v>
      </c>
      <c r="E348" s="8">
        <v>2.1</v>
      </c>
      <c r="F348" s="7">
        <v>4266578</v>
      </c>
      <c r="G348" s="7">
        <v>4266578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4266578</v>
      </c>
      <c r="O348" s="7">
        <v>4266578</v>
      </c>
      <c r="P348" s="8">
        <v>0</v>
      </c>
      <c r="Q348" s="7">
        <v>0</v>
      </c>
      <c r="R348" s="7">
        <v>0</v>
      </c>
      <c r="S348" s="7">
        <v>4532416</v>
      </c>
      <c r="T348" s="7">
        <v>4393778</v>
      </c>
      <c r="U348" s="7">
        <v>4266578</v>
      </c>
      <c r="V348" s="7">
        <v>4266578</v>
      </c>
      <c r="W348" s="7">
        <v>265838</v>
      </c>
      <c r="X348" s="7">
        <v>127200</v>
      </c>
      <c r="Y348" s="7">
        <v>635</v>
      </c>
      <c r="Z348" s="7">
        <v>628</v>
      </c>
      <c r="AA348" s="8">
        <v>-1.1000000000000001</v>
      </c>
      <c r="AB348" s="7">
        <v>10200394</v>
      </c>
      <c r="AC348" s="7">
        <v>6320453</v>
      </c>
      <c r="AD348" s="7">
        <v>250000</v>
      </c>
      <c r="AE348" s="7">
        <v>250000</v>
      </c>
      <c r="AF348" s="7">
        <v>530160</v>
      </c>
      <c r="AG348" s="7">
        <v>539000</v>
      </c>
      <c r="AH348" s="8">
        <v>4</v>
      </c>
      <c r="AI348" s="8">
        <v>3.99</v>
      </c>
    </row>
    <row r="349" spans="1:35" x14ac:dyDescent="0.25">
      <c r="A349" s="6" t="str">
        <f>"650501"</f>
        <v>650501</v>
      </c>
      <c r="B349" s="6" t="s">
        <v>384</v>
      </c>
      <c r="C349" s="7">
        <v>20568830</v>
      </c>
      <c r="D349" s="7">
        <v>22057304</v>
      </c>
      <c r="E349" s="8">
        <v>7.24</v>
      </c>
      <c r="F349" s="7">
        <v>4726867</v>
      </c>
      <c r="G349" s="7">
        <v>4807729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4726867</v>
      </c>
      <c r="O349" s="7">
        <v>4807729</v>
      </c>
      <c r="P349" s="8">
        <v>1.71</v>
      </c>
      <c r="Q349" s="7">
        <v>0</v>
      </c>
      <c r="R349" s="7">
        <v>0</v>
      </c>
      <c r="S349" s="7">
        <v>4726867</v>
      </c>
      <c r="T349" s="7">
        <v>4807729</v>
      </c>
      <c r="U349" s="7">
        <v>4726867</v>
      </c>
      <c r="V349" s="7">
        <v>4807729</v>
      </c>
      <c r="W349" s="7">
        <v>0</v>
      </c>
      <c r="X349" s="7">
        <v>0</v>
      </c>
      <c r="Y349" s="7">
        <v>933</v>
      </c>
      <c r="Z349" s="7">
        <v>933</v>
      </c>
      <c r="AA349" s="8">
        <v>0</v>
      </c>
      <c r="AB349" s="7">
        <v>2176669</v>
      </c>
      <c r="AC349" s="7">
        <v>2276669</v>
      </c>
      <c r="AD349" s="7">
        <v>400000</v>
      </c>
      <c r="AE349" s="7">
        <v>400000</v>
      </c>
      <c r="AF349" s="7">
        <v>812376</v>
      </c>
      <c r="AG349" s="7">
        <v>812376</v>
      </c>
      <c r="AH349" s="8">
        <v>3.95</v>
      </c>
      <c r="AI349" s="8">
        <v>3.68</v>
      </c>
    </row>
    <row r="350" spans="1:35" x14ac:dyDescent="0.25">
      <c r="A350" s="6" t="str">
        <f>"251101"</f>
        <v>251101</v>
      </c>
      <c r="B350" s="6" t="s">
        <v>385</v>
      </c>
      <c r="C350" s="7">
        <v>9922653</v>
      </c>
      <c r="D350" s="7">
        <v>10083581</v>
      </c>
      <c r="E350" s="8">
        <v>1.62</v>
      </c>
      <c r="F350" s="7">
        <v>3132097</v>
      </c>
      <c r="G350" s="7">
        <v>3220000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3132097</v>
      </c>
      <c r="O350" s="7">
        <v>3220000</v>
      </c>
      <c r="P350" s="8">
        <v>2.81</v>
      </c>
      <c r="Q350" s="7">
        <v>0</v>
      </c>
      <c r="R350" s="7">
        <v>0</v>
      </c>
      <c r="S350" s="7">
        <v>3173000</v>
      </c>
      <c r="T350" s="7">
        <v>3301717</v>
      </c>
      <c r="U350" s="7">
        <v>3132097</v>
      </c>
      <c r="V350" s="7">
        <v>3220000</v>
      </c>
      <c r="W350" s="7">
        <v>40903</v>
      </c>
      <c r="X350" s="7">
        <v>81717</v>
      </c>
      <c r="Y350" s="7">
        <v>484</v>
      </c>
      <c r="Z350" s="7">
        <v>476</v>
      </c>
      <c r="AA350" s="8">
        <v>-1.65</v>
      </c>
      <c r="AB350" s="7">
        <v>1764266</v>
      </c>
      <c r="AC350" s="7">
        <v>1589287</v>
      </c>
      <c r="AD350" s="7">
        <v>290012</v>
      </c>
      <c r="AE350" s="7">
        <v>323859</v>
      </c>
      <c r="AF350" s="7">
        <v>390216</v>
      </c>
      <c r="AG350" s="7">
        <v>404267</v>
      </c>
      <c r="AH350" s="8">
        <v>3.93</v>
      </c>
      <c r="AI350" s="8">
        <v>4.01</v>
      </c>
    </row>
    <row r="351" spans="1:35" x14ac:dyDescent="0.25">
      <c r="A351" s="6" t="str">
        <f>"511901"</f>
        <v>511901</v>
      </c>
      <c r="B351" s="6" t="s">
        <v>386</v>
      </c>
      <c r="C351" s="7">
        <v>15340465</v>
      </c>
      <c r="D351" s="7">
        <v>16247213</v>
      </c>
      <c r="E351" s="8">
        <v>5.91</v>
      </c>
      <c r="F351" s="7">
        <v>4077712</v>
      </c>
      <c r="G351" s="7">
        <v>4189972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4077712</v>
      </c>
      <c r="O351" s="7">
        <v>4189972</v>
      </c>
      <c r="P351" s="8">
        <v>2.75</v>
      </c>
      <c r="Q351" s="7">
        <v>0</v>
      </c>
      <c r="R351" s="7">
        <v>0</v>
      </c>
      <c r="S351" s="7">
        <v>4081869</v>
      </c>
      <c r="T351" s="7">
        <v>4191468</v>
      </c>
      <c r="U351" s="7">
        <v>4077712</v>
      </c>
      <c r="V351" s="7">
        <v>4189972</v>
      </c>
      <c r="W351" s="7">
        <v>4157</v>
      </c>
      <c r="X351" s="7">
        <v>1496</v>
      </c>
      <c r="Y351" s="7">
        <v>700</v>
      </c>
      <c r="Z351" s="7">
        <v>705</v>
      </c>
      <c r="AA351" s="8">
        <v>0.71</v>
      </c>
      <c r="AB351" s="7">
        <v>2150555</v>
      </c>
      <c r="AC351" s="7">
        <v>1943812</v>
      </c>
      <c r="AD351" s="7">
        <v>769122</v>
      </c>
      <c r="AE351" s="7">
        <v>710000</v>
      </c>
      <c r="AF351" s="7">
        <v>442381</v>
      </c>
      <c r="AG351" s="7">
        <v>450000</v>
      </c>
      <c r="AH351" s="8">
        <v>2.88</v>
      </c>
      <c r="AI351" s="8">
        <v>2.77</v>
      </c>
    </row>
    <row r="352" spans="1:35" x14ac:dyDescent="0.25">
      <c r="A352" s="6" t="str">
        <f>"480101"</f>
        <v>480101</v>
      </c>
      <c r="B352" s="6" t="s">
        <v>387</v>
      </c>
      <c r="C352" s="7">
        <v>120119052</v>
      </c>
      <c r="D352" s="7">
        <v>120748784</v>
      </c>
      <c r="E352" s="8">
        <v>0.52</v>
      </c>
      <c r="F352" s="7">
        <v>84000268</v>
      </c>
      <c r="G352" s="7">
        <v>84000268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84000268</v>
      </c>
      <c r="O352" s="7">
        <v>84000268</v>
      </c>
      <c r="P352" s="8">
        <v>0</v>
      </c>
      <c r="Q352" s="7">
        <v>2587378</v>
      </c>
      <c r="R352" s="7">
        <v>2450005</v>
      </c>
      <c r="S352" s="7">
        <v>81516768</v>
      </c>
      <c r="T352" s="7">
        <v>82685363</v>
      </c>
      <c r="U352" s="7">
        <v>81412890</v>
      </c>
      <c r="V352" s="7">
        <v>81550263</v>
      </c>
      <c r="W352" s="7">
        <v>103878</v>
      </c>
      <c r="X352" s="7">
        <v>1135100</v>
      </c>
      <c r="Y352" s="7">
        <v>4375</v>
      </c>
      <c r="Z352" s="7">
        <v>4230</v>
      </c>
      <c r="AA352" s="8">
        <v>-3.31</v>
      </c>
      <c r="AB352" s="7">
        <v>7247473</v>
      </c>
      <c r="AC352" s="7">
        <v>7247473</v>
      </c>
      <c r="AD352" s="7">
        <v>2000000</v>
      </c>
      <c r="AE352" s="7">
        <v>1471203</v>
      </c>
      <c r="AF352" s="7">
        <v>3501542</v>
      </c>
      <c r="AG352" s="7">
        <v>2030339</v>
      </c>
      <c r="AH352" s="8">
        <v>2.92</v>
      </c>
      <c r="AI352" s="8">
        <v>1.68</v>
      </c>
    </row>
    <row r="353" spans="1:35" x14ac:dyDescent="0.25">
      <c r="A353" s="6" t="str">
        <f>"031101"</f>
        <v>031101</v>
      </c>
      <c r="B353" s="6" t="s">
        <v>388</v>
      </c>
      <c r="C353" s="7">
        <v>49727838</v>
      </c>
      <c r="D353" s="7">
        <v>51290970</v>
      </c>
      <c r="E353" s="8">
        <v>3.14</v>
      </c>
      <c r="F353" s="7">
        <v>23237142</v>
      </c>
      <c r="G353" s="7">
        <v>23443312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23237142</v>
      </c>
      <c r="O353" s="7">
        <v>23443312</v>
      </c>
      <c r="P353" s="8">
        <v>0.89</v>
      </c>
      <c r="Q353" s="7">
        <v>1255002</v>
      </c>
      <c r="R353" s="7">
        <v>1173127</v>
      </c>
      <c r="S353" s="7">
        <v>21982140</v>
      </c>
      <c r="T353" s="7">
        <v>22270185</v>
      </c>
      <c r="U353" s="7">
        <v>21982140</v>
      </c>
      <c r="V353" s="7">
        <v>22270185</v>
      </c>
      <c r="W353" s="7">
        <v>0</v>
      </c>
      <c r="X353" s="7">
        <v>0</v>
      </c>
      <c r="Y353" s="7">
        <v>2439</v>
      </c>
      <c r="Z353" s="7">
        <v>2439</v>
      </c>
      <c r="AA353" s="8">
        <v>0</v>
      </c>
      <c r="AB353" s="7">
        <v>6780193</v>
      </c>
      <c r="AC353" s="7">
        <v>6943823</v>
      </c>
      <c r="AD353" s="7">
        <v>250000</v>
      </c>
      <c r="AE353" s="7">
        <v>470000</v>
      </c>
      <c r="AF353" s="7">
        <v>1926517</v>
      </c>
      <c r="AG353" s="7">
        <v>1890397</v>
      </c>
      <c r="AH353" s="8">
        <v>3.87</v>
      </c>
      <c r="AI353" s="8">
        <v>3.69</v>
      </c>
    </row>
    <row r="354" spans="1:35" x14ac:dyDescent="0.25">
      <c r="A354" s="6" t="str">
        <f>"161501"</f>
        <v>161501</v>
      </c>
      <c r="B354" s="6" t="s">
        <v>389</v>
      </c>
      <c r="C354" s="7">
        <v>50707350</v>
      </c>
      <c r="D354" s="7">
        <v>51849855</v>
      </c>
      <c r="E354" s="8">
        <v>2.25</v>
      </c>
      <c r="F354" s="7">
        <v>13220892</v>
      </c>
      <c r="G354" s="7">
        <v>13472092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13220892</v>
      </c>
      <c r="O354" s="7">
        <v>13472092</v>
      </c>
      <c r="P354" s="8">
        <v>1.9</v>
      </c>
      <c r="Q354" s="7">
        <v>0</v>
      </c>
      <c r="R354" s="7">
        <v>0</v>
      </c>
      <c r="S354" s="7">
        <v>13339250</v>
      </c>
      <c r="T354" s="7">
        <v>13514242</v>
      </c>
      <c r="U354" s="7">
        <v>13220892</v>
      </c>
      <c r="V354" s="7">
        <v>13472092</v>
      </c>
      <c r="W354" s="7">
        <v>118358</v>
      </c>
      <c r="X354" s="7">
        <v>42150</v>
      </c>
      <c r="Y354" s="7">
        <v>2300</v>
      </c>
      <c r="Z354" s="7">
        <v>2330</v>
      </c>
      <c r="AA354" s="8">
        <v>1.3</v>
      </c>
      <c r="AB354" s="7">
        <v>3827974</v>
      </c>
      <c r="AC354" s="7">
        <v>3787974</v>
      </c>
      <c r="AD354" s="7">
        <v>1615132</v>
      </c>
      <c r="AE354" s="7">
        <v>1350000</v>
      </c>
      <c r="AF354" s="7">
        <v>3751199</v>
      </c>
      <c r="AG354" s="7">
        <v>3566331</v>
      </c>
      <c r="AH354" s="8">
        <v>7.4</v>
      </c>
      <c r="AI354" s="8">
        <v>6.88</v>
      </c>
    </row>
    <row r="355" spans="1:35" x14ac:dyDescent="0.25">
      <c r="A355" s="6" t="str">
        <f>"280212"</f>
        <v>280212</v>
      </c>
      <c r="B355" s="6" t="s">
        <v>390</v>
      </c>
      <c r="C355" s="7">
        <v>54527002</v>
      </c>
      <c r="D355" s="7">
        <v>55503162</v>
      </c>
      <c r="E355" s="8">
        <v>1.79</v>
      </c>
      <c r="F355" s="7">
        <v>41369468</v>
      </c>
      <c r="G355" s="7">
        <v>41913176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41369468</v>
      </c>
      <c r="O355" s="7">
        <v>41913176</v>
      </c>
      <c r="P355" s="8">
        <v>1.31</v>
      </c>
      <c r="Q355" s="7">
        <v>604318</v>
      </c>
      <c r="R355" s="7">
        <v>571875</v>
      </c>
      <c r="S355" s="7">
        <v>40765150</v>
      </c>
      <c r="T355" s="7">
        <v>41353306</v>
      </c>
      <c r="U355" s="7">
        <v>40765150</v>
      </c>
      <c r="V355" s="7">
        <v>41341301</v>
      </c>
      <c r="W355" s="7">
        <v>0</v>
      </c>
      <c r="X355" s="7">
        <v>12005</v>
      </c>
      <c r="Y355" s="7">
        <v>1720</v>
      </c>
      <c r="Z355" s="7">
        <v>1698</v>
      </c>
      <c r="AA355" s="8">
        <v>-1.28</v>
      </c>
      <c r="AB355" s="7">
        <v>9103520</v>
      </c>
      <c r="AC355" s="7">
        <v>6863070</v>
      </c>
      <c r="AD355" s="7">
        <v>1148205</v>
      </c>
      <c r="AE355" s="7">
        <v>435000</v>
      </c>
      <c r="AF355" s="7">
        <v>2181080</v>
      </c>
      <c r="AG355" s="7">
        <v>2220126</v>
      </c>
      <c r="AH355" s="8">
        <v>4</v>
      </c>
      <c r="AI355" s="8">
        <v>4</v>
      </c>
    </row>
    <row r="356" spans="1:35" x14ac:dyDescent="0.25">
      <c r="A356" s="6" t="str">
        <f>"660701"</f>
        <v>660701</v>
      </c>
      <c r="B356" s="6" t="s">
        <v>391</v>
      </c>
      <c r="C356" s="7">
        <v>133159163</v>
      </c>
      <c r="D356" s="7">
        <v>135103791</v>
      </c>
      <c r="E356" s="8">
        <v>1.46</v>
      </c>
      <c r="F356" s="7">
        <v>117913364</v>
      </c>
      <c r="G356" s="7">
        <v>120566415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117913364</v>
      </c>
      <c r="O356" s="7">
        <v>120566415</v>
      </c>
      <c r="P356" s="8">
        <v>2.25</v>
      </c>
      <c r="Q356" s="7">
        <v>6939751</v>
      </c>
      <c r="R356" s="7">
        <v>6081796</v>
      </c>
      <c r="S356" s="7">
        <v>110976631</v>
      </c>
      <c r="T356" s="7">
        <v>113063693</v>
      </c>
      <c r="U356" s="7">
        <v>110973613</v>
      </c>
      <c r="V356" s="7">
        <v>114484619</v>
      </c>
      <c r="W356" s="7">
        <v>3018</v>
      </c>
      <c r="X356" s="7">
        <v>-1420926</v>
      </c>
      <c r="Y356" s="7">
        <v>5446</v>
      </c>
      <c r="Z356" s="7">
        <v>5537</v>
      </c>
      <c r="AA356" s="8">
        <v>1.67</v>
      </c>
      <c r="AB356" s="7">
        <v>6855544</v>
      </c>
      <c r="AC356" s="7">
        <v>5355544</v>
      </c>
      <c r="AD356" s="7">
        <v>3884864</v>
      </c>
      <c r="AE356" s="7">
        <v>3042411</v>
      </c>
      <c r="AF356" s="7">
        <v>4834928</v>
      </c>
      <c r="AG356" s="7">
        <v>3035717</v>
      </c>
      <c r="AH356" s="8">
        <v>3.63</v>
      </c>
      <c r="AI356" s="8">
        <v>2.25</v>
      </c>
    </row>
    <row r="357" spans="1:35" x14ac:dyDescent="0.25">
      <c r="A357" s="6" t="str">
        <f>"431101"</f>
        <v>431101</v>
      </c>
      <c r="B357" s="6" t="s">
        <v>392</v>
      </c>
      <c r="C357" s="7">
        <v>17114000</v>
      </c>
      <c r="D357" s="7">
        <v>17114000</v>
      </c>
      <c r="E357" s="8">
        <v>0</v>
      </c>
      <c r="F357" s="7">
        <v>7319605</v>
      </c>
      <c r="G357" s="7">
        <v>7319605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7319605</v>
      </c>
      <c r="O357" s="7">
        <v>7319605</v>
      </c>
      <c r="P357" s="8">
        <v>0</v>
      </c>
      <c r="Q357" s="7">
        <v>0</v>
      </c>
      <c r="R357" s="7">
        <v>1399</v>
      </c>
      <c r="S357" s="7">
        <v>7372231</v>
      </c>
      <c r="T357" s="7">
        <v>7518954</v>
      </c>
      <c r="U357" s="7">
        <v>7319605</v>
      </c>
      <c r="V357" s="7">
        <v>7318206</v>
      </c>
      <c r="W357" s="7">
        <v>52626</v>
      </c>
      <c r="X357" s="7">
        <v>200748</v>
      </c>
      <c r="Y357" s="7">
        <v>813</v>
      </c>
      <c r="Z357" s="7">
        <v>776</v>
      </c>
      <c r="AA357" s="8">
        <v>-4.55</v>
      </c>
      <c r="AB357" s="7">
        <v>6225580</v>
      </c>
      <c r="AC357" s="7">
        <v>6525640</v>
      </c>
      <c r="AD357" s="7">
        <v>203313</v>
      </c>
      <c r="AE357" s="7">
        <v>740000</v>
      </c>
      <c r="AF357" s="7">
        <v>684563</v>
      </c>
      <c r="AG357" s="7">
        <v>684560</v>
      </c>
      <c r="AH357" s="8">
        <v>4</v>
      </c>
      <c r="AI357" s="8">
        <v>4</v>
      </c>
    </row>
    <row r="358" spans="1:35" x14ac:dyDescent="0.25">
      <c r="A358" s="6" t="str">
        <f>"280406"</f>
        <v>280406</v>
      </c>
      <c r="B358" s="6" t="s">
        <v>393</v>
      </c>
      <c r="C358" s="7">
        <v>92008827</v>
      </c>
      <c r="D358" s="7">
        <v>93890748</v>
      </c>
      <c r="E358" s="8">
        <v>2.0499999999999998</v>
      </c>
      <c r="F358" s="7">
        <v>82248488</v>
      </c>
      <c r="G358" s="7">
        <v>83908381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82248488</v>
      </c>
      <c r="O358" s="7">
        <v>83908381</v>
      </c>
      <c r="P358" s="8">
        <v>2.02</v>
      </c>
      <c r="Q358" s="7">
        <v>1734358</v>
      </c>
      <c r="R358" s="7">
        <v>2449572</v>
      </c>
      <c r="S358" s="7">
        <v>80514130</v>
      </c>
      <c r="T358" s="7">
        <v>81458809</v>
      </c>
      <c r="U358" s="7">
        <v>80514130</v>
      </c>
      <c r="V358" s="7">
        <v>81458809</v>
      </c>
      <c r="W358" s="7">
        <v>0</v>
      </c>
      <c r="X358" s="7">
        <v>0</v>
      </c>
      <c r="Y358" s="7">
        <v>3335</v>
      </c>
      <c r="Z358" s="7">
        <v>3289</v>
      </c>
      <c r="AA358" s="8">
        <v>-1.38</v>
      </c>
      <c r="AB358" s="7">
        <v>3005900</v>
      </c>
      <c r="AC358" s="7">
        <v>2706053</v>
      </c>
      <c r="AD358" s="7">
        <v>595120</v>
      </c>
      <c r="AE358" s="7">
        <v>595120</v>
      </c>
      <c r="AF358" s="7">
        <v>3680353</v>
      </c>
      <c r="AG358" s="7">
        <v>3755630</v>
      </c>
      <c r="AH358" s="8">
        <v>4</v>
      </c>
      <c r="AI358" s="8">
        <v>4</v>
      </c>
    </row>
    <row r="359" spans="1:35" x14ac:dyDescent="0.25">
      <c r="A359" s="6" t="str">
        <f>"110901"</f>
        <v>110901</v>
      </c>
      <c r="B359" s="6" t="s">
        <v>394</v>
      </c>
      <c r="C359" s="7">
        <v>17418298</v>
      </c>
      <c r="D359" s="7">
        <v>17844596</v>
      </c>
      <c r="E359" s="8">
        <v>2.4500000000000002</v>
      </c>
      <c r="F359" s="7">
        <v>3888400</v>
      </c>
      <c r="G359" s="7">
        <v>3888400</v>
      </c>
      <c r="H359" s="7">
        <v>52000</v>
      </c>
      <c r="I359" s="7">
        <v>52000</v>
      </c>
      <c r="J359" s="7">
        <v>0</v>
      </c>
      <c r="K359" s="7">
        <v>0</v>
      </c>
      <c r="L359" s="7">
        <v>0</v>
      </c>
      <c r="M359" s="7">
        <v>0</v>
      </c>
      <c r="N359" s="7">
        <v>3940400</v>
      </c>
      <c r="O359" s="7">
        <v>3940400</v>
      </c>
      <c r="P359" s="8">
        <v>0</v>
      </c>
      <c r="Q359" s="7">
        <v>169993</v>
      </c>
      <c r="R359" s="7">
        <v>159033</v>
      </c>
      <c r="S359" s="7">
        <v>4110393</v>
      </c>
      <c r="T359" s="7">
        <v>4099433</v>
      </c>
      <c r="U359" s="7">
        <v>3718407</v>
      </c>
      <c r="V359" s="7">
        <v>3729367</v>
      </c>
      <c r="W359" s="7">
        <v>391986</v>
      </c>
      <c r="X359" s="7">
        <v>370066</v>
      </c>
      <c r="Y359" s="7">
        <v>729</v>
      </c>
      <c r="Z359" s="7">
        <v>737</v>
      </c>
      <c r="AA359" s="8">
        <v>1.1000000000000001</v>
      </c>
      <c r="AB359" s="7">
        <v>6015964</v>
      </c>
      <c r="AC359" s="7">
        <v>6165964</v>
      </c>
      <c r="AD359" s="7">
        <v>1091975</v>
      </c>
      <c r="AE359" s="7">
        <v>1091975</v>
      </c>
      <c r="AF359" s="7">
        <v>1166911</v>
      </c>
      <c r="AG359" s="7">
        <v>820963</v>
      </c>
      <c r="AH359" s="8">
        <v>6.7</v>
      </c>
      <c r="AI359" s="8">
        <v>4.5999999999999996</v>
      </c>
    </row>
    <row r="360" spans="1:35" x14ac:dyDescent="0.25">
      <c r="A360" s="6" t="str">
        <f>"421101"</f>
        <v>421101</v>
      </c>
      <c r="B360" s="6" t="s">
        <v>395</v>
      </c>
      <c r="C360" s="7">
        <v>33401273</v>
      </c>
      <c r="D360" s="7">
        <v>34392500</v>
      </c>
      <c r="E360" s="8">
        <v>2.97</v>
      </c>
      <c r="F360" s="7">
        <v>18264671</v>
      </c>
      <c r="G360" s="7">
        <v>18567530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18264671</v>
      </c>
      <c r="O360" s="7">
        <v>18567530</v>
      </c>
      <c r="P360" s="8">
        <v>1.66</v>
      </c>
      <c r="Q360" s="7">
        <v>712550</v>
      </c>
      <c r="R360" s="7">
        <v>804881</v>
      </c>
      <c r="S360" s="7">
        <v>17552121</v>
      </c>
      <c r="T360" s="7">
        <v>17762649</v>
      </c>
      <c r="U360" s="7">
        <v>17552121</v>
      </c>
      <c r="V360" s="7">
        <v>17762649</v>
      </c>
      <c r="W360" s="7">
        <v>0</v>
      </c>
      <c r="X360" s="7">
        <v>0</v>
      </c>
      <c r="Y360" s="7">
        <v>1609</v>
      </c>
      <c r="Z360" s="7">
        <v>1580</v>
      </c>
      <c r="AA360" s="8">
        <v>-1.8</v>
      </c>
      <c r="AB360" s="7">
        <v>2991160</v>
      </c>
      <c r="AC360" s="7">
        <v>2991160</v>
      </c>
      <c r="AD360" s="7">
        <v>930222</v>
      </c>
      <c r="AE360" s="7">
        <v>1349439</v>
      </c>
      <c r="AF360" s="7">
        <v>1651255</v>
      </c>
      <c r="AG360" s="7">
        <v>1130963</v>
      </c>
      <c r="AH360" s="8">
        <v>4.9400000000000004</v>
      </c>
      <c r="AI360" s="8">
        <v>3.29</v>
      </c>
    </row>
    <row r="361" spans="1:35" x14ac:dyDescent="0.25">
      <c r="A361" s="6" t="str">
        <f>"121401"</f>
        <v>121401</v>
      </c>
      <c r="B361" s="6" t="s">
        <v>396</v>
      </c>
      <c r="C361" s="7">
        <v>11438515</v>
      </c>
      <c r="D361" s="7">
        <v>11812547</v>
      </c>
      <c r="E361" s="8">
        <v>3.27</v>
      </c>
      <c r="F361" s="7">
        <v>7364950</v>
      </c>
      <c r="G361" s="7">
        <v>7512249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7364950</v>
      </c>
      <c r="O361" s="7">
        <v>7512249</v>
      </c>
      <c r="P361" s="8">
        <v>2</v>
      </c>
      <c r="Q361" s="7">
        <v>501816</v>
      </c>
      <c r="R361" s="7">
        <v>632925</v>
      </c>
      <c r="S361" s="7">
        <v>6863134</v>
      </c>
      <c r="T361" s="7">
        <v>6963159</v>
      </c>
      <c r="U361" s="7">
        <v>6863134</v>
      </c>
      <c r="V361" s="7">
        <v>6879324</v>
      </c>
      <c r="W361" s="7">
        <v>0</v>
      </c>
      <c r="X361" s="7">
        <v>83835</v>
      </c>
      <c r="Y361" s="7">
        <v>380</v>
      </c>
      <c r="Z361" s="7">
        <v>380</v>
      </c>
      <c r="AA361" s="8">
        <v>0</v>
      </c>
      <c r="AB361" s="7">
        <v>2705277</v>
      </c>
      <c r="AC361" s="7">
        <v>2482338</v>
      </c>
      <c r="AD361" s="7">
        <v>391582</v>
      </c>
      <c r="AE361" s="7">
        <v>220814</v>
      </c>
      <c r="AF361" s="7">
        <v>2015856</v>
      </c>
      <c r="AG361" s="7">
        <v>2102979</v>
      </c>
      <c r="AH361" s="8">
        <v>17.62</v>
      </c>
      <c r="AI361" s="8">
        <v>17.8</v>
      </c>
    </row>
    <row r="362" spans="1:35" x14ac:dyDescent="0.25">
      <c r="A362" s="6" t="str">
        <f>"650701"</f>
        <v>650701</v>
      </c>
      <c r="B362" s="6" t="s">
        <v>397</v>
      </c>
      <c r="C362" s="7">
        <v>18449770</v>
      </c>
      <c r="D362" s="7">
        <v>18924625</v>
      </c>
      <c r="E362" s="8">
        <v>2.57</v>
      </c>
      <c r="F362" s="7">
        <v>6274909</v>
      </c>
      <c r="G362" s="7">
        <v>6360169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6274909</v>
      </c>
      <c r="O362" s="7">
        <v>6360169</v>
      </c>
      <c r="P362" s="8">
        <v>1.36</v>
      </c>
      <c r="Q362" s="7">
        <v>0</v>
      </c>
      <c r="R362" s="7">
        <v>0</v>
      </c>
      <c r="S362" s="7">
        <v>6274909</v>
      </c>
      <c r="T362" s="7">
        <v>6360169</v>
      </c>
      <c r="U362" s="7">
        <v>6274909</v>
      </c>
      <c r="V362" s="7">
        <v>6360169</v>
      </c>
      <c r="W362" s="7">
        <v>0</v>
      </c>
      <c r="X362" s="7">
        <v>0</v>
      </c>
      <c r="Y362" s="7">
        <v>695</v>
      </c>
      <c r="Z362" s="7">
        <v>690</v>
      </c>
      <c r="AA362" s="8">
        <v>-0.72</v>
      </c>
      <c r="AB362" s="7">
        <v>3836499</v>
      </c>
      <c r="AC362" s="7">
        <v>4083380</v>
      </c>
      <c r="AD362" s="7">
        <v>13162</v>
      </c>
      <c r="AE362" s="7">
        <v>69325</v>
      </c>
      <c r="AF362" s="7">
        <v>737995</v>
      </c>
      <c r="AG362" s="7">
        <v>756985</v>
      </c>
      <c r="AH362" s="8">
        <v>4</v>
      </c>
      <c r="AI362" s="8">
        <v>4</v>
      </c>
    </row>
    <row r="363" spans="1:35" x14ac:dyDescent="0.25">
      <c r="A363" s="6" t="str">
        <f>"621001"</f>
        <v>621001</v>
      </c>
      <c r="B363" s="6" t="s">
        <v>398</v>
      </c>
      <c r="C363" s="7">
        <v>54445926</v>
      </c>
      <c r="D363" s="7">
        <v>56736857</v>
      </c>
      <c r="E363" s="8">
        <v>4.21</v>
      </c>
      <c r="F363" s="7">
        <v>34225463</v>
      </c>
      <c r="G363" s="7">
        <v>33948733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34225463</v>
      </c>
      <c r="O363" s="7">
        <v>33948733</v>
      </c>
      <c r="P363" s="8">
        <v>-0.81</v>
      </c>
      <c r="Q363" s="7">
        <v>2749205</v>
      </c>
      <c r="R363" s="7">
        <v>1312627</v>
      </c>
      <c r="S363" s="7">
        <v>31476258</v>
      </c>
      <c r="T363" s="7">
        <v>32636106</v>
      </c>
      <c r="U363" s="7">
        <v>31476258</v>
      </c>
      <c r="V363" s="7">
        <v>32636106</v>
      </c>
      <c r="W363" s="7">
        <v>0</v>
      </c>
      <c r="X363" s="7">
        <v>0</v>
      </c>
      <c r="Y363" s="7">
        <v>2005</v>
      </c>
      <c r="Z363" s="7">
        <v>2010</v>
      </c>
      <c r="AA363" s="8">
        <v>0.25</v>
      </c>
      <c r="AB363" s="7">
        <v>7532077</v>
      </c>
      <c r="AC363" s="7">
        <v>6917323</v>
      </c>
      <c r="AD363" s="7">
        <v>4373680</v>
      </c>
      <c r="AE363" s="7">
        <v>3758926</v>
      </c>
      <c r="AF363" s="7">
        <v>2818029</v>
      </c>
      <c r="AG363" s="7">
        <v>2269365</v>
      </c>
      <c r="AH363" s="8">
        <v>5.18</v>
      </c>
      <c r="AI363" s="8">
        <v>4</v>
      </c>
    </row>
    <row r="364" spans="1:35" x14ac:dyDescent="0.25">
      <c r="A364" s="6" t="str">
        <f>"280523"</f>
        <v>280523</v>
      </c>
      <c r="B364" s="6" t="s">
        <v>399</v>
      </c>
      <c r="C364" s="7">
        <v>189746159</v>
      </c>
      <c r="D364" s="7">
        <v>194619501</v>
      </c>
      <c r="E364" s="8">
        <v>2.57</v>
      </c>
      <c r="F364" s="7">
        <v>152455005</v>
      </c>
      <c r="G364" s="7">
        <v>156090323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152455005</v>
      </c>
      <c r="O364" s="7">
        <v>156090323</v>
      </c>
      <c r="P364" s="8">
        <v>2.38</v>
      </c>
      <c r="Q364" s="7">
        <v>3397702</v>
      </c>
      <c r="R364" s="7">
        <v>4165760</v>
      </c>
      <c r="S364" s="7">
        <v>151953159</v>
      </c>
      <c r="T364" s="7">
        <v>151970382</v>
      </c>
      <c r="U364" s="7">
        <v>149057303</v>
      </c>
      <c r="V364" s="7">
        <v>151924563</v>
      </c>
      <c r="W364" s="7">
        <v>2895856</v>
      </c>
      <c r="X364" s="7">
        <v>45819</v>
      </c>
      <c r="Y364" s="7">
        <v>7007</v>
      </c>
      <c r="Z364" s="7">
        <v>6862</v>
      </c>
      <c r="AA364" s="8">
        <v>-2.0699999999999998</v>
      </c>
      <c r="AB364" s="7">
        <v>38888195</v>
      </c>
      <c r="AC364" s="7">
        <v>39092195</v>
      </c>
      <c r="AD364" s="7">
        <v>427364</v>
      </c>
      <c r="AE364" s="7">
        <v>850000</v>
      </c>
      <c r="AF364" s="7">
        <v>7296486</v>
      </c>
      <c r="AG364" s="7">
        <v>6873860</v>
      </c>
      <c r="AH364" s="8">
        <v>3.85</v>
      </c>
      <c r="AI364" s="8">
        <v>3.53</v>
      </c>
    </row>
    <row r="365" spans="1:35" x14ac:dyDescent="0.25">
      <c r="A365" s="6" t="str">
        <f>"512001"</f>
        <v>512001</v>
      </c>
      <c r="B365" s="6" t="s">
        <v>400</v>
      </c>
      <c r="C365" s="7">
        <v>51244859</v>
      </c>
      <c r="D365" s="7">
        <v>52640975</v>
      </c>
      <c r="E365" s="8">
        <v>2.72</v>
      </c>
      <c r="F365" s="7">
        <v>14258588</v>
      </c>
      <c r="G365" s="7">
        <v>14399748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14258588</v>
      </c>
      <c r="O365" s="7">
        <v>14399748</v>
      </c>
      <c r="P365" s="8">
        <v>0.99</v>
      </c>
      <c r="Q365" s="7">
        <v>0</v>
      </c>
      <c r="R365" s="7">
        <v>0</v>
      </c>
      <c r="S365" s="7">
        <v>14314523</v>
      </c>
      <c r="T365" s="7">
        <v>14531036</v>
      </c>
      <c r="U365" s="7">
        <v>14258588</v>
      </c>
      <c r="V365" s="7">
        <v>14399748</v>
      </c>
      <c r="W365" s="7">
        <v>55935</v>
      </c>
      <c r="X365" s="7">
        <v>131288</v>
      </c>
      <c r="Y365" s="7">
        <v>2622</v>
      </c>
      <c r="Z365" s="7">
        <v>2615</v>
      </c>
      <c r="AA365" s="8">
        <v>-0.27</v>
      </c>
      <c r="AB365" s="7">
        <v>17500653</v>
      </c>
      <c r="AC365" s="7">
        <v>17500653</v>
      </c>
      <c r="AD365" s="7">
        <v>2500103</v>
      </c>
      <c r="AE365" s="7">
        <v>2383770</v>
      </c>
      <c r="AF365" s="7">
        <v>2049794</v>
      </c>
      <c r="AG365" s="7">
        <v>2104002</v>
      </c>
      <c r="AH365" s="8">
        <v>4</v>
      </c>
      <c r="AI365" s="8">
        <v>4</v>
      </c>
    </row>
    <row r="366" spans="1:35" x14ac:dyDescent="0.25">
      <c r="A366" s="6" t="str">
        <f>"581012"</f>
        <v>581012</v>
      </c>
      <c r="B366" s="6" t="s">
        <v>401</v>
      </c>
      <c r="C366" s="7">
        <v>40333921</v>
      </c>
      <c r="D366" s="7">
        <v>40765316</v>
      </c>
      <c r="E366" s="8">
        <v>1.07</v>
      </c>
      <c r="F366" s="7">
        <v>36103583</v>
      </c>
      <c r="G366" s="7">
        <v>36109638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36103583</v>
      </c>
      <c r="O366" s="7">
        <v>36109638</v>
      </c>
      <c r="P366" s="8">
        <v>0.02</v>
      </c>
      <c r="Q366" s="7">
        <v>2498013</v>
      </c>
      <c r="R366" s="7">
        <v>2358808</v>
      </c>
      <c r="S366" s="7">
        <v>33631355</v>
      </c>
      <c r="T366" s="7">
        <v>34222831</v>
      </c>
      <c r="U366" s="7">
        <v>33605570</v>
      </c>
      <c r="V366" s="7">
        <v>33750830</v>
      </c>
      <c r="W366" s="7">
        <v>25785</v>
      </c>
      <c r="X366" s="7">
        <v>472001</v>
      </c>
      <c r="Y366" s="7">
        <v>1173</v>
      </c>
      <c r="Z366" s="7">
        <v>1150</v>
      </c>
      <c r="AA366" s="8">
        <v>-1.96</v>
      </c>
      <c r="AB366" s="7">
        <v>5699100</v>
      </c>
      <c r="AC366" s="7">
        <v>7200000</v>
      </c>
      <c r="AD366" s="7">
        <v>1000000</v>
      </c>
      <c r="AE366" s="7">
        <v>1000000</v>
      </c>
      <c r="AF366" s="7">
        <v>1611000</v>
      </c>
      <c r="AG366" s="7">
        <v>1620000</v>
      </c>
      <c r="AH366" s="8">
        <v>3.99</v>
      </c>
      <c r="AI366" s="8">
        <v>3.97</v>
      </c>
    </row>
    <row r="367" spans="1:35" x14ac:dyDescent="0.25">
      <c r="A367" s="6" t="str">
        <f>"170801"</f>
        <v>170801</v>
      </c>
      <c r="B367" s="6" t="s">
        <v>402</v>
      </c>
      <c r="C367" s="7">
        <v>17504418</v>
      </c>
      <c r="D367" s="7">
        <v>18500012</v>
      </c>
      <c r="E367" s="8">
        <v>5.69</v>
      </c>
      <c r="F367" s="7">
        <v>7234380</v>
      </c>
      <c r="G367" s="7">
        <v>7523031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7234380</v>
      </c>
      <c r="O367" s="7">
        <v>7523031</v>
      </c>
      <c r="P367" s="8">
        <v>3.99</v>
      </c>
      <c r="Q367" s="7">
        <v>0</v>
      </c>
      <c r="R367" s="7">
        <v>190243</v>
      </c>
      <c r="S367" s="7">
        <v>7234380</v>
      </c>
      <c r="T367" s="7">
        <v>7363626</v>
      </c>
      <c r="U367" s="7">
        <v>7234380</v>
      </c>
      <c r="V367" s="7">
        <v>7332788</v>
      </c>
      <c r="W367" s="7">
        <v>0</v>
      </c>
      <c r="X367" s="7">
        <v>30838</v>
      </c>
      <c r="Y367" s="7">
        <v>867</v>
      </c>
      <c r="Z367" s="7">
        <v>952</v>
      </c>
      <c r="AA367" s="8">
        <v>9.8000000000000007</v>
      </c>
      <c r="AB367" s="7">
        <v>1222800</v>
      </c>
      <c r="AC367" s="7">
        <v>1599231</v>
      </c>
      <c r="AD367" s="7">
        <v>910000</v>
      </c>
      <c r="AE367" s="7">
        <v>874231</v>
      </c>
      <c r="AF367" s="7">
        <v>650000</v>
      </c>
      <c r="AG367" s="7">
        <v>725000</v>
      </c>
      <c r="AH367" s="8">
        <v>3.71</v>
      </c>
      <c r="AI367" s="8">
        <v>3.92</v>
      </c>
    </row>
    <row r="368" spans="1:35" x14ac:dyDescent="0.25">
      <c r="A368" s="6" t="str">
        <f>"110304"</f>
        <v>110304</v>
      </c>
      <c r="B368" s="6" t="s">
        <v>403</v>
      </c>
      <c r="C368" s="7">
        <v>12085403</v>
      </c>
      <c r="D368" s="7">
        <v>12140290</v>
      </c>
      <c r="E368" s="8">
        <v>0.45</v>
      </c>
      <c r="F368" s="7">
        <v>3009362</v>
      </c>
      <c r="G368" s="7">
        <v>3042873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3009362</v>
      </c>
      <c r="O368" s="7">
        <v>3042873</v>
      </c>
      <c r="P368" s="8">
        <v>1.1100000000000001</v>
      </c>
      <c r="Q368" s="7">
        <v>4348</v>
      </c>
      <c r="R368" s="7">
        <v>0</v>
      </c>
      <c r="S368" s="7">
        <v>3005014</v>
      </c>
      <c r="T368" s="7">
        <v>3042877</v>
      </c>
      <c r="U368" s="7">
        <v>3005014</v>
      </c>
      <c r="V368" s="7">
        <v>3042873</v>
      </c>
      <c r="W368" s="7">
        <v>0</v>
      </c>
      <c r="X368" s="7">
        <v>4</v>
      </c>
      <c r="Y368" s="7">
        <v>522</v>
      </c>
      <c r="Z368" s="7">
        <v>526</v>
      </c>
      <c r="AA368" s="8">
        <v>0.77</v>
      </c>
      <c r="AB368" s="7">
        <v>2509803</v>
      </c>
      <c r="AC368" s="7">
        <v>2891728</v>
      </c>
      <c r="AD368" s="7">
        <v>601677</v>
      </c>
      <c r="AE368" s="7">
        <v>601677</v>
      </c>
      <c r="AF368" s="7">
        <v>1137708</v>
      </c>
      <c r="AG368" s="7">
        <v>485612</v>
      </c>
      <c r="AH368" s="8">
        <v>9.41</v>
      </c>
      <c r="AI368" s="8">
        <v>4</v>
      </c>
    </row>
    <row r="369" spans="1:35" x14ac:dyDescent="0.25">
      <c r="A369" s="6" t="str">
        <f>"521200"</f>
        <v>521200</v>
      </c>
      <c r="B369" s="6" t="s">
        <v>404</v>
      </c>
      <c r="C369" s="7">
        <v>23904552</v>
      </c>
      <c r="D369" s="7">
        <v>25480499</v>
      </c>
      <c r="E369" s="8">
        <v>6.59</v>
      </c>
      <c r="F369" s="7">
        <v>12141626</v>
      </c>
      <c r="G369" s="7">
        <v>12776050</v>
      </c>
      <c r="H369" s="7">
        <v>101725</v>
      </c>
      <c r="I369" s="7">
        <v>103575</v>
      </c>
      <c r="J369" s="7">
        <v>0</v>
      </c>
      <c r="K369" s="7">
        <v>0</v>
      </c>
      <c r="L369" s="7">
        <v>0</v>
      </c>
      <c r="M369" s="7">
        <v>0</v>
      </c>
      <c r="N369" s="7">
        <v>12243351</v>
      </c>
      <c r="O369" s="7">
        <v>12879625</v>
      </c>
      <c r="P369" s="8">
        <v>5.2</v>
      </c>
      <c r="Q369" s="7">
        <v>168679</v>
      </c>
      <c r="R369" s="7">
        <v>434104</v>
      </c>
      <c r="S369" s="7">
        <v>11700641</v>
      </c>
      <c r="T369" s="7">
        <v>12568834</v>
      </c>
      <c r="U369" s="7">
        <v>11972947</v>
      </c>
      <c r="V369" s="7">
        <v>12341946</v>
      </c>
      <c r="W369" s="7">
        <v>-272306</v>
      </c>
      <c r="X369" s="7">
        <v>226888</v>
      </c>
      <c r="Y369" s="7">
        <v>1351</v>
      </c>
      <c r="Z369" s="7">
        <v>1351</v>
      </c>
      <c r="AA369" s="8">
        <v>0</v>
      </c>
      <c r="AB369" s="7">
        <v>735396</v>
      </c>
      <c r="AC369" s="7">
        <v>735396</v>
      </c>
      <c r="AD369" s="7">
        <v>711286</v>
      </c>
      <c r="AE369" s="7">
        <v>1195000</v>
      </c>
      <c r="AF369" s="7">
        <v>4140562</v>
      </c>
      <c r="AG369" s="7">
        <v>4475848</v>
      </c>
      <c r="AH369" s="8">
        <v>17.32</v>
      </c>
      <c r="AI369" s="8">
        <v>17.57</v>
      </c>
    </row>
    <row r="370" spans="1:35" x14ac:dyDescent="0.25">
      <c r="A370" s="6" t="str">
        <f>"450801"</f>
        <v>450801</v>
      </c>
      <c r="B370" s="6" t="s">
        <v>405</v>
      </c>
      <c r="C370" s="7">
        <v>35825184</v>
      </c>
      <c r="D370" s="7">
        <v>36620794</v>
      </c>
      <c r="E370" s="8">
        <v>2.2200000000000002</v>
      </c>
      <c r="F370" s="7">
        <v>8660915</v>
      </c>
      <c r="G370" s="7">
        <v>8641861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8660915</v>
      </c>
      <c r="O370" s="7">
        <v>8641861</v>
      </c>
      <c r="P370" s="8">
        <v>-0.22</v>
      </c>
      <c r="Q370" s="7">
        <v>0</v>
      </c>
      <c r="R370" s="7">
        <v>0</v>
      </c>
      <c r="S370" s="7">
        <v>8967302</v>
      </c>
      <c r="T370" s="7">
        <v>9020189</v>
      </c>
      <c r="U370" s="7">
        <v>8660915</v>
      </c>
      <c r="V370" s="7">
        <v>8641861</v>
      </c>
      <c r="W370" s="7">
        <v>306387</v>
      </c>
      <c r="X370" s="7">
        <v>378328</v>
      </c>
      <c r="Y370" s="7">
        <v>1627</v>
      </c>
      <c r="Z370" s="7">
        <v>1562</v>
      </c>
      <c r="AA370" s="8">
        <v>-4</v>
      </c>
      <c r="AB370" s="7">
        <v>12163968</v>
      </c>
      <c r="AC370" s="7">
        <v>12209835</v>
      </c>
      <c r="AD370" s="7">
        <v>750000</v>
      </c>
      <c r="AE370" s="7">
        <v>400000</v>
      </c>
      <c r="AF370" s="7">
        <v>1433007</v>
      </c>
      <c r="AG370" s="7">
        <v>1464832</v>
      </c>
      <c r="AH370" s="8">
        <v>4</v>
      </c>
      <c r="AI370" s="8">
        <v>4</v>
      </c>
    </row>
    <row r="371" spans="1:35" x14ac:dyDescent="0.25">
      <c r="A371" s="6" t="str">
        <f>"010615"</f>
        <v>010615</v>
      </c>
      <c r="B371" s="6" t="s">
        <v>406</v>
      </c>
      <c r="C371" s="7">
        <v>8336436</v>
      </c>
      <c r="D371" s="7">
        <v>8548159</v>
      </c>
      <c r="E371" s="8">
        <v>2.54</v>
      </c>
      <c r="F371" s="7">
        <v>6419213</v>
      </c>
      <c r="G371" s="7">
        <v>6535711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6419213</v>
      </c>
      <c r="O371" s="7">
        <v>6535711</v>
      </c>
      <c r="P371" s="8">
        <v>1.81</v>
      </c>
      <c r="Q371" s="7">
        <v>262382</v>
      </c>
      <c r="R371" s="7">
        <v>255153</v>
      </c>
      <c r="S371" s="7">
        <v>6156831</v>
      </c>
      <c r="T371" s="7">
        <v>6280558</v>
      </c>
      <c r="U371" s="7">
        <v>6156831</v>
      </c>
      <c r="V371" s="7">
        <v>6280558</v>
      </c>
      <c r="W371" s="7">
        <v>0</v>
      </c>
      <c r="X371" s="7">
        <v>0</v>
      </c>
      <c r="Y371" s="7">
        <v>270</v>
      </c>
      <c r="Z371" s="7">
        <v>265</v>
      </c>
      <c r="AA371" s="8">
        <v>-1.85</v>
      </c>
      <c r="AB371" s="7">
        <v>1154538</v>
      </c>
      <c r="AC371" s="7">
        <v>454538</v>
      </c>
      <c r="AD371" s="7">
        <v>791722</v>
      </c>
      <c r="AE371" s="7">
        <v>815042</v>
      </c>
      <c r="AF371" s="7">
        <v>839954</v>
      </c>
      <c r="AG371" s="7">
        <v>792738</v>
      </c>
      <c r="AH371" s="8">
        <v>10.08</v>
      </c>
      <c r="AI371" s="8">
        <v>9.27</v>
      </c>
    </row>
    <row r="372" spans="1:35" x14ac:dyDescent="0.25">
      <c r="A372" s="6" t="str">
        <f>"280225"</f>
        <v>280225</v>
      </c>
      <c r="B372" s="6" t="s">
        <v>407</v>
      </c>
      <c r="C372" s="7">
        <v>48109405</v>
      </c>
      <c r="D372" s="7">
        <v>49277857</v>
      </c>
      <c r="E372" s="8">
        <v>2.4300000000000002</v>
      </c>
      <c r="F372" s="7">
        <v>38066359</v>
      </c>
      <c r="G372" s="7">
        <v>38740195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 t="s">
        <v>41</v>
      </c>
      <c r="N372" s="7">
        <v>38066359</v>
      </c>
      <c r="O372" s="7">
        <v>38740195</v>
      </c>
      <c r="P372" s="8">
        <v>1.77</v>
      </c>
      <c r="Q372" s="7">
        <v>379153</v>
      </c>
      <c r="R372" s="7">
        <v>380032</v>
      </c>
      <c r="S372" s="7">
        <v>37687206</v>
      </c>
      <c r="T372" s="7">
        <v>38360163</v>
      </c>
      <c r="U372" s="7">
        <v>37687206</v>
      </c>
      <c r="V372" s="7">
        <v>38360163</v>
      </c>
      <c r="W372" s="7">
        <v>0</v>
      </c>
      <c r="X372" s="7">
        <v>0</v>
      </c>
      <c r="Y372" s="7">
        <v>1485</v>
      </c>
      <c r="Z372" s="7">
        <v>1495</v>
      </c>
      <c r="AA372" s="8">
        <v>0.67</v>
      </c>
      <c r="AB372" s="7">
        <v>1901695</v>
      </c>
      <c r="AC372" s="7">
        <v>1700000</v>
      </c>
      <c r="AD372" s="7">
        <v>1650000</v>
      </c>
      <c r="AE372" s="7">
        <v>1500000</v>
      </c>
      <c r="AF372" s="7">
        <v>9418772</v>
      </c>
      <c r="AG372" s="7">
        <v>6500000</v>
      </c>
      <c r="AH372" s="8">
        <v>19.579999999999998</v>
      </c>
      <c r="AI372" s="8">
        <v>13.19</v>
      </c>
    </row>
    <row r="373" spans="1:35" x14ac:dyDescent="0.25">
      <c r="A373" s="6" t="str">
        <f>"460901"</f>
        <v>460901</v>
      </c>
      <c r="B373" s="6" t="s">
        <v>408</v>
      </c>
      <c r="C373" s="7">
        <v>51317290</v>
      </c>
      <c r="D373" s="7">
        <v>53748377</v>
      </c>
      <c r="E373" s="8">
        <v>4.74</v>
      </c>
      <c r="F373" s="7">
        <v>13233881</v>
      </c>
      <c r="G373" s="7">
        <v>13233881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13233881</v>
      </c>
      <c r="O373" s="7">
        <v>13233881</v>
      </c>
      <c r="P373" s="8">
        <v>0</v>
      </c>
      <c r="Q373" s="7">
        <v>362780</v>
      </c>
      <c r="R373" s="7">
        <v>518631</v>
      </c>
      <c r="S373" s="7">
        <v>12871101</v>
      </c>
      <c r="T373" s="7">
        <v>12970946</v>
      </c>
      <c r="U373" s="7">
        <v>12871101</v>
      </c>
      <c r="V373" s="7">
        <v>12715250</v>
      </c>
      <c r="W373" s="7">
        <v>0</v>
      </c>
      <c r="X373" s="7">
        <v>255696</v>
      </c>
      <c r="Y373" s="7">
        <v>2063</v>
      </c>
      <c r="Z373" s="7">
        <v>2133</v>
      </c>
      <c r="AA373" s="8">
        <v>3.39</v>
      </c>
      <c r="AB373" s="7">
        <v>33919087</v>
      </c>
      <c r="AC373" s="7">
        <v>31986195</v>
      </c>
      <c r="AD373" s="7">
        <v>0</v>
      </c>
      <c r="AE373" s="7">
        <v>0</v>
      </c>
      <c r="AF373" s="7">
        <v>2142619</v>
      </c>
      <c r="AG373" s="7">
        <v>2149935</v>
      </c>
      <c r="AH373" s="8">
        <v>4.18</v>
      </c>
      <c r="AI373" s="8">
        <v>4</v>
      </c>
    </row>
    <row r="374" spans="1:35" x14ac:dyDescent="0.25">
      <c r="A374" s="6" t="str">
        <f>"580211"</f>
        <v>580211</v>
      </c>
      <c r="B374" s="6" t="s">
        <v>409</v>
      </c>
      <c r="C374" s="7">
        <v>240677522</v>
      </c>
      <c r="D374" s="7">
        <v>243590487</v>
      </c>
      <c r="E374" s="8">
        <v>1.21</v>
      </c>
      <c r="F374" s="7">
        <v>133269910</v>
      </c>
      <c r="G374" s="7">
        <v>135841300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133269910</v>
      </c>
      <c r="O374" s="7">
        <v>135841300</v>
      </c>
      <c r="P374" s="8">
        <v>1.93</v>
      </c>
      <c r="Q374" s="7">
        <v>0</v>
      </c>
      <c r="R374" s="7">
        <v>644908</v>
      </c>
      <c r="S374" s="7">
        <v>133269910</v>
      </c>
      <c r="T374" s="7">
        <v>135244491</v>
      </c>
      <c r="U374" s="7">
        <v>133269910</v>
      </c>
      <c r="V374" s="7">
        <v>135196392</v>
      </c>
      <c r="W374" s="7">
        <v>0</v>
      </c>
      <c r="X374" s="7">
        <v>48099</v>
      </c>
      <c r="Y374" s="7">
        <v>10004</v>
      </c>
      <c r="Z374" s="7">
        <v>10000</v>
      </c>
      <c r="AA374" s="8">
        <v>-0.04</v>
      </c>
      <c r="AB374" s="7">
        <v>23147624</v>
      </c>
      <c r="AC374" s="7">
        <v>13134525</v>
      </c>
      <c r="AD374" s="7">
        <v>3865000</v>
      </c>
      <c r="AE374" s="7">
        <v>2400000</v>
      </c>
      <c r="AF374" s="7">
        <v>9627100</v>
      </c>
      <c r="AG374" s="7">
        <v>9743619</v>
      </c>
      <c r="AH374" s="8">
        <v>4</v>
      </c>
      <c r="AI374" s="8">
        <v>4</v>
      </c>
    </row>
    <row r="375" spans="1:35" x14ac:dyDescent="0.25">
      <c r="A375" s="6" t="str">
        <f>"541001"</f>
        <v>541001</v>
      </c>
      <c r="B375" s="6" t="s">
        <v>410</v>
      </c>
      <c r="C375" s="7">
        <v>21285170</v>
      </c>
      <c r="D375" s="7">
        <v>21784576</v>
      </c>
      <c r="E375" s="8">
        <v>2.35</v>
      </c>
      <c r="F375" s="7">
        <v>9518615</v>
      </c>
      <c r="G375" s="7">
        <v>9663692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9518615</v>
      </c>
      <c r="O375" s="7">
        <v>9663692</v>
      </c>
      <c r="P375" s="8">
        <v>1.52</v>
      </c>
      <c r="Q375" s="7">
        <v>0</v>
      </c>
      <c r="R375" s="7">
        <v>0</v>
      </c>
      <c r="S375" s="7">
        <v>9518615</v>
      </c>
      <c r="T375" s="7">
        <v>9663692</v>
      </c>
      <c r="U375" s="7">
        <v>9518615</v>
      </c>
      <c r="V375" s="7">
        <v>9663692</v>
      </c>
      <c r="W375" s="7">
        <v>0</v>
      </c>
      <c r="X375" s="7">
        <v>0</v>
      </c>
      <c r="Y375" s="7">
        <v>758</v>
      </c>
      <c r="Z375" s="7">
        <v>750</v>
      </c>
      <c r="AA375" s="8">
        <v>-1.06</v>
      </c>
      <c r="AB375" s="7">
        <v>1083219</v>
      </c>
      <c r="AC375" s="7">
        <v>1083219</v>
      </c>
      <c r="AD375" s="7">
        <v>768710</v>
      </c>
      <c r="AE375" s="7">
        <v>887373</v>
      </c>
      <c r="AF375" s="7">
        <v>2042724</v>
      </c>
      <c r="AG375" s="7">
        <v>1800000</v>
      </c>
      <c r="AH375" s="8">
        <v>9.6</v>
      </c>
      <c r="AI375" s="8">
        <v>8.26</v>
      </c>
    </row>
    <row r="376" spans="1:35" x14ac:dyDescent="0.25">
      <c r="A376" s="6" t="str">
        <f>"441000"</f>
        <v>441000</v>
      </c>
      <c r="B376" s="6" t="s">
        <v>411</v>
      </c>
      <c r="C376" s="7">
        <v>173481266</v>
      </c>
      <c r="D376" s="7">
        <v>179516780</v>
      </c>
      <c r="E376" s="8">
        <v>3.48</v>
      </c>
      <c r="F376" s="7">
        <v>72208215</v>
      </c>
      <c r="G376" s="7">
        <v>74483747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72208215</v>
      </c>
      <c r="O376" s="7">
        <v>74483747</v>
      </c>
      <c r="P376" s="8">
        <v>3.15</v>
      </c>
      <c r="Q376" s="7">
        <v>5520029</v>
      </c>
      <c r="R376" s="7">
        <v>6548684</v>
      </c>
      <c r="S376" s="7">
        <v>72813024</v>
      </c>
      <c r="T376" s="7">
        <v>75023777</v>
      </c>
      <c r="U376" s="7">
        <v>66688186</v>
      </c>
      <c r="V376" s="7">
        <v>67935063</v>
      </c>
      <c r="W376" s="7">
        <v>6124838</v>
      </c>
      <c r="X376" s="7">
        <v>7088714</v>
      </c>
      <c r="Y376" s="7">
        <v>7671</v>
      </c>
      <c r="Z376" s="7">
        <v>7741</v>
      </c>
      <c r="AA376" s="8">
        <v>0.91</v>
      </c>
      <c r="AB376" s="7">
        <v>21225992</v>
      </c>
      <c r="AC376" s="7">
        <v>19200000</v>
      </c>
      <c r="AD376" s="7">
        <v>5299227</v>
      </c>
      <c r="AE376" s="7">
        <v>5299227</v>
      </c>
      <c r="AF376" s="7">
        <v>19092381</v>
      </c>
      <c r="AG376" s="7">
        <v>14450000</v>
      </c>
      <c r="AH376" s="8">
        <v>11.01</v>
      </c>
      <c r="AI376" s="8">
        <v>8.0500000000000007</v>
      </c>
    </row>
    <row r="377" spans="1:35" x14ac:dyDescent="0.25">
      <c r="A377" s="6" t="str">
        <f>"471101"</f>
        <v>471101</v>
      </c>
      <c r="B377" s="6" t="s">
        <v>412</v>
      </c>
      <c r="C377" s="7">
        <v>10211343</v>
      </c>
      <c r="D377" s="7">
        <v>10288163</v>
      </c>
      <c r="E377" s="8">
        <v>0.75</v>
      </c>
      <c r="F377" s="7">
        <v>3960753</v>
      </c>
      <c r="G377" s="7">
        <v>4039572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3960753</v>
      </c>
      <c r="O377" s="7">
        <v>4039572</v>
      </c>
      <c r="P377" s="8">
        <v>1.99</v>
      </c>
      <c r="Q377" s="7">
        <v>81466</v>
      </c>
      <c r="R377" s="7">
        <v>172594</v>
      </c>
      <c r="S377" s="7">
        <v>3879287</v>
      </c>
      <c r="T377" s="7">
        <v>3941078</v>
      </c>
      <c r="U377" s="7">
        <v>3879287</v>
      </c>
      <c r="V377" s="7">
        <v>3866978</v>
      </c>
      <c r="W377" s="7">
        <v>0</v>
      </c>
      <c r="X377" s="7">
        <v>74100</v>
      </c>
      <c r="Y377" s="7">
        <v>400</v>
      </c>
      <c r="Z377" s="7">
        <v>399</v>
      </c>
      <c r="AA377" s="8">
        <v>-0.25</v>
      </c>
      <c r="AB377" s="7">
        <v>1017239</v>
      </c>
      <c r="AC377" s="7">
        <v>1517238</v>
      </c>
      <c r="AD377" s="7">
        <v>637673</v>
      </c>
      <c r="AE377" s="7">
        <v>629789</v>
      </c>
      <c r="AF377" s="7">
        <v>1186462</v>
      </c>
      <c r="AG377" s="7">
        <v>659538</v>
      </c>
      <c r="AH377" s="8">
        <v>11.62</v>
      </c>
      <c r="AI377" s="8">
        <v>6.41</v>
      </c>
    </row>
    <row r="378" spans="1:35" x14ac:dyDescent="0.25">
      <c r="A378" s="6" t="str">
        <f>"132201"</f>
        <v>132201</v>
      </c>
      <c r="B378" s="6" t="s">
        <v>413</v>
      </c>
      <c r="C378" s="7">
        <v>28440978</v>
      </c>
      <c r="D378" s="7">
        <v>28922989</v>
      </c>
      <c r="E378" s="8">
        <v>1.69</v>
      </c>
      <c r="F378" s="7">
        <v>23247655</v>
      </c>
      <c r="G378" s="7">
        <v>23684119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23247655</v>
      </c>
      <c r="O378" s="7">
        <v>23684119</v>
      </c>
      <c r="P378" s="8">
        <v>1.88</v>
      </c>
      <c r="Q378" s="7">
        <v>1556264</v>
      </c>
      <c r="R378" s="7">
        <v>1751558</v>
      </c>
      <c r="S378" s="7">
        <v>21691391</v>
      </c>
      <c r="T378" s="7">
        <v>22105946</v>
      </c>
      <c r="U378" s="7">
        <v>21691391</v>
      </c>
      <c r="V378" s="7">
        <v>21932561</v>
      </c>
      <c r="W378" s="7">
        <v>0</v>
      </c>
      <c r="X378" s="7">
        <v>173385</v>
      </c>
      <c r="Y378" s="7">
        <v>996</v>
      </c>
      <c r="Z378" s="7">
        <v>967</v>
      </c>
      <c r="AA378" s="8">
        <v>-2.91</v>
      </c>
      <c r="AB378" s="7">
        <v>2941680</v>
      </c>
      <c r="AC378" s="7">
        <v>3477000</v>
      </c>
      <c r="AD378" s="7">
        <v>411000</v>
      </c>
      <c r="AE378" s="7">
        <v>374759</v>
      </c>
      <c r="AF378" s="7">
        <v>1137639</v>
      </c>
      <c r="AG378" s="7">
        <v>1156920</v>
      </c>
      <c r="AH378" s="8">
        <v>4</v>
      </c>
      <c r="AI378" s="8">
        <v>4</v>
      </c>
    </row>
    <row r="379" spans="1:35" x14ac:dyDescent="0.25">
      <c r="A379" s="6" t="str">
        <f>"580208"</f>
        <v>580208</v>
      </c>
      <c r="B379" s="6" t="s">
        <v>414</v>
      </c>
      <c r="C379" s="7">
        <v>70602887</v>
      </c>
      <c r="D379" s="7">
        <v>71190675</v>
      </c>
      <c r="E379" s="8">
        <v>0.83</v>
      </c>
      <c r="F379" s="7">
        <v>44757730</v>
      </c>
      <c r="G379" s="7">
        <v>45028780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44757730</v>
      </c>
      <c r="O379" s="7">
        <v>45028780</v>
      </c>
      <c r="P379" s="8">
        <v>0.61</v>
      </c>
      <c r="Q379" s="7">
        <v>1496456</v>
      </c>
      <c r="R379" s="7">
        <v>1027531</v>
      </c>
      <c r="S379" s="7">
        <v>43261274</v>
      </c>
      <c r="T379" s="7">
        <v>44001249</v>
      </c>
      <c r="U379" s="7">
        <v>43261274</v>
      </c>
      <c r="V379" s="7">
        <v>44001249</v>
      </c>
      <c r="W379" s="7">
        <v>0</v>
      </c>
      <c r="X379" s="7">
        <v>0</v>
      </c>
      <c r="Y379" s="7">
        <v>2727</v>
      </c>
      <c r="Z379" s="7">
        <v>2707</v>
      </c>
      <c r="AA379" s="8">
        <v>-0.73</v>
      </c>
      <c r="AB379" s="7">
        <v>6712047</v>
      </c>
      <c r="AC379" s="7">
        <v>6080047</v>
      </c>
      <c r="AD379" s="7">
        <v>2659418</v>
      </c>
      <c r="AE379" s="7">
        <v>2659418</v>
      </c>
      <c r="AF379" s="7">
        <v>2824018</v>
      </c>
      <c r="AG379" s="7">
        <v>2847627</v>
      </c>
      <c r="AH379" s="8">
        <v>4</v>
      </c>
      <c r="AI379" s="8">
        <v>4</v>
      </c>
    </row>
    <row r="380" spans="1:35" x14ac:dyDescent="0.25">
      <c r="A380" s="6" t="str">
        <f>"280410"</f>
        <v>280410</v>
      </c>
      <c r="B380" s="6" t="s">
        <v>415</v>
      </c>
      <c r="C380" s="7">
        <v>91214512</v>
      </c>
      <c r="D380" s="7">
        <v>94444259</v>
      </c>
      <c r="E380" s="8">
        <v>3.54</v>
      </c>
      <c r="F380" s="7">
        <v>78843160</v>
      </c>
      <c r="G380" s="7">
        <v>79543950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78843160</v>
      </c>
      <c r="O380" s="7">
        <v>79543950</v>
      </c>
      <c r="P380" s="8">
        <v>0.89</v>
      </c>
      <c r="Q380" s="7">
        <v>2180000</v>
      </c>
      <c r="R380" s="7">
        <v>1844000</v>
      </c>
      <c r="S380" s="7">
        <v>76663160</v>
      </c>
      <c r="T380" s="7">
        <v>77699950</v>
      </c>
      <c r="U380" s="7">
        <v>76663160</v>
      </c>
      <c r="V380" s="7">
        <v>77699950</v>
      </c>
      <c r="W380" s="7">
        <v>0</v>
      </c>
      <c r="X380" s="7">
        <v>0</v>
      </c>
      <c r="Y380" s="7">
        <v>2750</v>
      </c>
      <c r="Z380" s="7">
        <v>2800</v>
      </c>
      <c r="AA380" s="8">
        <v>1.82</v>
      </c>
      <c r="AB380" s="7">
        <v>5139885</v>
      </c>
      <c r="AC380" s="7">
        <v>1300000</v>
      </c>
      <c r="AD380" s="7">
        <v>1812262</v>
      </c>
      <c r="AE380" s="7">
        <v>3800000</v>
      </c>
      <c r="AF380" s="7">
        <v>5563999</v>
      </c>
      <c r="AG380" s="7">
        <v>4800000</v>
      </c>
      <c r="AH380" s="8">
        <v>6.1</v>
      </c>
      <c r="AI380" s="8">
        <v>5.08</v>
      </c>
    </row>
    <row r="381" spans="1:35" x14ac:dyDescent="0.25">
      <c r="A381" s="6" t="str">
        <f>"150801"</f>
        <v>150801</v>
      </c>
      <c r="B381" s="6" t="s">
        <v>416</v>
      </c>
      <c r="C381" s="7">
        <v>5039753</v>
      </c>
      <c r="D381" s="7">
        <v>5276723</v>
      </c>
      <c r="E381" s="8">
        <v>4.7</v>
      </c>
      <c r="F381" s="7">
        <v>3489164</v>
      </c>
      <c r="G381" s="7">
        <v>3565705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3489164</v>
      </c>
      <c r="O381" s="7">
        <v>3565705</v>
      </c>
      <c r="P381" s="8">
        <v>2.19</v>
      </c>
      <c r="Q381" s="7">
        <v>246808</v>
      </c>
      <c r="R381" s="7">
        <v>246811</v>
      </c>
      <c r="S381" s="7">
        <v>3242356</v>
      </c>
      <c r="T381" s="7">
        <v>3318894</v>
      </c>
      <c r="U381" s="7">
        <v>3242356</v>
      </c>
      <c r="V381" s="7">
        <v>3318894</v>
      </c>
      <c r="W381" s="7">
        <v>0</v>
      </c>
      <c r="X381" s="7">
        <v>0</v>
      </c>
      <c r="Y381" s="7">
        <v>117</v>
      </c>
      <c r="Z381" s="7">
        <v>114</v>
      </c>
      <c r="AA381" s="8">
        <v>-2.56</v>
      </c>
      <c r="AB381" s="7">
        <v>775208</v>
      </c>
      <c r="AC381" s="7">
        <v>775566</v>
      </c>
      <c r="AD381" s="7">
        <v>155878</v>
      </c>
      <c r="AE381" s="7">
        <v>299128</v>
      </c>
      <c r="AF381" s="7">
        <v>645584</v>
      </c>
      <c r="AG381" s="7">
        <v>600000</v>
      </c>
      <c r="AH381" s="8">
        <v>12.81</v>
      </c>
      <c r="AI381" s="8">
        <v>11.37</v>
      </c>
    </row>
    <row r="382" spans="1:35" x14ac:dyDescent="0.25">
      <c r="A382" s="6" t="str">
        <f>"441101"</f>
        <v>441101</v>
      </c>
      <c r="B382" s="6" t="s">
        <v>417</v>
      </c>
      <c r="C382" s="7">
        <v>96070850</v>
      </c>
      <c r="D382" s="7">
        <v>97407064</v>
      </c>
      <c r="E382" s="8">
        <v>1.39</v>
      </c>
      <c r="F382" s="7">
        <v>42963770</v>
      </c>
      <c r="G382" s="7">
        <v>43608227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42963770</v>
      </c>
      <c r="O382" s="7">
        <v>43608227</v>
      </c>
      <c r="P382" s="8">
        <v>1.5</v>
      </c>
      <c r="Q382" s="7">
        <v>1721979</v>
      </c>
      <c r="R382" s="7">
        <v>2797928</v>
      </c>
      <c r="S382" s="7">
        <v>42095365</v>
      </c>
      <c r="T382" s="7">
        <v>41853568</v>
      </c>
      <c r="U382" s="7">
        <v>41241791</v>
      </c>
      <c r="V382" s="7">
        <v>40810299</v>
      </c>
      <c r="W382" s="7">
        <v>853574</v>
      </c>
      <c r="X382" s="7">
        <v>1043269</v>
      </c>
      <c r="Y382" s="7">
        <v>3724</v>
      </c>
      <c r="Z382" s="7">
        <v>3705</v>
      </c>
      <c r="AA382" s="8">
        <v>-0.51</v>
      </c>
      <c r="AB382" s="7">
        <v>17000236</v>
      </c>
      <c r="AC382" s="7">
        <v>15031580</v>
      </c>
      <c r="AD382" s="7">
        <v>9409938</v>
      </c>
      <c r="AE382" s="7">
        <v>10096857</v>
      </c>
      <c r="AF382" s="7">
        <v>3838768</v>
      </c>
      <c r="AG382" s="7">
        <v>3900282</v>
      </c>
      <c r="AH382" s="8">
        <v>4</v>
      </c>
      <c r="AI382" s="8">
        <v>4</v>
      </c>
    </row>
    <row r="383" spans="1:35" x14ac:dyDescent="0.25">
      <c r="A383" s="6" t="str">
        <f>"441201"</f>
        <v>441201</v>
      </c>
      <c r="B383" s="6" t="s">
        <v>418</v>
      </c>
      <c r="C383" s="7">
        <v>164817836</v>
      </c>
      <c r="D383" s="7">
        <v>171202208</v>
      </c>
      <c r="E383" s="8">
        <v>3.87</v>
      </c>
      <c r="F383" s="7">
        <v>112154152</v>
      </c>
      <c r="G383" s="7">
        <v>116474300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112154152</v>
      </c>
      <c r="O383" s="7">
        <v>116474300</v>
      </c>
      <c r="P383" s="8">
        <v>3.85</v>
      </c>
      <c r="Q383" s="7">
        <v>1497157</v>
      </c>
      <c r="R383" s="7">
        <v>934379</v>
      </c>
      <c r="S383" s="7">
        <v>110656995</v>
      </c>
      <c r="T383" s="7">
        <v>115540010</v>
      </c>
      <c r="U383" s="7">
        <v>110656995</v>
      </c>
      <c r="V383" s="7">
        <v>115539921</v>
      </c>
      <c r="W383" s="7">
        <v>0</v>
      </c>
      <c r="X383" s="7">
        <v>89</v>
      </c>
      <c r="Y383" s="7">
        <v>6871</v>
      </c>
      <c r="Z383" s="7">
        <v>6885</v>
      </c>
      <c r="AA383" s="8">
        <v>0.2</v>
      </c>
      <c r="AB383" s="7">
        <v>10942058</v>
      </c>
      <c r="AC383" s="7">
        <v>12242058</v>
      </c>
      <c r="AD383" s="7">
        <v>1369000</v>
      </c>
      <c r="AE383" s="7">
        <v>1644000</v>
      </c>
      <c r="AF383" s="7">
        <v>6590452</v>
      </c>
      <c r="AG383" s="7">
        <v>6848088</v>
      </c>
      <c r="AH383" s="8">
        <v>4</v>
      </c>
      <c r="AI383" s="8">
        <v>4</v>
      </c>
    </row>
    <row r="384" spans="1:35" x14ac:dyDescent="0.25">
      <c r="A384" s="6" t="str">
        <f>"580306"</f>
        <v>580306</v>
      </c>
      <c r="B384" s="6" t="s">
        <v>419</v>
      </c>
      <c r="C384" s="7">
        <v>18978163</v>
      </c>
      <c r="D384" s="7">
        <v>18823358</v>
      </c>
      <c r="E384" s="8">
        <v>-0.82</v>
      </c>
      <c r="F384" s="7">
        <v>16952502</v>
      </c>
      <c r="G384" s="7">
        <v>16756517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16952502</v>
      </c>
      <c r="O384" s="7">
        <v>16756517</v>
      </c>
      <c r="P384" s="8">
        <v>-1.1599999999999999</v>
      </c>
      <c r="Q384" s="7">
        <v>0</v>
      </c>
      <c r="R384" s="7">
        <v>0</v>
      </c>
      <c r="S384" s="7">
        <v>17159448</v>
      </c>
      <c r="T384" s="7">
        <v>17511764</v>
      </c>
      <c r="U384" s="7">
        <v>16952502</v>
      </c>
      <c r="V384" s="7">
        <v>16756517</v>
      </c>
      <c r="W384" s="7">
        <v>206946</v>
      </c>
      <c r="X384" s="7">
        <v>755247</v>
      </c>
      <c r="Y384" s="7">
        <v>325</v>
      </c>
      <c r="Z384" s="7">
        <v>321</v>
      </c>
      <c r="AA384" s="8">
        <v>-1.23</v>
      </c>
      <c r="AB384" s="7">
        <v>2147984</v>
      </c>
      <c r="AC384" s="7">
        <v>2150000</v>
      </c>
      <c r="AD384" s="7">
        <v>1065256</v>
      </c>
      <c r="AE384" s="7">
        <v>1080070</v>
      </c>
      <c r="AF384" s="7">
        <v>964449</v>
      </c>
      <c r="AG384" s="7">
        <v>752934</v>
      </c>
      <c r="AH384" s="8">
        <v>5.08</v>
      </c>
      <c r="AI384" s="8">
        <v>4</v>
      </c>
    </row>
    <row r="385" spans="1:35" x14ac:dyDescent="0.25">
      <c r="A385" s="6" t="str">
        <f>"591401"</f>
        <v>591401</v>
      </c>
      <c r="B385" s="6" t="s">
        <v>420</v>
      </c>
      <c r="C385" s="7">
        <v>84139614</v>
      </c>
      <c r="D385" s="7">
        <v>85299550</v>
      </c>
      <c r="E385" s="8">
        <v>1.38</v>
      </c>
      <c r="F385" s="7">
        <v>43287000</v>
      </c>
      <c r="G385" s="7">
        <v>43330000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43287000</v>
      </c>
      <c r="O385" s="7">
        <v>43330000</v>
      </c>
      <c r="P385" s="8">
        <v>0.1</v>
      </c>
      <c r="Q385" s="7">
        <v>3115443</v>
      </c>
      <c r="R385" s="7">
        <v>2511960</v>
      </c>
      <c r="S385" s="7">
        <v>43471766</v>
      </c>
      <c r="T385" s="7">
        <v>43349867</v>
      </c>
      <c r="U385" s="7">
        <v>40171557</v>
      </c>
      <c r="V385" s="7">
        <v>40818040</v>
      </c>
      <c r="W385" s="7">
        <v>3300209</v>
      </c>
      <c r="X385" s="7">
        <v>2531827</v>
      </c>
      <c r="Y385" s="7">
        <v>2909</v>
      </c>
      <c r="Z385" s="7">
        <v>2895</v>
      </c>
      <c r="AA385" s="8">
        <v>-0.48</v>
      </c>
      <c r="AB385" s="7">
        <v>11527646</v>
      </c>
      <c r="AC385" s="7">
        <v>12548029</v>
      </c>
      <c r="AD385" s="7">
        <v>4850000</v>
      </c>
      <c r="AE385" s="7">
        <v>4300000</v>
      </c>
      <c r="AF385" s="7">
        <v>6677646</v>
      </c>
      <c r="AG385" s="7">
        <v>8951496</v>
      </c>
      <c r="AH385" s="8">
        <v>7.94</v>
      </c>
      <c r="AI385" s="8">
        <v>10.49</v>
      </c>
    </row>
    <row r="386" spans="1:35" x14ac:dyDescent="0.25">
      <c r="A386" s="6" t="str">
        <f>"051301"</f>
        <v>051301</v>
      </c>
      <c r="B386" s="6" t="s">
        <v>421</v>
      </c>
      <c r="C386" s="7">
        <v>21533253</v>
      </c>
      <c r="D386" s="7">
        <v>22382141</v>
      </c>
      <c r="E386" s="8">
        <v>3.94</v>
      </c>
      <c r="F386" s="7">
        <v>7751953</v>
      </c>
      <c r="G386" s="7">
        <v>7894589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7751953</v>
      </c>
      <c r="O386" s="7">
        <v>7894589</v>
      </c>
      <c r="P386" s="8">
        <v>1.84</v>
      </c>
      <c r="Q386" s="7">
        <v>301510</v>
      </c>
      <c r="R386" s="7">
        <v>402282</v>
      </c>
      <c r="S386" s="7">
        <v>7450443</v>
      </c>
      <c r="T386" s="7">
        <v>7593143</v>
      </c>
      <c r="U386" s="7">
        <v>7450443</v>
      </c>
      <c r="V386" s="7">
        <v>7492307</v>
      </c>
      <c r="W386" s="7">
        <v>0</v>
      </c>
      <c r="X386" s="7">
        <v>100836</v>
      </c>
      <c r="Y386" s="7">
        <v>994</v>
      </c>
      <c r="Z386" s="7">
        <v>998</v>
      </c>
      <c r="AA386" s="8">
        <v>0.4</v>
      </c>
      <c r="AB386" s="7">
        <v>4069762</v>
      </c>
      <c r="AC386" s="7">
        <v>4489762</v>
      </c>
      <c r="AD386" s="7">
        <v>525000</v>
      </c>
      <c r="AE386" s="7">
        <v>525000</v>
      </c>
      <c r="AF386" s="7">
        <v>1054025</v>
      </c>
      <c r="AG386" s="7">
        <v>893047</v>
      </c>
      <c r="AH386" s="8">
        <v>4.8899999999999997</v>
      </c>
      <c r="AI386" s="8">
        <v>3.99</v>
      </c>
    </row>
    <row r="387" spans="1:35" x14ac:dyDescent="0.25">
      <c r="A387" s="6" t="str">
        <f>"150901"</f>
        <v>150901</v>
      </c>
      <c r="B387" s="6" t="s">
        <v>422</v>
      </c>
      <c r="C387" s="7">
        <v>16357117</v>
      </c>
      <c r="D387" s="7">
        <v>16756338</v>
      </c>
      <c r="E387" s="8">
        <v>2.44</v>
      </c>
      <c r="F387" s="7">
        <v>3966291</v>
      </c>
      <c r="G387" s="7">
        <v>3966291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3966291</v>
      </c>
      <c r="O387" s="7">
        <v>3966291</v>
      </c>
      <c r="P387" s="8">
        <v>0</v>
      </c>
      <c r="Q387" s="7">
        <v>317233</v>
      </c>
      <c r="R387" s="7">
        <v>329603</v>
      </c>
      <c r="S387" s="7">
        <v>3658954</v>
      </c>
      <c r="T387" s="7">
        <v>3709896</v>
      </c>
      <c r="U387" s="7">
        <v>3649058</v>
      </c>
      <c r="V387" s="7">
        <v>3636688</v>
      </c>
      <c r="W387" s="7">
        <v>9896</v>
      </c>
      <c r="X387" s="7">
        <v>73208</v>
      </c>
      <c r="Y387" s="7">
        <v>695</v>
      </c>
      <c r="Z387" s="7">
        <v>717</v>
      </c>
      <c r="AA387" s="8">
        <v>3.17</v>
      </c>
      <c r="AB387" s="7">
        <v>1179905</v>
      </c>
      <c r="AC387" s="7">
        <v>1180655</v>
      </c>
      <c r="AD387" s="7">
        <v>252155</v>
      </c>
      <c r="AE387" s="7">
        <v>461502</v>
      </c>
      <c r="AF387" s="7">
        <v>2495705</v>
      </c>
      <c r="AG387" s="7">
        <v>2034203</v>
      </c>
      <c r="AH387" s="8">
        <v>15.26</v>
      </c>
      <c r="AI387" s="8">
        <v>12.14</v>
      </c>
    </row>
    <row r="388" spans="1:35" x14ac:dyDescent="0.25">
      <c r="A388" s="6" t="str">
        <f>"471201"</f>
        <v>471201</v>
      </c>
      <c r="B388" s="6" t="s">
        <v>423</v>
      </c>
      <c r="C388" s="7">
        <v>9782477</v>
      </c>
      <c r="D388" s="7">
        <v>9806982</v>
      </c>
      <c r="E388" s="8">
        <v>0.25</v>
      </c>
      <c r="F388" s="7">
        <v>2905892</v>
      </c>
      <c r="G388" s="7">
        <v>2946655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2905892</v>
      </c>
      <c r="O388" s="7">
        <v>2946655</v>
      </c>
      <c r="P388" s="8">
        <v>1.4</v>
      </c>
      <c r="Q388" s="7">
        <v>221366</v>
      </c>
      <c r="R388" s="7">
        <v>217404</v>
      </c>
      <c r="S388" s="7">
        <v>2684526</v>
      </c>
      <c r="T388" s="7">
        <v>2729251</v>
      </c>
      <c r="U388" s="7">
        <v>2684526</v>
      </c>
      <c r="V388" s="7">
        <v>2729251</v>
      </c>
      <c r="W388" s="7">
        <v>0</v>
      </c>
      <c r="X388" s="7">
        <v>0</v>
      </c>
      <c r="Y388" s="7">
        <v>361</v>
      </c>
      <c r="Z388" s="7">
        <v>340</v>
      </c>
      <c r="AA388" s="8">
        <v>-5.82</v>
      </c>
      <c r="AB388" s="7">
        <v>1976881</v>
      </c>
      <c r="AC388" s="7">
        <v>2275646</v>
      </c>
      <c r="AD388" s="7">
        <v>45000</v>
      </c>
      <c r="AE388" s="7">
        <v>37500</v>
      </c>
      <c r="AF388" s="7">
        <v>901168</v>
      </c>
      <c r="AG388" s="7">
        <v>631080</v>
      </c>
      <c r="AH388" s="8">
        <v>9.2100000000000009</v>
      </c>
      <c r="AI388" s="8">
        <v>6.44</v>
      </c>
    </row>
    <row r="389" spans="1:35" x14ac:dyDescent="0.25">
      <c r="A389" s="6" t="str">
        <f>"512101"</f>
        <v>512101</v>
      </c>
      <c r="B389" s="6" t="s">
        <v>424</v>
      </c>
      <c r="C389" s="7">
        <v>10122278</v>
      </c>
      <c r="D389" s="7">
        <v>10293578</v>
      </c>
      <c r="E389" s="8">
        <v>1.69</v>
      </c>
      <c r="F389" s="7">
        <v>3614421</v>
      </c>
      <c r="G389" s="7">
        <v>3759522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3614421</v>
      </c>
      <c r="O389" s="7">
        <v>3759522</v>
      </c>
      <c r="P389" s="8">
        <v>4.01</v>
      </c>
      <c r="Q389" s="7">
        <v>0</v>
      </c>
      <c r="R389" s="7">
        <v>122606</v>
      </c>
      <c r="S389" s="7">
        <v>3614421</v>
      </c>
      <c r="T389" s="7">
        <v>3698026</v>
      </c>
      <c r="U389" s="7">
        <v>3614421</v>
      </c>
      <c r="V389" s="7">
        <v>3636916</v>
      </c>
      <c r="W389" s="7">
        <v>0</v>
      </c>
      <c r="X389" s="7">
        <v>61110</v>
      </c>
      <c r="Y389" s="7">
        <v>334</v>
      </c>
      <c r="Z389" s="7">
        <v>331</v>
      </c>
      <c r="AA389" s="8">
        <v>-0.9</v>
      </c>
      <c r="AB389" s="7">
        <v>1841793</v>
      </c>
      <c r="AC389" s="7">
        <v>1811793</v>
      </c>
      <c r="AD389" s="7">
        <v>1049854</v>
      </c>
      <c r="AE389" s="7">
        <v>1122572</v>
      </c>
      <c r="AF389" s="7">
        <v>404891</v>
      </c>
      <c r="AG389" s="7">
        <v>411743</v>
      </c>
      <c r="AH389" s="8">
        <v>4</v>
      </c>
      <c r="AI389" s="8">
        <v>4</v>
      </c>
    </row>
    <row r="390" spans="1:35" x14ac:dyDescent="0.25">
      <c r="A390" s="6" t="str">
        <f>"250401"</f>
        <v>250401</v>
      </c>
      <c r="B390" s="6" t="s">
        <v>425</v>
      </c>
      <c r="C390" s="7">
        <v>15290481</v>
      </c>
      <c r="D390" s="7">
        <v>15944075</v>
      </c>
      <c r="E390" s="8">
        <v>4.2699999999999996</v>
      </c>
      <c r="F390" s="7">
        <v>4415331</v>
      </c>
      <c r="G390" s="7">
        <v>4547349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4415331</v>
      </c>
      <c r="O390" s="7">
        <v>4547349</v>
      </c>
      <c r="P390" s="8">
        <v>2.99</v>
      </c>
      <c r="Q390" s="7">
        <v>0</v>
      </c>
      <c r="R390" s="7">
        <v>0</v>
      </c>
      <c r="S390" s="7">
        <v>4415331</v>
      </c>
      <c r="T390" s="7">
        <v>4570851</v>
      </c>
      <c r="U390" s="7">
        <v>4415331</v>
      </c>
      <c r="V390" s="7">
        <v>4547349</v>
      </c>
      <c r="W390" s="7">
        <v>0</v>
      </c>
      <c r="X390" s="7">
        <v>23502</v>
      </c>
      <c r="Y390" s="7">
        <v>687</v>
      </c>
      <c r="Z390" s="7">
        <v>682</v>
      </c>
      <c r="AA390" s="8">
        <v>-0.73</v>
      </c>
      <c r="AB390" s="7">
        <v>1155043</v>
      </c>
      <c r="AC390" s="7">
        <v>1200000</v>
      </c>
      <c r="AD390" s="7">
        <v>150000</v>
      </c>
      <c r="AE390" s="7">
        <v>150000</v>
      </c>
      <c r="AF390" s="7">
        <v>598990</v>
      </c>
      <c r="AG390" s="7">
        <v>650000</v>
      </c>
      <c r="AH390" s="8">
        <v>3.92</v>
      </c>
      <c r="AI390" s="8">
        <v>4.08</v>
      </c>
    </row>
    <row r="391" spans="1:35" x14ac:dyDescent="0.25">
      <c r="A391" s="6" t="str">
        <f>"212001"</f>
        <v>212001</v>
      </c>
      <c r="B391" s="6" t="s">
        <v>426</v>
      </c>
      <c r="C391" s="7">
        <v>25284379</v>
      </c>
      <c r="D391" s="7">
        <v>25735423</v>
      </c>
      <c r="E391" s="8">
        <v>1.78</v>
      </c>
      <c r="F391" s="7">
        <v>6625724</v>
      </c>
      <c r="G391" s="7">
        <v>6625724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6625724</v>
      </c>
      <c r="O391" s="7">
        <v>6625724</v>
      </c>
      <c r="P391" s="8">
        <v>0</v>
      </c>
      <c r="Q391" s="7">
        <v>312595</v>
      </c>
      <c r="R391" s="7">
        <v>196538</v>
      </c>
      <c r="S391" s="7">
        <v>6316618</v>
      </c>
      <c r="T391" s="7">
        <v>6430258</v>
      </c>
      <c r="U391" s="7">
        <v>6313129</v>
      </c>
      <c r="V391" s="7">
        <v>6429186</v>
      </c>
      <c r="W391" s="7">
        <v>3489</v>
      </c>
      <c r="X391" s="7">
        <v>1072</v>
      </c>
      <c r="Y391" s="7">
        <v>1049</v>
      </c>
      <c r="Z391" s="7">
        <v>1044</v>
      </c>
      <c r="AA391" s="8">
        <v>-0.48</v>
      </c>
      <c r="AB391" s="7">
        <v>4434100</v>
      </c>
      <c r="AC391" s="7">
        <v>4250000</v>
      </c>
      <c r="AD391" s="7">
        <v>556446</v>
      </c>
      <c r="AE391" s="7">
        <v>899483</v>
      </c>
      <c r="AF391" s="7">
        <v>1009577</v>
      </c>
      <c r="AG391" s="7">
        <v>1029417</v>
      </c>
      <c r="AH391" s="8">
        <v>3.99</v>
      </c>
      <c r="AI391" s="8">
        <v>4</v>
      </c>
    </row>
    <row r="392" spans="1:35" x14ac:dyDescent="0.25">
      <c r="A392" s="6" t="str">
        <f>"240901"</f>
        <v>240901</v>
      </c>
      <c r="B392" s="6" t="s">
        <v>427</v>
      </c>
      <c r="C392" s="7">
        <v>14503002</v>
      </c>
      <c r="D392" s="7">
        <v>15132408</v>
      </c>
      <c r="E392" s="8">
        <v>4.34</v>
      </c>
      <c r="F392" s="7">
        <v>4132873</v>
      </c>
      <c r="G392" s="7">
        <v>4165936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4132873</v>
      </c>
      <c r="O392" s="7">
        <v>4165936</v>
      </c>
      <c r="P392" s="8">
        <v>0.8</v>
      </c>
      <c r="Q392" s="7">
        <v>300072</v>
      </c>
      <c r="R392" s="7">
        <v>305758</v>
      </c>
      <c r="S392" s="7">
        <v>3835968</v>
      </c>
      <c r="T392" s="7">
        <v>3899508</v>
      </c>
      <c r="U392" s="7">
        <v>3832801</v>
      </c>
      <c r="V392" s="7">
        <v>3860178</v>
      </c>
      <c r="W392" s="7">
        <v>3167</v>
      </c>
      <c r="X392" s="7">
        <v>39330</v>
      </c>
      <c r="Y392" s="7">
        <v>601</v>
      </c>
      <c r="Z392" s="7">
        <v>606</v>
      </c>
      <c r="AA392" s="8">
        <v>0.83</v>
      </c>
      <c r="AB392" s="7">
        <v>2688566</v>
      </c>
      <c r="AC392" s="7">
        <v>2993062</v>
      </c>
      <c r="AD392" s="7">
        <v>300000</v>
      </c>
      <c r="AE392" s="7">
        <v>73500</v>
      </c>
      <c r="AF392" s="7">
        <v>580011</v>
      </c>
      <c r="AG392" s="7">
        <v>605296</v>
      </c>
      <c r="AH392" s="8">
        <v>4</v>
      </c>
      <c r="AI392" s="8">
        <v>4</v>
      </c>
    </row>
    <row r="393" spans="1:35" x14ac:dyDescent="0.25">
      <c r="A393" s="6" t="str">
        <f>"660801"</f>
        <v>660801</v>
      </c>
      <c r="B393" s="6" t="s">
        <v>428</v>
      </c>
      <c r="C393" s="7">
        <v>58931394</v>
      </c>
      <c r="D393" s="7">
        <v>58950394</v>
      </c>
      <c r="E393" s="8">
        <v>0.03</v>
      </c>
      <c r="F393" s="7">
        <v>50757990</v>
      </c>
      <c r="G393" s="7">
        <v>51406990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50757990</v>
      </c>
      <c r="O393" s="7">
        <v>51406990</v>
      </c>
      <c r="P393" s="8">
        <v>1.28</v>
      </c>
      <c r="Q393" s="7">
        <v>2876762</v>
      </c>
      <c r="R393" s="7">
        <v>2876157</v>
      </c>
      <c r="S393" s="7">
        <v>47881229</v>
      </c>
      <c r="T393" s="7">
        <v>48530834</v>
      </c>
      <c r="U393" s="7">
        <v>47881228</v>
      </c>
      <c r="V393" s="7">
        <v>48530833</v>
      </c>
      <c r="W393" s="7">
        <v>1</v>
      </c>
      <c r="X393" s="7">
        <v>1</v>
      </c>
      <c r="Y393" s="7">
        <v>1907</v>
      </c>
      <c r="Z393" s="7">
        <v>1913</v>
      </c>
      <c r="AA393" s="8">
        <v>0.31</v>
      </c>
      <c r="AB393" s="7">
        <v>4471525</v>
      </c>
      <c r="AC393" s="7">
        <v>4298238</v>
      </c>
      <c r="AD393" s="7">
        <v>637877</v>
      </c>
      <c r="AE393" s="7">
        <v>250000</v>
      </c>
      <c r="AF393" s="7">
        <v>2344367</v>
      </c>
      <c r="AG393" s="7">
        <v>2350000</v>
      </c>
      <c r="AH393" s="8">
        <v>3.98</v>
      </c>
      <c r="AI393" s="8">
        <v>3.99</v>
      </c>
    </row>
    <row r="394" spans="1:35" x14ac:dyDescent="0.25">
      <c r="A394" s="6" t="str">
        <f>"580207"</f>
        <v>580207</v>
      </c>
      <c r="B394" s="6" t="s">
        <v>429</v>
      </c>
      <c r="C394" s="7">
        <v>58054485</v>
      </c>
      <c r="D394" s="7">
        <v>59272525</v>
      </c>
      <c r="E394" s="8">
        <v>2.1</v>
      </c>
      <c r="F394" s="7">
        <v>38691900</v>
      </c>
      <c r="G394" s="7">
        <v>39350460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38691900</v>
      </c>
      <c r="O394" s="7">
        <v>39350460</v>
      </c>
      <c r="P394" s="8">
        <v>1.7</v>
      </c>
      <c r="Q394" s="7">
        <v>616266</v>
      </c>
      <c r="R394" s="7">
        <v>610930</v>
      </c>
      <c r="S394" s="7">
        <v>38075634</v>
      </c>
      <c r="T394" s="7">
        <v>38739530</v>
      </c>
      <c r="U394" s="7">
        <v>38075634</v>
      </c>
      <c r="V394" s="7">
        <v>38739530</v>
      </c>
      <c r="W394" s="7">
        <v>0</v>
      </c>
      <c r="X394" s="7">
        <v>0</v>
      </c>
      <c r="Y394" s="7">
        <v>2390</v>
      </c>
      <c r="Z394" s="7">
        <v>2332</v>
      </c>
      <c r="AA394" s="8">
        <v>-2.4300000000000002</v>
      </c>
      <c r="AB394" s="7">
        <v>5125000</v>
      </c>
      <c r="AC394" s="7">
        <v>5130000</v>
      </c>
      <c r="AD394" s="7">
        <v>1812065</v>
      </c>
      <c r="AE394" s="7">
        <v>3490240</v>
      </c>
      <c r="AF394" s="7">
        <v>5210000</v>
      </c>
      <c r="AG394" s="7">
        <v>2365000</v>
      </c>
      <c r="AH394" s="8">
        <v>8.9700000000000006</v>
      </c>
      <c r="AI394" s="8">
        <v>3.99</v>
      </c>
    </row>
    <row r="395" spans="1:35" x14ac:dyDescent="0.25">
      <c r="A395" s="6" t="str">
        <f>"660900"</f>
        <v>660900</v>
      </c>
      <c r="B395" s="6" t="s">
        <v>430</v>
      </c>
      <c r="C395" s="7">
        <v>238749835</v>
      </c>
      <c r="D395" s="7">
        <v>246169123</v>
      </c>
      <c r="E395" s="8">
        <v>3.11</v>
      </c>
      <c r="F395" s="7">
        <v>134077473</v>
      </c>
      <c r="G395" s="7">
        <v>134077473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134077473</v>
      </c>
      <c r="O395" s="7">
        <v>134077473</v>
      </c>
      <c r="P395" s="8">
        <v>0</v>
      </c>
      <c r="Q395" s="7">
        <v>4824338</v>
      </c>
      <c r="R395" s="7">
        <v>5119913</v>
      </c>
      <c r="S395" s="7">
        <v>129615302</v>
      </c>
      <c r="T395" s="7">
        <v>131094825</v>
      </c>
      <c r="U395" s="7">
        <v>129253135</v>
      </c>
      <c r="V395" s="7">
        <v>128957560</v>
      </c>
      <c r="W395" s="7">
        <v>362167</v>
      </c>
      <c r="X395" s="7">
        <v>2137265</v>
      </c>
      <c r="Y395" s="7">
        <v>8275</v>
      </c>
      <c r="Z395" s="7">
        <v>8061</v>
      </c>
      <c r="AA395" s="8">
        <v>-2.59</v>
      </c>
      <c r="AB395" s="7">
        <v>16756573</v>
      </c>
      <c r="AC395" s="7">
        <v>19924388</v>
      </c>
      <c r="AD395" s="7">
        <v>2576554</v>
      </c>
      <c r="AE395" s="7">
        <v>6332450</v>
      </c>
      <c r="AF395" s="7">
        <v>7451834</v>
      </c>
      <c r="AG395" s="7">
        <v>7185401</v>
      </c>
      <c r="AH395" s="8">
        <v>3.12</v>
      </c>
      <c r="AI395" s="8">
        <v>2.92</v>
      </c>
    </row>
    <row r="396" spans="1:35" x14ac:dyDescent="0.25">
      <c r="A396" s="6" t="str">
        <f>"500108"</f>
        <v>500108</v>
      </c>
      <c r="B396" s="6" t="s">
        <v>431</v>
      </c>
      <c r="C396" s="7">
        <v>70919121</v>
      </c>
      <c r="D396" s="7">
        <v>71967897</v>
      </c>
      <c r="E396" s="8">
        <v>1.48</v>
      </c>
      <c r="F396" s="7">
        <v>52526873</v>
      </c>
      <c r="G396" s="7">
        <v>54363308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52526873</v>
      </c>
      <c r="O396" s="7">
        <v>54363308</v>
      </c>
      <c r="P396" s="8">
        <v>3.5</v>
      </c>
      <c r="Q396" s="7">
        <v>5098166</v>
      </c>
      <c r="R396" s="7">
        <v>5788412</v>
      </c>
      <c r="S396" s="7">
        <v>47428707</v>
      </c>
      <c r="T396" s="7">
        <v>48574896</v>
      </c>
      <c r="U396" s="7">
        <v>47428707</v>
      </c>
      <c r="V396" s="7">
        <v>48574896</v>
      </c>
      <c r="W396" s="7">
        <v>0</v>
      </c>
      <c r="X396" s="7">
        <v>0</v>
      </c>
      <c r="Y396" s="7">
        <v>2233</v>
      </c>
      <c r="Z396" s="7">
        <v>2226</v>
      </c>
      <c r="AA396" s="8">
        <v>-0.31</v>
      </c>
      <c r="AB396" s="7">
        <v>6017526</v>
      </c>
      <c r="AC396" s="7">
        <v>5017526</v>
      </c>
      <c r="AD396" s="7">
        <v>2797340</v>
      </c>
      <c r="AE396" s="7">
        <v>3362984</v>
      </c>
      <c r="AF396" s="7">
        <v>2836764</v>
      </c>
      <c r="AG396" s="7">
        <v>2878712</v>
      </c>
      <c r="AH396" s="8">
        <v>4</v>
      </c>
      <c r="AI396" s="8">
        <v>4</v>
      </c>
    </row>
    <row r="397" spans="1:35" x14ac:dyDescent="0.25">
      <c r="A397" s="6" t="str">
        <f>"431201"</f>
        <v>431201</v>
      </c>
      <c r="B397" s="6" t="s">
        <v>432</v>
      </c>
      <c r="C397" s="7">
        <v>19735890</v>
      </c>
      <c r="D397" s="7">
        <v>19919355</v>
      </c>
      <c r="E397" s="8">
        <v>0.93</v>
      </c>
      <c r="F397" s="7">
        <v>10786474</v>
      </c>
      <c r="G397" s="7">
        <v>10994739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10786474</v>
      </c>
      <c r="O397" s="7">
        <v>10994739</v>
      </c>
      <c r="P397" s="8">
        <v>1.93</v>
      </c>
      <c r="Q397" s="7">
        <v>812360</v>
      </c>
      <c r="R397" s="7">
        <v>819438</v>
      </c>
      <c r="S397" s="7">
        <v>9974114</v>
      </c>
      <c r="T397" s="7">
        <v>10175301</v>
      </c>
      <c r="U397" s="7">
        <v>9974114</v>
      </c>
      <c r="V397" s="7">
        <v>10175301</v>
      </c>
      <c r="W397" s="7">
        <v>0</v>
      </c>
      <c r="X397" s="7">
        <v>0</v>
      </c>
      <c r="Y397" s="7">
        <v>689</v>
      </c>
      <c r="Z397" s="7">
        <v>680</v>
      </c>
      <c r="AA397" s="8">
        <v>-1.31</v>
      </c>
      <c r="AB397" s="7">
        <v>7372805</v>
      </c>
      <c r="AC397" s="7">
        <v>7972805</v>
      </c>
      <c r="AD397" s="7">
        <v>650000</v>
      </c>
      <c r="AE397" s="7">
        <v>550000</v>
      </c>
      <c r="AF397" s="7">
        <v>789435</v>
      </c>
      <c r="AG397" s="7">
        <v>796774</v>
      </c>
      <c r="AH397" s="8">
        <v>4</v>
      </c>
      <c r="AI397" s="8">
        <v>4</v>
      </c>
    </row>
    <row r="398" spans="1:35" x14ac:dyDescent="0.25">
      <c r="A398" s="6" t="str">
        <f>"411501"</f>
        <v>411501</v>
      </c>
      <c r="B398" s="6" t="s">
        <v>433</v>
      </c>
      <c r="C398" s="7">
        <v>50380171</v>
      </c>
      <c r="D398" s="7">
        <v>52138439</v>
      </c>
      <c r="E398" s="8">
        <v>3.49</v>
      </c>
      <c r="F398" s="7">
        <v>34033730</v>
      </c>
      <c r="G398" s="7">
        <v>34800284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34033730</v>
      </c>
      <c r="O398" s="7">
        <v>34800284</v>
      </c>
      <c r="P398" s="8">
        <v>2.25</v>
      </c>
      <c r="Q398" s="7">
        <v>1090657</v>
      </c>
      <c r="R398" s="7">
        <v>1574135</v>
      </c>
      <c r="S398" s="7">
        <v>32943073</v>
      </c>
      <c r="T398" s="7">
        <v>33226149</v>
      </c>
      <c r="U398" s="7">
        <v>32943073</v>
      </c>
      <c r="V398" s="7">
        <v>33226149</v>
      </c>
      <c r="W398" s="7">
        <v>0</v>
      </c>
      <c r="X398" s="7">
        <v>0</v>
      </c>
      <c r="Y398" s="7">
        <v>2601</v>
      </c>
      <c r="Z398" s="7">
        <v>2604</v>
      </c>
      <c r="AA398" s="8">
        <v>0.12</v>
      </c>
      <c r="AB398" s="7">
        <v>2373990</v>
      </c>
      <c r="AC398" s="7">
        <v>2373990</v>
      </c>
      <c r="AD398" s="7">
        <v>1253265</v>
      </c>
      <c r="AE398" s="7">
        <v>1110290</v>
      </c>
      <c r="AF398" s="7">
        <v>1538650</v>
      </c>
      <c r="AG398" s="7">
        <v>1581625</v>
      </c>
      <c r="AH398" s="8">
        <v>3.05</v>
      </c>
      <c r="AI398" s="8">
        <v>3.03</v>
      </c>
    </row>
    <row r="399" spans="1:35" x14ac:dyDescent="0.25">
      <c r="A399" s="6" t="str">
        <f>"280405"</f>
        <v>280405</v>
      </c>
      <c r="B399" s="6" t="s">
        <v>434</v>
      </c>
      <c r="C399" s="7">
        <v>37527240</v>
      </c>
      <c r="D399" s="7">
        <v>38215400</v>
      </c>
      <c r="E399" s="8">
        <v>1.83</v>
      </c>
      <c r="F399" s="7">
        <v>29361594</v>
      </c>
      <c r="G399" s="7">
        <v>29973390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29361594</v>
      </c>
      <c r="O399" s="7">
        <v>29973390</v>
      </c>
      <c r="P399" s="8">
        <v>2.08</v>
      </c>
      <c r="Q399" s="7">
        <v>803876</v>
      </c>
      <c r="R399" s="7">
        <v>930015</v>
      </c>
      <c r="S399" s="7">
        <v>28557718</v>
      </c>
      <c r="T399" s="7">
        <v>29043375</v>
      </c>
      <c r="U399" s="7">
        <v>28557718</v>
      </c>
      <c r="V399" s="7">
        <v>29043375</v>
      </c>
      <c r="W399" s="7">
        <v>0</v>
      </c>
      <c r="X399" s="7">
        <v>0</v>
      </c>
      <c r="Y399" s="7">
        <v>1711</v>
      </c>
      <c r="Z399" s="7">
        <v>1742</v>
      </c>
      <c r="AA399" s="8">
        <v>1.81</v>
      </c>
      <c r="AB399" s="7">
        <v>9006567</v>
      </c>
      <c r="AC399" s="7">
        <v>9157291</v>
      </c>
      <c r="AD399" s="7">
        <v>932955</v>
      </c>
      <c r="AE399" s="7">
        <v>797087</v>
      </c>
      <c r="AF399" s="7">
        <v>1501089</v>
      </c>
      <c r="AG399" s="7">
        <v>1528616</v>
      </c>
      <c r="AH399" s="8">
        <v>4</v>
      </c>
      <c r="AI399" s="8">
        <v>4</v>
      </c>
    </row>
    <row r="400" spans="1:35" x14ac:dyDescent="0.25">
      <c r="A400" s="6" t="str">
        <f>"101601"</f>
        <v>101601</v>
      </c>
      <c r="B400" s="6" t="s">
        <v>435</v>
      </c>
      <c r="C400" s="7">
        <v>12554205</v>
      </c>
      <c r="D400" s="7">
        <v>12409824</v>
      </c>
      <c r="E400" s="8">
        <v>-1.1499999999999999</v>
      </c>
      <c r="F400" s="7">
        <v>8523344</v>
      </c>
      <c r="G400" s="7">
        <v>8422589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8523344</v>
      </c>
      <c r="O400" s="7">
        <v>8422589</v>
      </c>
      <c r="P400" s="8">
        <v>-1.18</v>
      </c>
      <c r="Q400" s="7">
        <v>339368</v>
      </c>
      <c r="R400" s="7">
        <v>466817</v>
      </c>
      <c r="S400" s="7">
        <v>8185020</v>
      </c>
      <c r="T400" s="7">
        <v>8427811</v>
      </c>
      <c r="U400" s="7">
        <v>8183976</v>
      </c>
      <c r="V400" s="7">
        <v>7955772</v>
      </c>
      <c r="W400" s="7">
        <v>1044</v>
      </c>
      <c r="X400" s="7">
        <v>472039</v>
      </c>
      <c r="Y400" s="7">
        <v>403</v>
      </c>
      <c r="Z400" s="7">
        <v>413</v>
      </c>
      <c r="AA400" s="8">
        <v>2.48</v>
      </c>
      <c r="AB400" s="7">
        <v>1347357</v>
      </c>
      <c r="AC400" s="7">
        <v>1946885</v>
      </c>
      <c r="AD400" s="7">
        <v>0</v>
      </c>
      <c r="AE400" s="7">
        <v>0</v>
      </c>
      <c r="AF400" s="7">
        <v>502168</v>
      </c>
      <c r="AG400" s="7">
        <v>497000</v>
      </c>
      <c r="AH400" s="8">
        <v>4</v>
      </c>
      <c r="AI400" s="8">
        <v>4</v>
      </c>
    </row>
    <row r="401" spans="1:35" x14ac:dyDescent="0.25">
      <c r="A401" s="6" t="str">
        <f>"621101"</f>
        <v>621101</v>
      </c>
      <c r="B401" s="6" t="s">
        <v>436</v>
      </c>
      <c r="C401" s="7">
        <v>57000000</v>
      </c>
      <c r="D401" s="7">
        <v>59000000</v>
      </c>
      <c r="E401" s="8">
        <v>3.51</v>
      </c>
      <c r="F401" s="7">
        <v>40120000</v>
      </c>
      <c r="G401" s="7">
        <v>41060000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40120000</v>
      </c>
      <c r="O401" s="7">
        <v>41060000</v>
      </c>
      <c r="P401" s="8">
        <v>2.34</v>
      </c>
      <c r="Q401" s="7">
        <v>2447977</v>
      </c>
      <c r="R401" s="7">
        <v>2249978</v>
      </c>
      <c r="S401" s="7">
        <v>37247023</v>
      </c>
      <c r="T401" s="7">
        <v>38350057</v>
      </c>
      <c r="U401" s="7">
        <v>37672023</v>
      </c>
      <c r="V401" s="7">
        <v>38810022</v>
      </c>
      <c r="W401" s="7">
        <v>-425000</v>
      </c>
      <c r="X401" s="7">
        <v>-459965</v>
      </c>
      <c r="Y401" s="7">
        <v>2211</v>
      </c>
      <c r="Z401" s="7">
        <v>2179</v>
      </c>
      <c r="AA401" s="8">
        <v>-1.45</v>
      </c>
      <c r="AB401" s="7">
        <v>503700</v>
      </c>
      <c r="AC401" s="7">
        <v>503700</v>
      </c>
      <c r="AD401" s="7">
        <v>1000000</v>
      </c>
      <c r="AE401" s="7">
        <v>1500000</v>
      </c>
      <c r="AF401" s="7">
        <v>2103338</v>
      </c>
      <c r="AG401" s="7">
        <v>1200000</v>
      </c>
      <c r="AH401" s="8">
        <v>3.69</v>
      </c>
      <c r="AI401" s="8">
        <v>2.0299999999999998</v>
      </c>
    </row>
    <row r="402" spans="1:35" x14ac:dyDescent="0.25">
      <c r="A402" s="6" t="str">
        <f>"661100"</f>
        <v>661100</v>
      </c>
      <c r="B402" s="6" t="s">
        <v>437</v>
      </c>
      <c r="C402" s="7">
        <v>253685636</v>
      </c>
      <c r="D402" s="7">
        <v>259622488</v>
      </c>
      <c r="E402" s="8">
        <v>2.34</v>
      </c>
      <c r="F402" s="7">
        <v>200442810</v>
      </c>
      <c r="G402" s="7">
        <v>204441642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200442810</v>
      </c>
      <c r="O402" s="7">
        <v>204441642</v>
      </c>
      <c r="P402" s="8">
        <v>1.99</v>
      </c>
      <c r="Q402" s="7">
        <v>7375041</v>
      </c>
      <c r="R402" s="7">
        <v>7733417</v>
      </c>
      <c r="S402" s="7">
        <v>193067769</v>
      </c>
      <c r="T402" s="7">
        <v>196708225</v>
      </c>
      <c r="U402" s="7">
        <v>193067769</v>
      </c>
      <c r="V402" s="7">
        <v>196708225</v>
      </c>
      <c r="W402" s="7">
        <v>0</v>
      </c>
      <c r="X402" s="7">
        <v>0</v>
      </c>
      <c r="Y402" s="7">
        <v>10678</v>
      </c>
      <c r="Z402" s="7">
        <v>10716</v>
      </c>
      <c r="AA402" s="8">
        <v>0.36</v>
      </c>
      <c r="AB402" s="7">
        <v>7550000</v>
      </c>
      <c r="AC402" s="7">
        <v>7600000</v>
      </c>
      <c r="AD402" s="7">
        <v>0</v>
      </c>
      <c r="AE402" s="7">
        <v>533820</v>
      </c>
      <c r="AF402" s="7">
        <v>10147425</v>
      </c>
      <c r="AG402" s="7">
        <v>10384900</v>
      </c>
      <c r="AH402" s="8">
        <v>4</v>
      </c>
      <c r="AI402" s="8">
        <v>4</v>
      </c>
    </row>
    <row r="403" spans="1:35" x14ac:dyDescent="0.25">
      <c r="A403" s="6" t="str">
        <f>"650101"</f>
        <v>650101</v>
      </c>
      <c r="B403" s="6" t="s">
        <v>438</v>
      </c>
      <c r="C403" s="7">
        <v>47636565</v>
      </c>
      <c r="D403" s="7">
        <v>48356781</v>
      </c>
      <c r="E403" s="8">
        <v>1.51</v>
      </c>
      <c r="F403" s="7">
        <v>12567974</v>
      </c>
      <c r="G403" s="7">
        <v>12567974</v>
      </c>
      <c r="H403" s="7">
        <v>486428</v>
      </c>
      <c r="I403" s="7">
        <v>535071</v>
      </c>
      <c r="J403" s="7">
        <v>0</v>
      </c>
      <c r="K403" s="7">
        <v>0</v>
      </c>
      <c r="L403" s="7">
        <v>0</v>
      </c>
      <c r="M403" s="7">
        <v>0</v>
      </c>
      <c r="N403" s="7">
        <v>13054402</v>
      </c>
      <c r="O403" s="7">
        <v>13103045</v>
      </c>
      <c r="P403" s="8">
        <v>0.37</v>
      </c>
      <c r="Q403" s="7">
        <v>0</v>
      </c>
      <c r="R403" s="7">
        <v>0</v>
      </c>
      <c r="S403" s="7">
        <v>12567974</v>
      </c>
      <c r="T403" s="7">
        <v>12794150</v>
      </c>
      <c r="U403" s="7">
        <v>12567974</v>
      </c>
      <c r="V403" s="7">
        <v>12567974</v>
      </c>
      <c r="W403" s="7">
        <v>0</v>
      </c>
      <c r="X403" s="7">
        <v>226176</v>
      </c>
      <c r="Y403" s="7">
        <v>2051</v>
      </c>
      <c r="Z403" s="7">
        <v>2070</v>
      </c>
      <c r="AA403" s="8">
        <v>0.93</v>
      </c>
      <c r="AB403" s="7">
        <v>9204077</v>
      </c>
      <c r="AC403" s="7">
        <v>8810184</v>
      </c>
      <c r="AD403" s="7">
        <v>574574</v>
      </c>
      <c r="AE403" s="7">
        <v>550000</v>
      </c>
      <c r="AF403" s="7">
        <v>1667280</v>
      </c>
      <c r="AG403" s="7">
        <v>1740844</v>
      </c>
      <c r="AH403" s="8">
        <v>3.5</v>
      </c>
      <c r="AI403" s="8">
        <v>3.6</v>
      </c>
    </row>
    <row r="404" spans="1:35" x14ac:dyDescent="0.25">
      <c r="A404" s="6" t="str">
        <f>"600402"</f>
        <v>600402</v>
      </c>
      <c r="B404" s="6" t="s">
        <v>439</v>
      </c>
      <c r="C404" s="7">
        <v>25043855</v>
      </c>
      <c r="D404" s="7">
        <v>25890854</v>
      </c>
      <c r="E404" s="8">
        <v>3.38</v>
      </c>
      <c r="F404" s="7">
        <v>7665427</v>
      </c>
      <c r="G404" s="7">
        <v>7786807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7665427</v>
      </c>
      <c r="O404" s="7">
        <v>7786807</v>
      </c>
      <c r="P404" s="8">
        <v>1.58</v>
      </c>
      <c r="Q404" s="7">
        <v>56038</v>
      </c>
      <c r="R404" s="7">
        <v>85440</v>
      </c>
      <c r="S404" s="7">
        <v>7624868</v>
      </c>
      <c r="T404" s="7">
        <v>7729367</v>
      </c>
      <c r="U404" s="7">
        <v>7609389</v>
      </c>
      <c r="V404" s="7">
        <v>7701367</v>
      </c>
      <c r="W404" s="7">
        <v>15479</v>
      </c>
      <c r="X404" s="7">
        <v>28000</v>
      </c>
      <c r="Y404" s="7">
        <v>1168</v>
      </c>
      <c r="Z404" s="7">
        <v>1168</v>
      </c>
      <c r="AA404" s="8">
        <v>0</v>
      </c>
      <c r="AB404" s="7">
        <v>2664142</v>
      </c>
      <c r="AC404" s="7">
        <v>3489058</v>
      </c>
      <c r="AD404" s="7">
        <v>800000</v>
      </c>
      <c r="AE404" s="7">
        <v>800000</v>
      </c>
      <c r="AF404" s="7">
        <v>892205</v>
      </c>
      <c r="AG404" s="7">
        <v>971450</v>
      </c>
      <c r="AH404" s="8">
        <v>3.56</v>
      </c>
      <c r="AI404" s="8">
        <v>3.75</v>
      </c>
    </row>
    <row r="405" spans="1:35" x14ac:dyDescent="0.25">
      <c r="A405" s="6" t="str">
        <f>"441600"</f>
        <v>441600</v>
      </c>
      <c r="B405" s="6" t="s">
        <v>440</v>
      </c>
      <c r="C405" s="7">
        <v>264314605</v>
      </c>
      <c r="D405" s="7">
        <v>267828000</v>
      </c>
      <c r="E405" s="8">
        <v>1.33</v>
      </c>
      <c r="F405" s="7">
        <v>110792248</v>
      </c>
      <c r="G405" s="7">
        <v>110754396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110792248</v>
      </c>
      <c r="O405" s="7">
        <v>110754396</v>
      </c>
      <c r="P405" s="8">
        <v>-0.03</v>
      </c>
      <c r="Q405" s="7">
        <v>2225181</v>
      </c>
      <c r="R405" s="7">
        <v>2002941</v>
      </c>
      <c r="S405" s="7">
        <v>108567068</v>
      </c>
      <c r="T405" s="7">
        <v>110902306</v>
      </c>
      <c r="U405" s="7">
        <v>108567067</v>
      </c>
      <c r="V405" s="7">
        <v>108751455</v>
      </c>
      <c r="W405" s="7">
        <v>1</v>
      </c>
      <c r="X405" s="7">
        <v>2150851</v>
      </c>
      <c r="Y405" s="7">
        <v>11482</v>
      </c>
      <c r="Z405" s="7">
        <v>11338</v>
      </c>
      <c r="AA405" s="8">
        <v>-1.25</v>
      </c>
      <c r="AB405" s="7">
        <v>24637580</v>
      </c>
      <c r="AC405" s="7">
        <v>27122193</v>
      </c>
      <c r="AD405" s="7">
        <v>578085</v>
      </c>
      <c r="AE405" s="7">
        <v>500000</v>
      </c>
      <c r="AF405" s="7">
        <v>9599125</v>
      </c>
      <c r="AG405" s="7">
        <v>10684000</v>
      </c>
      <c r="AH405" s="8">
        <v>3.63</v>
      </c>
      <c r="AI405" s="8">
        <v>3.99</v>
      </c>
    </row>
    <row r="406" spans="1:35" x14ac:dyDescent="0.25">
      <c r="A406" s="6" t="str">
        <f>"151001"</f>
        <v>151001</v>
      </c>
      <c r="B406" s="6" t="s">
        <v>441</v>
      </c>
      <c r="C406" s="7">
        <v>6397802</v>
      </c>
      <c r="D406" s="7">
        <v>6581401</v>
      </c>
      <c r="E406" s="8">
        <v>2.87</v>
      </c>
      <c r="F406" s="7">
        <v>4466702</v>
      </c>
      <c r="G406" s="7">
        <v>4604801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4466702</v>
      </c>
      <c r="O406" s="7">
        <v>4604801</v>
      </c>
      <c r="P406" s="8">
        <v>3.09</v>
      </c>
      <c r="Q406" s="7">
        <v>603461</v>
      </c>
      <c r="R406" s="7">
        <v>610226</v>
      </c>
      <c r="S406" s="7">
        <v>3864072</v>
      </c>
      <c r="T406" s="7">
        <v>3995593</v>
      </c>
      <c r="U406" s="7">
        <v>3863241</v>
      </c>
      <c r="V406" s="7">
        <v>3994575</v>
      </c>
      <c r="W406" s="7">
        <v>831</v>
      </c>
      <c r="X406" s="7">
        <v>1018</v>
      </c>
      <c r="Y406" s="7">
        <v>92</v>
      </c>
      <c r="Z406" s="7">
        <v>86</v>
      </c>
      <c r="AA406" s="8">
        <v>-6.52</v>
      </c>
      <c r="AB406" s="7">
        <v>1305408</v>
      </c>
      <c r="AC406" s="7">
        <v>920000</v>
      </c>
      <c r="AD406" s="7">
        <v>792000</v>
      </c>
      <c r="AE406" s="7">
        <v>647000</v>
      </c>
      <c r="AF406" s="7">
        <v>513408</v>
      </c>
      <c r="AG406" s="7">
        <v>273000</v>
      </c>
      <c r="AH406" s="8">
        <v>8.02</v>
      </c>
      <c r="AI406" s="8">
        <v>4.1500000000000004</v>
      </c>
    </row>
    <row r="407" spans="1:35" x14ac:dyDescent="0.25">
      <c r="A407" s="6" t="str">
        <f>"400601"</f>
        <v>400601</v>
      </c>
      <c r="B407" s="6" t="s">
        <v>442</v>
      </c>
      <c r="C407" s="7">
        <v>33887072</v>
      </c>
      <c r="D407" s="7">
        <v>34234845</v>
      </c>
      <c r="E407" s="8">
        <v>1.03</v>
      </c>
      <c r="F407" s="7">
        <v>12895669</v>
      </c>
      <c r="G407" s="7">
        <v>13024626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12895669</v>
      </c>
      <c r="O407" s="7">
        <v>13024626</v>
      </c>
      <c r="P407" s="8">
        <v>1</v>
      </c>
      <c r="Q407" s="16">
        <v>0</v>
      </c>
      <c r="R407" s="16">
        <v>0</v>
      </c>
      <c r="S407" s="17">
        <v>12895669</v>
      </c>
      <c r="T407" s="17">
        <v>13024626</v>
      </c>
      <c r="U407" s="18">
        <v>12895669</v>
      </c>
      <c r="V407" s="18">
        <v>13024626</v>
      </c>
      <c r="W407" s="18">
        <v>405670</v>
      </c>
      <c r="X407" s="18">
        <v>381052</v>
      </c>
      <c r="Y407" s="7">
        <v>1565</v>
      </c>
      <c r="Z407" s="7">
        <v>1525</v>
      </c>
      <c r="AA407" s="8">
        <v>-2.56</v>
      </c>
      <c r="AB407" s="7">
        <v>14538955</v>
      </c>
      <c r="AC407" s="7">
        <v>14538955</v>
      </c>
      <c r="AD407" s="7">
        <v>1515680</v>
      </c>
      <c r="AE407" s="7">
        <v>2962425</v>
      </c>
      <c r="AF407" s="7">
        <v>5000000</v>
      </c>
      <c r="AG407" s="7">
        <v>3000000</v>
      </c>
      <c r="AH407" s="8">
        <v>14.75</v>
      </c>
      <c r="AI407" s="8">
        <v>8.76</v>
      </c>
    </row>
    <row r="408" spans="1:35" x14ac:dyDescent="0.25">
      <c r="A408" s="6" t="str">
        <f>"610901"</f>
        <v>610901</v>
      </c>
      <c r="B408" s="6" t="s">
        <v>443</v>
      </c>
      <c r="C408" s="7">
        <v>18398959</v>
      </c>
      <c r="D408" s="7">
        <v>19096781</v>
      </c>
      <c r="E408" s="8">
        <v>3.79</v>
      </c>
      <c r="F408" s="7">
        <v>5492919</v>
      </c>
      <c r="G408" s="7">
        <v>5617939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5492919</v>
      </c>
      <c r="O408" s="7">
        <v>5617939</v>
      </c>
      <c r="P408" s="8">
        <v>2.2799999999999998</v>
      </c>
      <c r="Q408" s="7">
        <v>117535</v>
      </c>
      <c r="R408" s="7">
        <v>117535</v>
      </c>
      <c r="S408" s="7">
        <v>5375384</v>
      </c>
      <c r="T408" s="7">
        <v>5500404</v>
      </c>
      <c r="U408" s="7">
        <v>5375384</v>
      </c>
      <c r="V408" s="7">
        <v>5500404</v>
      </c>
      <c r="W408" s="7">
        <v>0</v>
      </c>
      <c r="X408" s="7">
        <v>0</v>
      </c>
      <c r="Y408" s="7">
        <v>811</v>
      </c>
      <c r="Z408" s="7">
        <v>815</v>
      </c>
      <c r="AA408" s="8">
        <v>0.49</v>
      </c>
      <c r="AB408" s="7">
        <v>2289027</v>
      </c>
      <c r="AC408" s="7">
        <v>2489027</v>
      </c>
      <c r="AD408" s="7">
        <v>315512</v>
      </c>
      <c r="AE408" s="7">
        <v>315512</v>
      </c>
      <c r="AF408" s="7">
        <v>735958</v>
      </c>
      <c r="AG408" s="7">
        <v>763871</v>
      </c>
      <c r="AH408" s="8">
        <v>4</v>
      </c>
      <c r="AI408" s="8">
        <v>4</v>
      </c>
    </row>
    <row r="409" spans="1:35" x14ac:dyDescent="0.25">
      <c r="A409" s="6" t="str">
        <f>"400800"</f>
        <v>400800</v>
      </c>
      <c r="B409" s="6" t="s">
        <v>444</v>
      </c>
      <c r="C409" s="7">
        <v>137055127</v>
      </c>
      <c r="D409" s="7">
        <v>140921509</v>
      </c>
      <c r="E409" s="8">
        <v>2.82</v>
      </c>
      <c r="F409" s="7">
        <v>25828989</v>
      </c>
      <c r="G409" s="7">
        <v>25828989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25828989</v>
      </c>
      <c r="O409" s="7">
        <v>25828989</v>
      </c>
      <c r="P409" s="8">
        <v>0</v>
      </c>
      <c r="Q409" s="7">
        <v>2716553</v>
      </c>
      <c r="R409" s="7">
        <v>2069003</v>
      </c>
      <c r="S409" s="7">
        <v>23487949</v>
      </c>
      <c r="T409" s="7">
        <v>23477668</v>
      </c>
      <c r="U409" s="7">
        <v>23112436</v>
      </c>
      <c r="V409" s="7">
        <v>23759986</v>
      </c>
      <c r="W409" s="7">
        <v>375513</v>
      </c>
      <c r="X409" s="7">
        <v>-282318</v>
      </c>
      <c r="Y409" s="7">
        <v>7100</v>
      </c>
      <c r="Z409" s="7">
        <v>7100</v>
      </c>
      <c r="AA409" s="8">
        <v>0</v>
      </c>
      <c r="AB409" s="7">
        <v>6368828</v>
      </c>
      <c r="AC409" s="7">
        <v>4148598</v>
      </c>
      <c r="AD409" s="7">
        <v>1475677</v>
      </c>
      <c r="AE409" s="7">
        <v>2971629</v>
      </c>
      <c r="AF409" s="7">
        <v>5482205</v>
      </c>
      <c r="AG409" s="7">
        <v>3010576</v>
      </c>
      <c r="AH409" s="8">
        <v>4</v>
      </c>
      <c r="AI409" s="8">
        <v>2.14</v>
      </c>
    </row>
    <row r="410" spans="1:35" x14ac:dyDescent="0.25">
      <c r="A410" s="6" t="str">
        <f>"400701"</f>
        <v>400701</v>
      </c>
      <c r="B410" s="6" t="s">
        <v>445</v>
      </c>
      <c r="C410" s="7">
        <v>68985223</v>
      </c>
      <c r="D410" s="7">
        <v>70518028</v>
      </c>
      <c r="E410" s="8">
        <v>2.2200000000000002</v>
      </c>
      <c r="F410" s="7">
        <v>31960121</v>
      </c>
      <c r="G410" s="7">
        <v>32178516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31960121</v>
      </c>
      <c r="O410" s="7">
        <v>32178516</v>
      </c>
      <c r="P410" s="8">
        <v>0.68</v>
      </c>
      <c r="Q410" s="7">
        <v>1545475</v>
      </c>
      <c r="R410" s="7">
        <v>1341612</v>
      </c>
      <c r="S410" s="7">
        <v>31414646</v>
      </c>
      <c r="T410" s="7">
        <v>30836904</v>
      </c>
      <c r="U410" s="7">
        <v>30414646</v>
      </c>
      <c r="V410" s="7">
        <v>30836904</v>
      </c>
      <c r="W410" s="7">
        <v>1000000</v>
      </c>
      <c r="X410" s="7">
        <v>0</v>
      </c>
      <c r="Y410" s="7">
        <v>3645</v>
      </c>
      <c r="Z410" s="7">
        <v>3597</v>
      </c>
      <c r="AA410" s="8">
        <v>-1.32</v>
      </c>
      <c r="AB410" s="7">
        <v>10662355</v>
      </c>
      <c r="AC410" s="7">
        <v>11382251</v>
      </c>
      <c r="AD410" s="7">
        <v>0</v>
      </c>
      <c r="AE410" s="7">
        <v>0</v>
      </c>
      <c r="AF410" s="7">
        <v>2759409</v>
      </c>
      <c r="AG410" s="7">
        <v>2819655</v>
      </c>
      <c r="AH410" s="8">
        <v>4</v>
      </c>
      <c r="AI410" s="8">
        <v>4</v>
      </c>
    </row>
    <row r="411" spans="1:35" x14ac:dyDescent="0.25">
      <c r="A411" s="6" t="str">
        <f>"530301"</f>
        <v>530301</v>
      </c>
      <c r="B411" s="6" t="s">
        <v>446</v>
      </c>
      <c r="C411" s="7">
        <v>80442905</v>
      </c>
      <c r="D411" s="7">
        <v>81400312</v>
      </c>
      <c r="E411" s="8">
        <v>1.19</v>
      </c>
      <c r="F411" s="7">
        <v>54443652</v>
      </c>
      <c r="G411" s="7">
        <v>55575524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54443652</v>
      </c>
      <c r="O411" s="7">
        <v>55575524</v>
      </c>
      <c r="P411" s="8">
        <v>2.08</v>
      </c>
      <c r="Q411" s="7">
        <v>3234019</v>
      </c>
      <c r="R411" s="7">
        <v>3187594</v>
      </c>
      <c r="S411" s="7">
        <v>51209633</v>
      </c>
      <c r="T411" s="7">
        <v>52387930</v>
      </c>
      <c r="U411" s="7">
        <v>51209633</v>
      </c>
      <c r="V411" s="7">
        <v>52387930</v>
      </c>
      <c r="W411" s="7">
        <v>0</v>
      </c>
      <c r="X411" s="7">
        <v>0</v>
      </c>
      <c r="Y411" s="7">
        <v>4232</v>
      </c>
      <c r="Z411" s="7">
        <v>4230</v>
      </c>
      <c r="AA411" s="8">
        <v>-0.05</v>
      </c>
      <c r="AB411" s="7">
        <v>4038586</v>
      </c>
      <c r="AC411" s="7">
        <v>5038586</v>
      </c>
      <c r="AD411" s="7">
        <v>1563500</v>
      </c>
      <c r="AE411" s="7">
        <v>1563500</v>
      </c>
      <c r="AF411" s="7">
        <v>3217716</v>
      </c>
      <c r="AG411" s="7">
        <v>3256012</v>
      </c>
      <c r="AH411" s="8">
        <v>4</v>
      </c>
      <c r="AI411" s="8">
        <v>4</v>
      </c>
    </row>
    <row r="412" spans="1:35" x14ac:dyDescent="0.25">
      <c r="A412" s="6" t="str">
        <f>"580103"</f>
        <v>580103</v>
      </c>
      <c r="B412" s="6" t="s">
        <v>447</v>
      </c>
      <c r="C412" s="7">
        <v>114750332</v>
      </c>
      <c r="D412" s="7">
        <v>116443128</v>
      </c>
      <c r="E412" s="8">
        <v>1.48</v>
      </c>
      <c r="F412" s="7">
        <v>63176228</v>
      </c>
      <c r="G412" s="7">
        <v>64818669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63176228</v>
      </c>
      <c r="O412" s="7">
        <v>64818669</v>
      </c>
      <c r="P412" s="8">
        <v>2.6</v>
      </c>
      <c r="Q412" s="7">
        <v>543034</v>
      </c>
      <c r="R412" s="7">
        <v>2145159</v>
      </c>
      <c r="S412" s="7">
        <v>62633194</v>
      </c>
      <c r="T412" s="7">
        <v>63467980</v>
      </c>
      <c r="U412" s="7">
        <v>62633194</v>
      </c>
      <c r="V412" s="7">
        <v>62673510</v>
      </c>
      <c r="W412" s="7">
        <v>0</v>
      </c>
      <c r="X412" s="7">
        <v>794470</v>
      </c>
      <c r="Y412" s="7">
        <v>4710</v>
      </c>
      <c r="Z412" s="7">
        <v>4706</v>
      </c>
      <c r="AA412" s="8">
        <v>-0.08</v>
      </c>
      <c r="AB412" s="7">
        <v>20498806</v>
      </c>
      <c r="AC412" s="7">
        <v>17398806</v>
      </c>
      <c r="AD412" s="7">
        <v>3280559</v>
      </c>
      <c r="AE412" s="7">
        <v>3000000</v>
      </c>
      <c r="AF412" s="7">
        <v>4590013</v>
      </c>
      <c r="AG412" s="7">
        <v>4657725</v>
      </c>
      <c r="AH412" s="8">
        <v>4</v>
      </c>
      <c r="AI412" s="8">
        <v>4</v>
      </c>
    </row>
    <row r="413" spans="1:35" x14ac:dyDescent="0.25">
      <c r="A413" s="6" t="str">
        <f>"280204"</f>
        <v>280204</v>
      </c>
      <c r="B413" s="6" t="s">
        <v>448</v>
      </c>
      <c r="C413" s="7">
        <v>53742934</v>
      </c>
      <c r="D413" s="7">
        <v>55321132</v>
      </c>
      <c r="E413" s="8">
        <v>2.94</v>
      </c>
      <c r="F413" s="7">
        <v>36221022</v>
      </c>
      <c r="G413" s="7">
        <v>37010640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36221022</v>
      </c>
      <c r="O413" s="7">
        <v>37010640</v>
      </c>
      <c r="P413" s="8">
        <v>2.1800000000000002</v>
      </c>
      <c r="Q413" s="7">
        <v>24414</v>
      </c>
      <c r="R413" s="7">
        <v>46317</v>
      </c>
      <c r="S413" s="7">
        <v>36196608</v>
      </c>
      <c r="T413" s="7">
        <v>36964323</v>
      </c>
      <c r="U413" s="7">
        <v>36196608</v>
      </c>
      <c r="V413" s="7">
        <v>36964323</v>
      </c>
      <c r="W413" s="7">
        <v>0</v>
      </c>
      <c r="X413" s="7">
        <v>0</v>
      </c>
      <c r="Y413" s="7">
        <v>2087</v>
      </c>
      <c r="Z413" s="7">
        <v>2052</v>
      </c>
      <c r="AA413" s="8">
        <v>-1.68</v>
      </c>
      <c r="AB413" s="7">
        <v>3776133</v>
      </c>
      <c r="AC413" s="7">
        <v>3515084</v>
      </c>
      <c r="AD413" s="7">
        <v>2755000</v>
      </c>
      <c r="AE413" s="7">
        <v>2200000</v>
      </c>
      <c r="AF413" s="7">
        <v>2146260</v>
      </c>
      <c r="AG413" s="7">
        <v>1400000</v>
      </c>
      <c r="AH413" s="8">
        <v>3.99</v>
      </c>
      <c r="AI413" s="8">
        <v>2.5299999999999998</v>
      </c>
    </row>
    <row r="414" spans="1:35" x14ac:dyDescent="0.25">
      <c r="A414" s="6" t="str">
        <f>"142201"</f>
        <v>142201</v>
      </c>
      <c r="B414" s="6" t="s">
        <v>449</v>
      </c>
      <c r="C414" s="7">
        <v>16348973</v>
      </c>
      <c r="D414" s="7">
        <v>16434726</v>
      </c>
      <c r="E414" s="8">
        <v>0.52</v>
      </c>
      <c r="F414" s="7">
        <v>5249933</v>
      </c>
      <c r="G414" s="7">
        <v>5301907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5249933</v>
      </c>
      <c r="O414" s="7">
        <v>5301907</v>
      </c>
      <c r="P414" s="8">
        <v>0.99</v>
      </c>
      <c r="Q414" s="7">
        <v>0</v>
      </c>
      <c r="R414" s="7">
        <v>0</v>
      </c>
      <c r="S414" s="7">
        <v>5282001</v>
      </c>
      <c r="T414" s="7">
        <v>5387089</v>
      </c>
      <c r="U414" s="7">
        <v>5249933</v>
      </c>
      <c r="V414" s="7">
        <v>5301907</v>
      </c>
      <c r="W414" s="7">
        <v>32068</v>
      </c>
      <c r="X414" s="7">
        <v>85182</v>
      </c>
      <c r="Y414" s="7">
        <v>575</v>
      </c>
      <c r="Z414" s="7">
        <v>582</v>
      </c>
      <c r="AA414" s="8">
        <v>1.22</v>
      </c>
      <c r="AB414" s="7">
        <v>5161974</v>
      </c>
      <c r="AC414" s="7">
        <v>4995734</v>
      </c>
      <c r="AD414" s="7">
        <v>1237165</v>
      </c>
      <c r="AE414" s="7">
        <v>1020000</v>
      </c>
      <c r="AF414" s="7">
        <v>653957</v>
      </c>
      <c r="AG414" s="7">
        <v>657389</v>
      </c>
      <c r="AH414" s="8">
        <v>4</v>
      </c>
      <c r="AI414" s="8">
        <v>4</v>
      </c>
    </row>
    <row r="415" spans="1:35" x14ac:dyDescent="0.25">
      <c r="A415" s="6" t="str">
        <f>"010623"</f>
        <v>010623</v>
      </c>
      <c r="B415" s="6" t="s">
        <v>450</v>
      </c>
      <c r="C415" s="7">
        <v>105338269</v>
      </c>
      <c r="D415" s="7">
        <v>107244155</v>
      </c>
      <c r="E415" s="8">
        <v>1.81</v>
      </c>
      <c r="F415" s="7">
        <v>80458099</v>
      </c>
      <c r="G415" s="7">
        <v>82446594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80458099</v>
      </c>
      <c r="O415" s="7">
        <v>82446594</v>
      </c>
      <c r="P415" s="8">
        <v>2.4700000000000002</v>
      </c>
      <c r="Q415" s="7">
        <v>4421982</v>
      </c>
      <c r="R415" s="7">
        <v>4233783</v>
      </c>
      <c r="S415" s="7">
        <v>76036117</v>
      </c>
      <c r="T415" s="7">
        <v>78212811</v>
      </c>
      <c r="U415" s="7">
        <v>76036117</v>
      </c>
      <c r="V415" s="7">
        <v>78212811</v>
      </c>
      <c r="W415" s="7">
        <v>0</v>
      </c>
      <c r="X415" s="7">
        <v>0</v>
      </c>
      <c r="Y415" s="7">
        <v>5549</v>
      </c>
      <c r="Z415" s="7">
        <v>5703</v>
      </c>
      <c r="AA415" s="8">
        <v>2.78</v>
      </c>
      <c r="AB415" s="7">
        <v>5422515</v>
      </c>
      <c r="AC415" s="7">
        <v>5826356</v>
      </c>
      <c r="AD415" s="7">
        <v>935772</v>
      </c>
      <c r="AE415" s="7">
        <v>1000000</v>
      </c>
      <c r="AF415" s="7">
        <v>3850377</v>
      </c>
      <c r="AG415" s="7">
        <v>4213529</v>
      </c>
      <c r="AH415" s="8">
        <v>3.66</v>
      </c>
      <c r="AI415" s="8">
        <v>3.93</v>
      </c>
    </row>
    <row r="416" spans="1:35" x14ac:dyDescent="0.25">
      <c r="A416" s="6" t="str">
        <f>"280229"</f>
        <v>280229</v>
      </c>
      <c r="B416" s="6" t="s">
        <v>451</v>
      </c>
      <c r="C416" s="7">
        <v>30757827</v>
      </c>
      <c r="D416" s="7">
        <v>31389464</v>
      </c>
      <c r="E416" s="8">
        <v>2.0499999999999998</v>
      </c>
      <c r="F416" s="7">
        <v>21384450</v>
      </c>
      <c r="G416" s="7">
        <v>22024914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21384450</v>
      </c>
      <c r="O416" s="7">
        <v>22024914</v>
      </c>
      <c r="P416" s="8">
        <v>2.99</v>
      </c>
      <c r="Q416" s="7">
        <v>0</v>
      </c>
      <c r="R416" s="11">
        <v>374377</v>
      </c>
      <c r="S416" s="7">
        <v>21441129</v>
      </c>
      <c r="T416" s="7">
        <v>21676574</v>
      </c>
      <c r="U416" s="7">
        <v>21384450</v>
      </c>
      <c r="V416" s="11">
        <v>21650537</v>
      </c>
      <c r="W416" s="7">
        <v>56679</v>
      </c>
      <c r="X416" s="11">
        <v>26037</v>
      </c>
      <c r="Y416" s="7">
        <v>1216</v>
      </c>
      <c r="Z416" s="7">
        <v>1181</v>
      </c>
      <c r="AA416" s="8">
        <v>-2.88</v>
      </c>
      <c r="AB416" s="7">
        <v>4683338</v>
      </c>
      <c r="AC416" s="7">
        <v>4689104</v>
      </c>
      <c r="AD416" s="7">
        <v>720000</v>
      </c>
      <c r="AE416" s="7">
        <v>790000</v>
      </c>
      <c r="AF416" s="7">
        <v>1228787</v>
      </c>
      <c r="AG416" s="7">
        <v>1255579</v>
      </c>
      <c r="AH416" s="8">
        <v>4</v>
      </c>
      <c r="AI416" s="8">
        <v>4</v>
      </c>
    </row>
    <row r="417" spans="1:35" x14ac:dyDescent="0.25">
      <c r="A417" s="6" t="str">
        <f>"651501"</f>
        <v>651501</v>
      </c>
      <c r="B417" s="6" t="s">
        <v>452</v>
      </c>
      <c r="C417" s="7">
        <v>27645264</v>
      </c>
      <c r="D417" s="7">
        <v>27907192</v>
      </c>
      <c r="E417" s="8">
        <v>0.95</v>
      </c>
      <c r="F417" s="7">
        <v>9208861</v>
      </c>
      <c r="G417" s="7">
        <v>9383829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9208861</v>
      </c>
      <c r="O417" s="7">
        <v>9383829</v>
      </c>
      <c r="P417" s="8">
        <v>1.9</v>
      </c>
      <c r="Q417" s="7">
        <v>0</v>
      </c>
      <c r="R417" s="7">
        <v>0</v>
      </c>
      <c r="S417" s="7">
        <v>9347610</v>
      </c>
      <c r="T417" s="7">
        <v>9535947</v>
      </c>
      <c r="U417" s="7">
        <v>9208861</v>
      </c>
      <c r="V417" s="7">
        <v>9383829</v>
      </c>
      <c r="W417" s="7">
        <v>138749</v>
      </c>
      <c r="X417" s="7">
        <v>152118</v>
      </c>
      <c r="Y417" s="7">
        <v>1174</v>
      </c>
      <c r="Z417" s="7">
        <v>1150</v>
      </c>
      <c r="AA417" s="8">
        <v>-2.04</v>
      </c>
      <c r="AB417" s="7">
        <v>13254419</v>
      </c>
      <c r="AC417" s="7">
        <v>4500000</v>
      </c>
      <c r="AD417" s="7">
        <v>307473</v>
      </c>
      <c r="AE417" s="7">
        <v>300000</v>
      </c>
      <c r="AF417" s="7">
        <v>1097691</v>
      </c>
      <c r="AG417" s="7">
        <v>1116287</v>
      </c>
      <c r="AH417" s="8">
        <v>3.97</v>
      </c>
      <c r="AI417" s="8">
        <v>4</v>
      </c>
    </row>
    <row r="418" spans="1:35" x14ac:dyDescent="0.25">
      <c r="A418" s="6" t="str">
        <f>"661301"</f>
        <v>661301</v>
      </c>
      <c r="B418" s="6" t="s">
        <v>453</v>
      </c>
      <c r="C418" s="7">
        <v>41148851</v>
      </c>
      <c r="D418" s="7">
        <v>41965246</v>
      </c>
      <c r="E418" s="8">
        <v>1.98</v>
      </c>
      <c r="F418" s="7">
        <v>36793108</v>
      </c>
      <c r="G418" s="7">
        <v>37319150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36793108</v>
      </c>
      <c r="O418" s="7">
        <v>37319150</v>
      </c>
      <c r="P418" s="8">
        <v>1.43</v>
      </c>
      <c r="Q418" s="7">
        <v>1458935</v>
      </c>
      <c r="R418" s="7">
        <v>1446094</v>
      </c>
      <c r="S418" s="7">
        <v>35496485</v>
      </c>
      <c r="T418" s="7">
        <v>35873056</v>
      </c>
      <c r="U418" s="7">
        <v>35334173</v>
      </c>
      <c r="V418" s="7">
        <v>35873056</v>
      </c>
      <c r="W418" s="7">
        <v>162312</v>
      </c>
      <c r="X418" s="7">
        <v>0</v>
      </c>
      <c r="Y418" s="7">
        <v>1115</v>
      </c>
      <c r="Z418" s="7">
        <v>1094</v>
      </c>
      <c r="AA418" s="8">
        <v>-1.88</v>
      </c>
      <c r="AB418" s="7">
        <v>2082358</v>
      </c>
      <c r="AC418" s="7">
        <v>1628472</v>
      </c>
      <c r="AD418" s="7">
        <v>985000</v>
      </c>
      <c r="AE418" s="7">
        <v>1030000</v>
      </c>
      <c r="AF418" s="7">
        <v>1639724</v>
      </c>
      <c r="AG418" s="7">
        <v>1601659</v>
      </c>
      <c r="AH418" s="8">
        <v>3.98</v>
      </c>
      <c r="AI418" s="8">
        <v>3.82</v>
      </c>
    </row>
    <row r="419" spans="1:35" x14ac:dyDescent="0.25">
      <c r="A419" s="6" t="str">
        <f>"280501"</f>
        <v>280501</v>
      </c>
      <c r="B419" s="6" t="s">
        <v>454</v>
      </c>
      <c r="C419" s="7">
        <v>99494105</v>
      </c>
      <c r="D419" s="7">
        <v>102113515</v>
      </c>
      <c r="E419" s="8">
        <v>2.63</v>
      </c>
      <c r="F419" s="7">
        <v>84498091</v>
      </c>
      <c r="G419" s="7">
        <v>84488575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84498091</v>
      </c>
      <c r="O419" s="7">
        <v>84488575</v>
      </c>
      <c r="P419" s="8">
        <v>-0.01</v>
      </c>
      <c r="Q419" s="7">
        <v>4758248</v>
      </c>
      <c r="R419" s="7">
        <v>4524542</v>
      </c>
      <c r="S419" s="7">
        <v>79739843</v>
      </c>
      <c r="T419" s="7">
        <v>79964033</v>
      </c>
      <c r="U419" s="7">
        <v>79739843</v>
      </c>
      <c r="V419" s="7">
        <v>79964033</v>
      </c>
      <c r="W419" s="7">
        <v>0</v>
      </c>
      <c r="X419" s="7">
        <v>0</v>
      </c>
      <c r="Y419" s="7">
        <v>2712</v>
      </c>
      <c r="Z419" s="7">
        <v>2654</v>
      </c>
      <c r="AA419" s="8">
        <v>-2.14</v>
      </c>
      <c r="AB419" s="7">
        <v>15757132</v>
      </c>
      <c r="AC419" s="7">
        <v>14557132</v>
      </c>
      <c r="AD419" s="7">
        <v>8974162</v>
      </c>
      <c r="AE419" s="7">
        <v>7263345</v>
      </c>
      <c r="AF419" s="7">
        <v>3979766</v>
      </c>
      <c r="AG419" s="7">
        <v>4084541</v>
      </c>
      <c r="AH419" s="8">
        <v>4</v>
      </c>
      <c r="AI419" s="8">
        <v>4</v>
      </c>
    </row>
    <row r="420" spans="1:35" x14ac:dyDescent="0.25">
      <c r="A420" s="6" t="str">
        <f>"420303"</f>
        <v>420303</v>
      </c>
      <c r="B420" s="6" t="s">
        <v>455</v>
      </c>
      <c r="C420" s="7">
        <v>155237936</v>
      </c>
      <c r="D420" s="7">
        <v>158690480</v>
      </c>
      <c r="E420" s="8">
        <v>2.2200000000000002</v>
      </c>
      <c r="F420" s="7">
        <v>82774878</v>
      </c>
      <c r="G420" s="7">
        <v>85272237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82774878</v>
      </c>
      <c r="O420" s="7">
        <v>85272237</v>
      </c>
      <c r="P420" s="8">
        <v>3.02</v>
      </c>
      <c r="Q420" s="7">
        <v>0</v>
      </c>
      <c r="R420" s="7">
        <v>0</v>
      </c>
      <c r="S420" s="7">
        <v>82774878</v>
      </c>
      <c r="T420" s="7">
        <v>85272237</v>
      </c>
      <c r="U420" s="7">
        <v>82774878</v>
      </c>
      <c r="V420" s="7">
        <v>85272237</v>
      </c>
      <c r="W420" s="7">
        <v>0</v>
      </c>
      <c r="X420" s="7">
        <v>0</v>
      </c>
      <c r="Y420" s="7">
        <v>8745</v>
      </c>
      <c r="Z420" s="7">
        <v>8552</v>
      </c>
      <c r="AA420" s="8">
        <v>-2.21</v>
      </c>
      <c r="AB420" s="7">
        <v>6100394</v>
      </c>
      <c r="AC420" s="7">
        <v>5812933</v>
      </c>
      <c r="AD420" s="7">
        <v>950000</v>
      </c>
      <c r="AE420" s="7">
        <v>2700876</v>
      </c>
      <c r="AF420" s="7">
        <v>7553965</v>
      </c>
      <c r="AG420" s="7">
        <v>4853089</v>
      </c>
      <c r="AH420" s="8">
        <v>4.87</v>
      </c>
      <c r="AI420" s="8">
        <v>3.06</v>
      </c>
    </row>
    <row r="421" spans="1:35" x14ac:dyDescent="0.25">
      <c r="A421" s="6" t="str">
        <f>"400900"</f>
        <v>400900</v>
      </c>
      <c r="B421" s="6" t="s">
        <v>456</v>
      </c>
      <c r="C421" s="7">
        <v>72315050</v>
      </c>
      <c r="D421" s="7">
        <v>73491613</v>
      </c>
      <c r="E421" s="8">
        <v>1.63</v>
      </c>
      <c r="F421" s="7">
        <v>27700422</v>
      </c>
      <c r="G421" s="7">
        <v>28046677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27700422</v>
      </c>
      <c r="O421" s="7">
        <v>28046677</v>
      </c>
      <c r="P421" s="8">
        <v>1.25</v>
      </c>
      <c r="Q421" s="7">
        <v>356190</v>
      </c>
      <c r="R421" s="7">
        <v>155443</v>
      </c>
      <c r="S421" s="7">
        <v>27797803</v>
      </c>
      <c r="T421" s="7">
        <v>27955601</v>
      </c>
      <c r="U421" s="7">
        <v>27344232</v>
      </c>
      <c r="V421" s="7">
        <v>27891234</v>
      </c>
      <c r="W421" s="7">
        <v>453571</v>
      </c>
      <c r="X421" s="7">
        <v>64367</v>
      </c>
      <c r="Y421" s="7">
        <v>3477</v>
      </c>
      <c r="Z421" s="7">
        <v>3420</v>
      </c>
      <c r="AA421" s="8">
        <v>-1.64</v>
      </c>
      <c r="AB421" s="7">
        <v>5262805</v>
      </c>
      <c r="AC421" s="7">
        <v>6480219</v>
      </c>
      <c r="AD421" s="7">
        <v>4757385</v>
      </c>
      <c r="AE421" s="7">
        <v>5107385</v>
      </c>
      <c r="AF421" s="7">
        <v>2762110</v>
      </c>
      <c r="AG421" s="7">
        <v>2902919</v>
      </c>
      <c r="AH421" s="8">
        <v>3.82</v>
      </c>
      <c r="AI421" s="8">
        <v>3.95</v>
      </c>
    </row>
    <row r="422" spans="1:35" x14ac:dyDescent="0.25">
      <c r="A422" s="6" t="str">
        <f>"630202"</f>
        <v>630202</v>
      </c>
      <c r="B422" s="6" t="s">
        <v>457</v>
      </c>
      <c r="C422" s="7">
        <v>13006285</v>
      </c>
      <c r="D422" s="7">
        <v>13300785</v>
      </c>
      <c r="E422" s="8">
        <v>2.2599999999999998</v>
      </c>
      <c r="F422" s="7">
        <v>8915035</v>
      </c>
      <c r="G422" s="7">
        <v>9055785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8915035</v>
      </c>
      <c r="O422" s="7">
        <v>9055785</v>
      </c>
      <c r="P422" s="8">
        <v>1.58</v>
      </c>
      <c r="Q422" s="7">
        <v>114163</v>
      </c>
      <c r="R422" s="7">
        <v>260350</v>
      </c>
      <c r="S422" s="7">
        <v>8800872</v>
      </c>
      <c r="T422" s="7">
        <v>8957803</v>
      </c>
      <c r="U422" s="7">
        <v>8800872</v>
      </c>
      <c r="V422" s="7">
        <v>8795435</v>
      </c>
      <c r="W422" s="7">
        <v>0</v>
      </c>
      <c r="X422" s="7">
        <v>162368</v>
      </c>
      <c r="Y422" s="7">
        <v>510</v>
      </c>
      <c r="Z422" s="7">
        <v>523</v>
      </c>
      <c r="AA422" s="8">
        <v>2.5499999999999998</v>
      </c>
      <c r="AB422" s="7">
        <v>2827630</v>
      </c>
      <c r="AC422" s="7">
        <v>2158630</v>
      </c>
      <c r="AD422" s="7">
        <v>250000</v>
      </c>
      <c r="AE422" s="7">
        <v>275000</v>
      </c>
      <c r="AF422" s="7">
        <v>1448150</v>
      </c>
      <c r="AG422" s="7">
        <v>1150000</v>
      </c>
      <c r="AH422" s="8">
        <v>11.13</v>
      </c>
      <c r="AI422" s="8">
        <v>8.65</v>
      </c>
    </row>
    <row r="423" spans="1:35" x14ac:dyDescent="0.25">
      <c r="A423" s="6" t="str">
        <f>"131101"</f>
        <v>131101</v>
      </c>
      <c r="B423" s="6" t="s">
        <v>458</v>
      </c>
      <c r="C423" s="7">
        <v>21705934</v>
      </c>
      <c r="D423" s="7">
        <v>22262552</v>
      </c>
      <c r="E423" s="8">
        <v>2.56</v>
      </c>
      <c r="F423" s="7">
        <v>13194751</v>
      </c>
      <c r="G423" s="7">
        <v>13446278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13194751</v>
      </c>
      <c r="O423" s="7">
        <v>13446278</v>
      </c>
      <c r="P423" s="8">
        <v>1.91</v>
      </c>
      <c r="Q423" s="7">
        <v>439290</v>
      </c>
      <c r="R423" s="7">
        <v>456613</v>
      </c>
      <c r="S423" s="7">
        <v>12353459</v>
      </c>
      <c r="T423" s="7">
        <v>13446278</v>
      </c>
      <c r="U423" s="7">
        <v>12755461</v>
      </c>
      <c r="V423" s="7">
        <v>12989665</v>
      </c>
      <c r="W423" s="7">
        <v>-402002</v>
      </c>
      <c r="X423" s="7">
        <v>456613</v>
      </c>
      <c r="Y423" s="7">
        <v>760</v>
      </c>
      <c r="Z423" s="7">
        <v>747</v>
      </c>
      <c r="AA423" s="8">
        <v>-1.71</v>
      </c>
      <c r="AB423" s="7">
        <v>1045262</v>
      </c>
      <c r="AC423" s="7">
        <v>1500000</v>
      </c>
      <c r="AD423" s="7">
        <v>2100000</v>
      </c>
      <c r="AE423" s="7">
        <v>2100000</v>
      </c>
      <c r="AF423" s="7">
        <v>1025848</v>
      </c>
      <c r="AG423" s="7">
        <v>500000</v>
      </c>
      <c r="AH423" s="8">
        <v>4.7300000000000004</v>
      </c>
      <c r="AI423" s="8">
        <v>2.25</v>
      </c>
    </row>
    <row r="424" spans="1:35" x14ac:dyDescent="0.25">
      <c r="A424" s="6" t="str">
        <f>"090501"</f>
        <v>090501</v>
      </c>
      <c r="B424" s="6" t="s">
        <v>459</v>
      </c>
      <c r="C424" s="7">
        <v>28576383</v>
      </c>
      <c r="D424" s="7">
        <v>29423825</v>
      </c>
      <c r="E424" s="8">
        <v>2.97</v>
      </c>
      <c r="F424" s="7">
        <v>10593115</v>
      </c>
      <c r="G424" s="7">
        <v>10762605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10593115</v>
      </c>
      <c r="O424" s="7">
        <v>10762605</v>
      </c>
      <c r="P424" s="8">
        <v>1.6</v>
      </c>
      <c r="Q424" s="7">
        <v>138776</v>
      </c>
      <c r="R424" s="7">
        <v>234396</v>
      </c>
      <c r="S424" s="7">
        <v>10558903</v>
      </c>
      <c r="T424" s="7">
        <v>10720146</v>
      </c>
      <c r="U424" s="7">
        <v>10454339</v>
      </c>
      <c r="V424" s="7">
        <v>10528209</v>
      </c>
      <c r="W424" s="7">
        <v>104564</v>
      </c>
      <c r="X424" s="7">
        <v>191937</v>
      </c>
      <c r="Y424" s="7">
        <v>1310</v>
      </c>
      <c r="Z424" s="7">
        <v>1320</v>
      </c>
      <c r="AA424" s="8">
        <v>0.76</v>
      </c>
      <c r="AB424" s="7">
        <v>2669214</v>
      </c>
      <c r="AC424" s="7">
        <v>2500000</v>
      </c>
      <c r="AD424" s="7">
        <v>500000</v>
      </c>
      <c r="AE424" s="7">
        <v>750000</v>
      </c>
      <c r="AF424" s="7">
        <v>3825874</v>
      </c>
      <c r="AG424" s="7">
        <v>4331187</v>
      </c>
      <c r="AH424" s="8">
        <v>13.39</v>
      </c>
      <c r="AI424" s="8">
        <v>14.72</v>
      </c>
    </row>
    <row r="425" spans="1:35" x14ac:dyDescent="0.25">
      <c r="A425" s="6" t="str">
        <f>"090901"</f>
        <v>090901</v>
      </c>
      <c r="B425" s="6" t="s">
        <v>460</v>
      </c>
      <c r="C425" s="7">
        <v>21061514</v>
      </c>
      <c r="D425" s="7">
        <v>21271283</v>
      </c>
      <c r="E425" s="8">
        <v>1</v>
      </c>
      <c r="F425" s="7">
        <v>4616714</v>
      </c>
      <c r="G425" s="7">
        <v>4662000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4616714</v>
      </c>
      <c r="O425" s="7">
        <v>4662000</v>
      </c>
      <c r="P425" s="8">
        <v>0.98</v>
      </c>
      <c r="Q425" s="7">
        <v>692072</v>
      </c>
      <c r="R425" s="7">
        <v>731880</v>
      </c>
      <c r="S425" s="7">
        <v>4106469</v>
      </c>
      <c r="T425" s="7">
        <v>3978453</v>
      </c>
      <c r="U425" s="7">
        <v>3924642</v>
      </c>
      <c r="V425" s="7">
        <v>3930120</v>
      </c>
      <c r="W425" s="7">
        <v>181827</v>
      </c>
      <c r="X425" s="7">
        <v>48333</v>
      </c>
      <c r="Y425" s="7">
        <v>875</v>
      </c>
      <c r="Z425" s="7">
        <v>855</v>
      </c>
      <c r="AA425" s="8">
        <v>-2.29</v>
      </c>
      <c r="AB425" s="7">
        <v>129367</v>
      </c>
      <c r="AC425" s="7">
        <v>48000</v>
      </c>
      <c r="AD425" s="7">
        <v>260000</v>
      </c>
      <c r="AE425" s="7">
        <v>265000</v>
      </c>
      <c r="AF425" s="7">
        <v>1993777</v>
      </c>
      <c r="AG425" s="7">
        <v>1727894</v>
      </c>
      <c r="AH425" s="8">
        <v>9.4700000000000006</v>
      </c>
      <c r="AI425" s="8">
        <v>8.1199999999999992</v>
      </c>
    </row>
    <row r="426" spans="1:35" x14ac:dyDescent="0.25">
      <c r="A426" s="6" t="str">
        <f>"580404"</f>
        <v>580404</v>
      </c>
      <c r="B426" s="6" t="s">
        <v>461</v>
      </c>
      <c r="C426" s="7">
        <v>161380883</v>
      </c>
      <c r="D426" s="7">
        <v>163306840</v>
      </c>
      <c r="E426" s="8">
        <v>1.19</v>
      </c>
      <c r="F426" s="7">
        <v>140920356</v>
      </c>
      <c r="G426" s="7">
        <v>142972406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140920356</v>
      </c>
      <c r="O426" s="7">
        <v>142972406</v>
      </c>
      <c r="P426" s="8">
        <v>1.46</v>
      </c>
      <c r="Q426" s="7">
        <v>3205810</v>
      </c>
      <c r="R426" s="7">
        <v>3664680</v>
      </c>
      <c r="S426" s="7">
        <v>137791546</v>
      </c>
      <c r="T426" s="7">
        <v>139606715</v>
      </c>
      <c r="U426" s="7">
        <v>137714546</v>
      </c>
      <c r="V426" s="7">
        <v>139307726</v>
      </c>
      <c r="W426" s="7">
        <v>77000</v>
      </c>
      <c r="X426" s="7">
        <v>298989</v>
      </c>
      <c r="Y426" s="7">
        <v>5489</v>
      </c>
      <c r="Z426" s="7">
        <v>5346</v>
      </c>
      <c r="AA426" s="8">
        <v>-2.61</v>
      </c>
      <c r="AB426" s="7">
        <v>12364792</v>
      </c>
      <c r="AC426" s="7">
        <v>12491216</v>
      </c>
      <c r="AD426" s="7">
        <v>2577000</v>
      </c>
      <c r="AE426" s="7">
        <v>2500000</v>
      </c>
      <c r="AF426" s="7">
        <v>6455234</v>
      </c>
      <c r="AG426" s="7">
        <v>6532272</v>
      </c>
      <c r="AH426" s="8">
        <v>4</v>
      </c>
      <c r="AI426" s="8">
        <v>4</v>
      </c>
    </row>
    <row r="427" spans="1:35" x14ac:dyDescent="0.25">
      <c r="A427" s="6" t="str">
        <f>"170901"</f>
        <v>170901</v>
      </c>
      <c r="B427" s="6" t="s">
        <v>462</v>
      </c>
      <c r="C427" s="7">
        <v>10610563</v>
      </c>
      <c r="D427" s="7">
        <v>11052473</v>
      </c>
      <c r="E427" s="8">
        <v>4.16</v>
      </c>
      <c r="F427" s="7">
        <v>6060180</v>
      </c>
      <c r="G427" s="7">
        <v>6177507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6060180</v>
      </c>
      <c r="O427" s="7">
        <v>6177507</v>
      </c>
      <c r="P427" s="8">
        <v>1.94</v>
      </c>
      <c r="Q427" s="7">
        <v>228967</v>
      </c>
      <c r="R427" s="7">
        <v>257891</v>
      </c>
      <c r="S427" s="7">
        <v>5707784</v>
      </c>
      <c r="T427" s="7">
        <v>5920028</v>
      </c>
      <c r="U427" s="7">
        <v>5831213</v>
      </c>
      <c r="V427" s="7">
        <v>5919616</v>
      </c>
      <c r="W427" s="7">
        <v>-123429</v>
      </c>
      <c r="X427" s="7">
        <v>412</v>
      </c>
      <c r="Y427" s="7">
        <v>500</v>
      </c>
      <c r="Z427" s="7">
        <v>500</v>
      </c>
      <c r="AA427" s="8">
        <v>0</v>
      </c>
      <c r="AB427" s="7">
        <v>4382758</v>
      </c>
      <c r="AC427" s="7">
        <v>4400000</v>
      </c>
      <c r="AD427" s="7">
        <v>661963</v>
      </c>
      <c r="AE427" s="7">
        <v>400000</v>
      </c>
      <c r="AF427" s="7">
        <v>423033</v>
      </c>
      <c r="AG427" s="7">
        <v>432000</v>
      </c>
      <c r="AH427" s="8">
        <v>3.99</v>
      </c>
      <c r="AI427" s="8">
        <v>3.91</v>
      </c>
    </row>
    <row r="428" spans="1:35" x14ac:dyDescent="0.25">
      <c r="A428" s="6" t="str">
        <f>"081200"</f>
        <v>081200</v>
      </c>
      <c r="B428" s="6" t="s">
        <v>463</v>
      </c>
      <c r="C428" s="7">
        <v>41291765</v>
      </c>
      <c r="D428" s="7">
        <v>42180906</v>
      </c>
      <c r="E428" s="8">
        <v>2.15</v>
      </c>
      <c r="F428" s="7">
        <v>10781596</v>
      </c>
      <c r="G428" s="7">
        <v>10989680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10781596</v>
      </c>
      <c r="O428" s="7">
        <v>10989680</v>
      </c>
      <c r="P428" s="8">
        <v>1.93</v>
      </c>
      <c r="Q428" s="7">
        <v>33505</v>
      </c>
      <c r="R428" s="7">
        <v>287404</v>
      </c>
      <c r="S428" s="7">
        <v>10758281</v>
      </c>
      <c r="T428" s="7">
        <v>10893740</v>
      </c>
      <c r="U428" s="7">
        <v>10748091</v>
      </c>
      <c r="V428" s="7">
        <v>10702276</v>
      </c>
      <c r="W428" s="7">
        <v>10190</v>
      </c>
      <c r="X428" s="7">
        <v>191464</v>
      </c>
      <c r="Y428" s="7">
        <v>1950</v>
      </c>
      <c r="Z428" s="7">
        <v>1935</v>
      </c>
      <c r="AA428" s="8">
        <v>-0.77</v>
      </c>
      <c r="AB428" s="7">
        <v>3544826</v>
      </c>
      <c r="AC428" s="7">
        <v>3545000</v>
      </c>
      <c r="AD428" s="7">
        <v>1937452</v>
      </c>
      <c r="AE428" s="7">
        <v>1915000</v>
      </c>
      <c r="AF428" s="7">
        <v>1631991</v>
      </c>
      <c r="AG428" s="7">
        <v>1630000</v>
      </c>
      <c r="AH428" s="8">
        <v>3.95</v>
      </c>
      <c r="AI428" s="8">
        <v>3.86</v>
      </c>
    </row>
    <row r="429" spans="1:35" x14ac:dyDescent="0.25">
      <c r="A429" s="6" t="str">
        <f>"512201"</f>
        <v>512201</v>
      </c>
      <c r="B429" s="6" t="s">
        <v>464</v>
      </c>
      <c r="C429" s="7">
        <v>22115300</v>
      </c>
      <c r="D429" s="7">
        <v>22764112</v>
      </c>
      <c r="E429" s="8">
        <v>2.93</v>
      </c>
      <c r="F429" s="7">
        <v>6263857</v>
      </c>
      <c r="G429" s="7">
        <v>6389134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6263857</v>
      </c>
      <c r="O429" s="7">
        <v>6389134</v>
      </c>
      <c r="P429" s="8">
        <v>2</v>
      </c>
      <c r="Q429" s="7">
        <v>13633</v>
      </c>
      <c r="R429" s="7">
        <v>67149</v>
      </c>
      <c r="S429" s="7">
        <v>6299266</v>
      </c>
      <c r="T429" s="7">
        <v>6414758</v>
      </c>
      <c r="U429" s="7">
        <v>6250224</v>
      </c>
      <c r="V429" s="7">
        <v>6321985</v>
      </c>
      <c r="W429" s="7">
        <v>49042</v>
      </c>
      <c r="X429" s="7">
        <v>92773</v>
      </c>
      <c r="Y429" s="7">
        <v>973</v>
      </c>
      <c r="Z429" s="7">
        <v>982</v>
      </c>
      <c r="AA429" s="8">
        <v>0.92</v>
      </c>
      <c r="AB429" s="7">
        <v>3476575</v>
      </c>
      <c r="AC429" s="7">
        <v>3476575</v>
      </c>
      <c r="AD429" s="7">
        <v>466460</v>
      </c>
      <c r="AE429" s="7">
        <v>462569</v>
      </c>
      <c r="AF429" s="7">
        <v>1326918</v>
      </c>
      <c r="AG429" s="7">
        <v>864350</v>
      </c>
      <c r="AH429" s="8">
        <v>6</v>
      </c>
      <c r="AI429" s="8">
        <v>3.8</v>
      </c>
    </row>
    <row r="430" spans="1:35" x14ac:dyDescent="0.25">
      <c r="A430" s="6" t="str">
        <f>"411504"</f>
        <v>411504</v>
      </c>
      <c r="B430" s="6" t="s">
        <v>465</v>
      </c>
      <c r="C430" s="7">
        <v>13517666</v>
      </c>
      <c r="D430" s="7">
        <v>13517050</v>
      </c>
      <c r="E430" s="8">
        <v>0</v>
      </c>
      <c r="F430" s="7">
        <v>7481175</v>
      </c>
      <c r="G430" s="7">
        <v>7481175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7481175</v>
      </c>
      <c r="O430" s="7">
        <v>7481175</v>
      </c>
      <c r="P430" s="8">
        <v>0</v>
      </c>
      <c r="Q430" s="7">
        <v>219730</v>
      </c>
      <c r="R430" s="7">
        <v>223286</v>
      </c>
      <c r="S430" s="7">
        <v>7349242</v>
      </c>
      <c r="T430" s="7">
        <v>7378980</v>
      </c>
      <c r="U430" s="7">
        <v>7261445</v>
      </c>
      <c r="V430" s="7">
        <v>7257889</v>
      </c>
      <c r="W430" s="7">
        <v>87797</v>
      </c>
      <c r="X430" s="7">
        <v>121091</v>
      </c>
      <c r="Y430" s="7">
        <v>563</v>
      </c>
      <c r="Z430" s="7">
        <v>562</v>
      </c>
      <c r="AA430" s="8">
        <v>-0.18</v>
      </c>
      <c r="AB430" s="7">
        <v>1621602</v>
      </c>
      <c r="AC430" s="7">
        <v>1895500</v>
      </c>
      <c r="AD430" s="7">
        <v>1464000</v>
      </c>
      <c r="AE430" s="7">
        <v>1464000</v>
      </c>
      <c r="AF430" s="7">
        <v>540707</v>
      </c>
      <c r="AG430" s="7">
        <v>540682</v>
      </c>
      <c r="AH430" s="8">
        <v>4</v>
      </c>
      <c r="AI430" s="8">
        <v>4</v>
      </c>
    </row>
    <row r="431" spans="1:35" x14ac:dyDescent="0.25">
      <c r="A431" s="6" t="str">
        <f>"500304"</f>
        <v>500304</v>
      </c>
      <c r="B431" s="6" t="s">
        <v>466</v>
      </c>
      <c r="C431" s="7">
        <v>80700000</v>
      </c>
      <c r="D431" s="7">
        <v>83090000</v>
      </c>
      <c r="E431" s="8">
        <v>2.96</v>
      </c>
      <c r="F431" s="7">
        <v>67488143</v>
      </c>
      <c r="G431" s="7">
        <v>68896744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67488143</v>
      </c>
      <c r="O431" s="7">
        <v>68896744</v>
      </c>
      <c r="P431" s="8">
        <v>2.09</v>
      </c>
      <c r="Q431" s="7">
        <v>1617679</v>
      </c>
      <c r="R431" s="7">
        <v>2075831</v>
      </c>
      <c r="S431" s="7">
        <v>65870464</v>
      </c>
      <c r="T431" s="7">
        <v>66950110</v>
      </c>
      <c r="U431" s="7">
        <v>65870464</v>
      </c>
      <c r="V431" s="7">
        <v>66820913</v>
      </c>
      <c r="W431" s="7">
        <v>0</v>
      </c>
      <c r="X431" s="7">
        <v>129197</v>
      </c>
      <c r="Y431" s="7">
        <v>3058</v>
      </c>
      <c r="Z431" s="7">
        <v>3069</v>
      </c>
      <c r="AA431" s="8">
        <v>0.36</v>
      </c>
      <c r="AB431" s="7">
        <v>16519244</v>
      </c>
      <c r="AC431" s="7">
        <v>17000000</v>
      </c>
      <c r="AD431" s="7">
        <v>3585885</v>
      </c>
      <c r="AE431" s="7">
        <v>2900000</v>
      </c>
      <c r="AF431" s="7">
        <v>3228000</v>
      </c>
      <c r="AG431" s="7">
        <v>3320000</v>
      </c>
      <c r="AH431" s="8">
        <v>4</v>
      </c>
      <c r="AI431" s="8">
        <v>4</v>
      </c>
    </row>
    <row r="432" spans="1:35" x14ac:dyDescent="0.25">
      <c r="A432" s="6" t="str">
        <f>"181101"</f>
        <v>181101</v>
      </c>
      <c r="B432" s="6" t="s">
        <v>467</v>
      </c>
      <c r="C432" s="7">
        <v>19642512</v>
      </c>
      <c r="D432" s="7">
        <v>20077004</v>
      </c>
      <c r="E432" s="8">
        <v>2.21</v>
      </c>
      <c r="F432" s="7">
        <v>5139816</v>
      </c>
      <c r="G432" s="7">
        <v>5208545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5139816</v>
      </c>
      <c r="O432" s="7">
        <v>5208545</v>
      </c>
      <c r="P432" s="8">
        <v>1.34</v>
      </c>
      <c r="Q432" s="7">
        <v>0</v>
      </c>
      <c r="R432" s="7">
        <v>149684</v>
      </c>
      <c r="S432" s="7">
        <v>5139816</v>
      </c>
      <c r="T432" s="7">
        <v>5214109</v>
      </c>
      <c r="U432" s="7">
        <v>5139816</v>
      </c>
      <c r="V432" s="7">
        <v>5058861</v>
      </c>
      <c r="W432" s="7">
        <v>0</v>
      </c>
      <c r="X432" s="7">
        <v>155248</v>
      </c>
      <c r="Y432" s="7">
        <v>859</v>
      </c>
      <c r="Z432" s="7">
        <v>865</v>
      </c>
      <c r="AA432" s="8">
        <v>0.7</v>
      </c>
      <c r="AB432" s="7">
        <v>2981649</v>
      </c>
      <c r="AC432" s="7">
        <v>3200000</v>
      </c>
      <c r="AD432" s="7">
        <v>1000671</v>
      </c>
      <c r="AE432" s="7">
        <v>1031902</v>
      </c>
      <c r="AF432" s="7">
        <v>785700</v>
      </c>
      <c r="AG432" s="7">
        <v>803080</v>
      </c>
      <c r="AH432" s="8">
        <v>4</v>
      </c>
      <c r="AI432" s="8">
        <v>4</v>
      </c>
    </row>
    <row r="433" spans="1:35" x14ac:dyDescent="0.25">
      <c r="A433" s="6" t="str">
        <f>"280211"</f>
        <v>280211</v>
      </c>
      <c r="B433" s="6" t="s">
        <v>468</v>
      </c>
      <c r="C433" s="7">
        <v>147241588</v>
      </c>
      <c r="D433" s="7">
        <v>150144641</v>
      </c>
      <c r="E433" s="8">
        <v>1.97</v>
      </c>
      <c r="F433" s="7">
        <v>117147135</v>
      </c>
      <c r="G433" s="7">
        <v>119670036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117147135</v>
      </c>
      <c r="O433" s="7">
        <v>119670036</v>
      </c>
      <c r="P433" s="8">
        <v>2.15</v>
      </c>
      <c r="Q433" s="7">
        <v>2386401</v>
      </c>
      <c r="R433" s="7">
        <v>2963226</v>
      </c>
      <c r="S433" s="7">
        <v>114760734</v>
      </c>
      <c r="T433" s="7">
        <v>116706810</v>
      </c>
      <c r="U433" s="7">
        <v>114760734</v>
      </c>
      <c r="V433" s="7">
        <v>116706810</v>
      </c>
      <c r="W433" s="7">
        <v>0</v>
      </c>
      <c r="X433" s="7">
        <v>0</v>
      </c>
      <c r="Y433" s="7">
        <v>5566</v>
      </c>
      <c r="Z433" s="7">
        <v>5530</v>
      </c>
      <c r="AA433" s="8">
        <v>-0.65</v>
      </c>
      <c r="AB433" s="7">
        <v>1900796</v>
      </c>
      <c r="AC433" s="7">
        <v>2953801</v>
      </c>
      <c r="AD433" s="7">
        <v>3328932</v>
      </c>
      <c r="AE433" s="7">
        <v>3200000</v>
      </c>
      <c r="AF433" s="7">
        <v>5889664</v>
      </c>
      <c r="AG433" s="7">
        <v>6005786</v>
      </c>
      <c r="AH433" s="8">
        <v>4</v>
      </c>
      <c r="AI433" s="8">
        <v>4</v>
      </c>
    </row>
    <row r="434" spans="1:35" x14ac:dyDescent="0.25">
      <c r="A434" s="6" t="str">
        <f>"550101"</f>
        <v>550101</v>
      </c>
      <c r="B434" s="6" t="s">
        <v>469</v>
      </c>
      <c r="C434" s="7">
        <v>16154655</v>
      </c>
      <c r="D434" s="7">
        <v>16642703</v>
      </c>
      <c r="E434" s="8">
        <v>3.02</v>
      </c>
      <c r="F434" s="7">
        <v>4786372</v>
      </c>
      <c r="G434" s="7">
        <v>4866763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4786372</v>
      </c>
      <c r="O434" s="7">
        <v>4866763</v>
      </c>
      <c r="P434" s="8">
        <v>1.68</v>
      </c>
      <c r="Q434" s="7">
        <v>21860</v>
      </c>
      <c r="R434" s="7">
        <v>11985</v>
      </c>
      <c r="S434" s="7">
        <v>4764514</v>
      </c>
      <c r="T434" s="7">
        <v>4854778</v>
      </c>
      <c r="U434" s="7">
        <v>4764512</v>
      </c>
      <c r="V434" s="7">
        <v>4854778</v>
      </c>
      <c r="W434" s="7">
        <v>2</v>
      </c>
      <c r="X434" s="7">
        <v>0</v>
      </c>
      <c r="Y434" s="7">
        <v>780</v>
      </c>
      <c r="Z434" s="7">
        <v>779</v>
      </c>
      <c r="AA434" s="8">
        <v>-0.13</v>
      </c>
      <c r="AB434" s="7">
        <v>3715565</v>
      </c>
      <c r="AC434" s="7">
        <v>4510466</v>
      </c>
      <c r="AD434" s="7">
        <v>603868</v>
      </c>
      <c r="AE434" s="7">
        <v>603868</v>
      </c>
      <c r="AF434" s="7">
        <v>1292372</v>
      </c>
      <c r="AG434" s="7">
        <v>665708</v>
      </c>
      <c r="AH434" s="8">
        <v>8</v>
      </c>
      <c r="AI434" s="8">
        <v>4</v>
      </c>
    </row>
    <row r="435" spans="1:35" x14ac:dyDescent="0.25">
      <c r="A435" s="6" t="str">
        <f>"512300"</f>
        <v>512300</v>
      </c>
      <c r="B435" s="6" t="s">
        <v>470</v>
      </c>
      <c r="C435" s="7">
        <v>42800000</v>
      </c>
      <c r="D435" s="7">
        <v>45500000</v>
      </c>
      <c r="E435" s="8">
        <v>6.31</v>
      </c>
      <c r="F435" s="7">
        <v>9732320</v>
      </c>
      <c r="G435" s="7">
        <v>9855514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9732320</v>
      </c>
      <c r="O435" s="7">
        <v>9855514</v>
      </c>
      <c r="P435" s="8">
        <v>1.27</v>
      </c>
      <c r="Q435" s="7">
        <v>0</v>
      </c>
      <c r="R435" s="7">
        <v>0</v>
      </c>
      <c r="S435" s="7">
        <v>9732320</v>
      </c>
      <c r="T435" s="7">
        <v>9855514</v>
      </c>
      <c r="U435" s="7">
        <v>9732320</v>
      </c>
      <c r="V435" s="7">
        <v>9855514</v>
      </c>
      <c r="W435" s="7">
        <v>0</v>
      </c>
      <c r="X435" s="7">
        <v>0</v>
      </c>
      <c r="Y435" s="7">
        <v>1744</v>
      </c>
      <c r="Z435" s="7">
        <v>1731</v>
      </c>
      <c r="AA435" s="8">
        <v>-0.75</v>
      </c>
      <c r="AB435" s="7">
        <v>714622</v>
      </c>
      <c r="AC435" s="7">
        <v>809930</v>
      </c>
      <c r="AD435" s="7">
        <v>2200000</v>
      </c>
      <c r="AE435" s="7">
        <v>2200000</v>
      </c>
      <c r="AF435" s="7">
        <v>1380143</v>
      </c>
      <c r="AG435" s="7">
        <v>1800000</v>
      </c>
      <c r="AH435" s="8">
        <v>3.22</v>
      </c>
      <c r="AI435" s="8">
        <v>3.96</v>
      </c>
    </row>
    <row r="436" spans="1:35" x14ac:dyDescent="0.25">
      <c r="A436" s="6" t="str">
        <f>"042400"</f>
        <v>042400</v>
      </c>
      <c r="B436" s="6" t="s">
        <v>471</v>
      </c>
      <c r="C436" s="7">
        <v>40111812</v>
      </c>
      <c r="D436" s="7">
        <v>39814691</v>
      </c>
      <c r="E436" s="8">
        <v>-0.74</v>
      </c>
      <c r="F436" s="7">
        <v>13750593</v>
      </c>
      <c r="G436" s="7">
        <v>13750593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13750593</v>
      </c>
      <c r="O436" s="7">
        <v>13750593</v>
      </c>
      <c r="P436" s="8">
        <v>0</v>
      </c>
      <c r="Q436" s="7">
        <v>324099</v>
      </c>
      <c r="R436" s="7">
        <v>360967</v>
      </c>
      <c r="S436" s="7">
        <v>13564250</v>
      </c>
      <c r="T436" s="7">
        <v>13599006</v>
      </c>
      <c r="U436" s="7">
        <v>13426494</v>
      </c>
      <c r="V436" s="7">
        <v>13389626</v>
      </c>
      <c r="W436" s="7">
        <v>137756</v>
      </c>
      <c r="X436" s="7">
        <v>209380</v>
      </c>
      <c r="Y436" s="7">
        <v>2235</v>
      </c>
      <c r="Z436" s="7">
        <v>2236</v>
      </c>
      <c r="AA436" s="8">
        <v>0.04</v>
      </c>
      <c r="AB436" s="7">
        <v>6035464</v>
      </c>
      <c r="AC436" s="7">
        <v>6028064</v>
      </c>
      <c r="AD436" s="7">
        <v>1046698</v>
      </c>
      <c r="AE436" s="7">
        <v>1034000</v>
      </c>
      <c r="AF436" s="7">
        <v>1847074</v>
      </c>
      <c r="AG436" s="7">
        <v>1592587</v>
      </c>
      <c r="AH436" s="8">
        <v>4.5999999999999996</v>
      </c>
      <c r="AI436" s="8">
        <v>4</v>
      </c>
    </row>
    <row r="437" spans="1:35" x14ac:dyDescent="0.25">
      <c r="A437" s="6" t="str">
        <f>"251400"</f>
        <v>251400</v>
      </c>
      <c r="B437" s="6" t="s">
        <v>472</v>
      </c>
      <c r="C437" s="7">
        <v>42757677</v>
      </c>
      <c r="D437" s="7">
        <v>44230233</v>
      </c>
      <c r="E437" s="8">
        <v>3.44</v>
      </c>
      <c r="F437" s="7">
        <v>16638500</v>
      </c>
      <c r="G437" s="7">
        <v>17030860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16638500</v>
      </c>
      <c r="O437" s="7">
        <v>17030860</v>
      </c>
      <c r="P437" s="8">
        <v>2.36</v>
      </c>
      <c r="Q437" s="7">
        <v>426308</v>
      </c>
      <c r="R437" s="7">
        <v>563724</v>
      </c>
      <c r="S437" s="7">
        <v>16212192</v>
      </c>
      <c r="T437" s="7">
        <v>16467136</v>
      </c>
      <c r="U437" s="7">
        <v>16212192</v>
      </c>
      <c r="V437" s="7">
        <v>16467136</v>
      </c>
      <c r="W437" s="7">
        <v>0</v>
      </c>
      <c r="X437" s="7">
        <v>0</v>
      </c>
      <c r="Y437" s="7">
        <v>2166</v>
      </c>
      <c r="Z437" s="7">
        <v>2060</v>
      </c>
      <c r="AA437" s="8">
        <v>-4.8899999999999997</v>
      </c>
      <c r="AB437" s="7">
        <v>5010019</v>
      </c>
      <c r="AC437" s="7">
        <v>4770825</v>
      </c>
      <c r="AD437" s="7">
        <v>1472805</v>
      </c>
      <c r="AE437" s="7">
        <v>1851463</v>
      </c>
      <c r="AF437" s="7">
        <v>2903235</v>
      </c>
      <c r="AG437" s="7">
        <v>673113</v>
      </c>
      <c r="AH437" s="8">
        <v>6.79</v>
      </c>
      <c r="AI437" s="8">
        <v>1.52</v>
      </c>
    </row>
    <row r="438" spans="1:35" x14ac:dyDescent="0.25">
      <c r="A438" s="6" t="str">
        <f>"471400"</f>
        <v>471400</v>
      </c>
      <c r="B438" s="6" t="s">
        <v>473</v>
      </c>
      <c r="C438" s="7">
        <v>37776382</v>
      </c>
      <c r="D438" s="7">
        <v>38678108</v>
      </c>
      <c r="E438" s="8">
        <v>2.39</v>
      </c>
      <c r="F438" s="7">
        <v>20322904</v>
      </c>
      <c r="G438" s="7">
        <v>20728563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20322904</v>
      </c>
      <c r="O438" s="7">
        <v>20728563</v>
      </c>
      <c r="P438" s="8">
        <v>2</v>
      </c>
      <c r="Q438" s="7">
        <v>746258</v>
      </c>
      <c r="R438" s="7">
        <v>833115</v>
      </c>
      <c r="S438" s="7">
        <v>19576646</v>
      </c>
      <c r="T438" s="7">
        <v>19995641</v>
      </c>
      <c r="U438" s="7">
        <v>19576646</v>
      </c>
      <c r="V438" s="7">
        <v>19895448</v>
      </c>
      <c r="W438" s="7">
        <v>0</v>
      </c>
      <c r="X438" s="7">
        <v>100193</v>
      </c>
      <c r="Y438" s="7">
        <v>1746</v>
      </c>
      <c r="Z438" s="7">
        <v>1756</v>
      </c>
      <c r="AA438" s="8">
        <v>0.56999999999999995</v>
      </c>
      <c r="AB438" s="7">
        <v>1463978</v>
      </c>
      <c r="AC438" s="7">
        <v>1542530</v>
      </c>
      <c r="AD438" s="7">
        <v>1517606</v>
      </c>
      <c r="AE438" s="7">
        <v>1207606</v>
      </c>
      <c r="AF438" s="7">
        <v>1540466</v>
      </c>
      <c r="AG438" s="7">
        <v>1523220</v>
      </c>
      <c r="AH438" s="8">
        <v>4.08</v>
      </c>
      <c r="AI438" s="8">
        <v>3.94</v>
      </c>
    </row>
    <row r="439" spans="1:35" x14ac:dyDescent="0.25">
      <c r="A439" s="6" t="str">
        <f>"421201"</f>
        <v>421201</v>
      </c>
      <c r="B439" s="6" t="s">
        <v>474</v>
      </c>
      <c r="C439" s="7">
        <v>20558700</v>
      </c>
      <c r="D439" s="7">
        <v>20971800</v>
      </c>
      <c r="E439" s="8">
        <v>2.0099999999999998</v>
      </c>
      <c r="F439" s="7">
        <v>9824019</v>
      </c>
      <c r="G439" s="7">
        <v>9922259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9824019</v>
      </c>
      <c r="O439" s="7">
        <v>9922259</v>
      </c>
      <c r="P439" s="8">
        <v>1</v>
      </c>
      <c r="Q439" s="7">
        <v>443828</v>
      </c>
      <c r="R439" s="7">
        <v>413890</v>
      </c>
      <c r="S439" s="7">
        <v>9493167</v>
      </c>
      <c r="T439" s="7">
        <v>9612781</v>
      </c>
      <c r="U439" s="7">
        <v>9380191</v>
      </c>
      <c r="V439" s="7">
        <v>9508369</v>
      </c>
      <c r="W439" s="7">
        <v>112976</v>
      </c>
      <c r="X439" s="7">
        <v>104412</v>
      </c>
      <c r="Y439" s="7">
        <v>884</v>
      </c>
      <c r="Z439" s="7">
        <v>886</v>
      </c>
      <c r="AA439" s="8">
        <v>0.23</v>
      </c>
      <c r="AB439" s="7">
        <v>2832702</v>
      </c>
      <c r="AC439" s="7">
        <v>2478785</v>
      </c>
      <c r="AD439" s="7">
        <v>553917</v>
      </c>
      <c r="AE439" s="7">
        <v>674503</v>
      </c>
      <c r="AF439" s="7">
        <v>822348</v>
      </c>
      <c r="AG439" s="7">
        <v>838872</v>
      </c>
      <c r="AH439" s="8">
        <v>4</v>
      </c>
      <c r="AI439" s="8">
        <v>4</v>
      </c>
    </row>
    <row r="440" spans="1:35" x14ac:dyDescent="0.25">
      <c r="A440" s="6" t="str">
        <f>"621201"</f>
        <v>621201</v>
      </c>
      <c r="B440" s="6" t="s">
        <v>475</v>
      </c>
      <c r="C440" s="7">
        <v>53222778</v>
      </c>
      <c r="D440" s="7">
        <v>54296155</v>
      </c>
      <c r="E440" s="8">
        <v>2.02</v>
      </c>
      <c r="F440" s="7">
        <v>40607444</v>
      </c>
      <c r="G440" s="7">
        <v>41338014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40607444</v>
      </c>
      <c r="O440" s="7">
        <v>41338014</v>
      </c>
      <c r="P440" s="8">
        <v>1.8</v>
      </c>
      <c r="Q440" s="7">
        <v>178140</v>
      </c>
      <c r="R440" s="7">
        <v>260651</v>
      </c>
      <c r="S440" s="7">
        <v>41081554</v>
      </c>
      <c r="T440" s="7">
        <v>41559792</v>
      </c>
      <c r="U440" s="7">
        <v>40429304</v>
      </c>
      <c r="V440" s="7">
        <v>41077363</v>
      </c>
      <c r="W440" s="7">
        <v>652250</v>
      </c>
      <c r="X440" s="7">
        <v>482429</v>
      </c>
      <c r="Y440" s="7">
        <v>1332</v>
      </c>
      <c r="Z440" s="7">
        <v>1294</v>
      </c>
      <c r="AA440" s="8">
        <v>-2.85</v>
      </c>
      <c r="AB440" s="7">
        <v>11834760</v>
      </c>
      <c r="AC440" s="7">
        <v>13147470</v>
      </c>
      <c r="AD440" s="7">
        <v>3095052</v>
      </c>
      <c r="AE440" s="7">
        <v>3385000</v>
      </c>
      <c r="AF440" s="7">
        <v>2128911</v>
      </c>
      <c r="AG440" s="7">
        <v>2171846</v>
      </c>
      <c r="AH440" s="8">
        <v>4</v>
      </c>
      <c r="AI440" s="8">
        <v>4</v>
      </c>
    </row>
    <row r="441" spans="1:35" x14ac:dyDescent="0.25">
      <c r="A441" s="6" t="str">
        <f>"271201"</f>
        <v>271201</v>
      </c>
      <c r="B441" s="6" t="s">
        <v>476</v>
      </c>
      <c r="C441" s="7">
        <v>18824930</v>
      </c>
      <c r="D441" s="7">
        <v>18655925</v>
      </c>
      <c r="E441" s="8">
        <v>-0.9</v>
      </c>
      <c r="F441" s="7">
        <v>4781849</v>
      </c>
      <c r="G441" s="7">
        <v>4781849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4781849</v>
      </c>
      <c r="O441" s="7">
        <v>4781849</v>
      </c>
      <c r="P441" s="8">
        <v>0</v>
      </c>
      <c r="Q441" s="7">
        <v>108107</v>
      </c>
      <c r="R441" s="7">
        <v>51151</v>
      </c>
      <c r="S441" s="7">
        <v>4721876</v>
      </c>
      <c r="T441" s="7">
        <v>4747193</v>
      </c>
      <c r="U441" s="7">
        <v>4673742</v>
      </c>
      <c r="V441" s="7">
        <v>4730698</v>
      </c>
      <c r="W441" s="7">
        <v>48134</v>
      </c>
      <c r="X441" s="7">
        <v>16495</v>
      </c>
      <c r="Y441" s="7">
        <v>760</v>
      </c>
      <c r="Z441" s="7">
        <v>742</v>
      </c>
      <c r="AA441" s="8">
        <v>-2.37</v>
      </c>
      <c r="AB441" s="7">
        <v>5898298</v>
      </c>
      <c r="AC441" s="7">
        <v>6398298</v>
      </c>
      <c r="AD441" s="7">
        <v>95456</v>
      </c>
      <c r="AE441" s="7">
        <v>150752</v>
      </c>
      <c r="AF441" s="7">
        <v>759475</v>
      </c>
      <c r="AG441" s="7">
        <v>749237</v>
      </c>
      <c r="AH441" s="8">
        <v>4.03</v>
      </c>
      <c r="AI441" s="8">
        <v>4.0199999999999996</v>
      </c>
    </row>
    <row r="442" spans="1:35" x14ac:dyDescent="0.25">
      <c r="A442" s="6" t="str">
        <f>"142301"</f>
        <v>142301</v>
      </c>
      <c r="B442" s="6" t="s">
        <v>477</v>
      </c>
      <c r="C442" s="7">
        <v>94632633</v>
      </c>
      <c r="D442" s="7">
        <v>98313735</v>
      </c>
      <c r="E442" s="8">
        <v>3.89</v>
      </c>
      <c r="F442" s="7">
        <v>60170654</v>
      </c>
      <c r="G442" s="7">
        <v>61554907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60170654</v>
      </c>
      <c r="O442" s="7">
        <v>61554907</v>
      </c>
      <c r="P442" s="8">
        <v>2.2999999999999998</v>
      </c>
      <c r="Q442" s="7">
        <v>2195632</v>
      </c>
      <c r="R442" s="7">
        <v>1980352</v>
      </c>
      <c r="S442" s="7">
        <v>57975022</v>
      </c>
      <c r="T442" s="7">
        <v>59574555</v>
      </c>
      <c r="U442" s="7">
        <v>57975022</v>
      </c>
      <c r="V442" s="7">
        <v>59574555</v>
      </c>
      <c r="W442" s="7">
        <v>0</v>
      </c>
      <c r="X442" s="7">
        <v>0</v>
      </c>
      <c r="Y442" s="7">
        <v>5079</v>
      </c>
      <c r="Z442" s="7">
        <v>5000</v>
      </c>
      <c r="AA442" s="8">
        <v>-1.56</v>
      </c>
      <c r="AB442" s="7">
        <v>5538277</v>
      </c>
      <c r="AC442" s="7">
        <v>5492437</v>
      </c>
      <c r="AD442" s="7">
        <v>2000000</v>
      </c>
      <c r="AE442" s="7">
        <v>2450000</v>
      </c>
      <c r="AF442" s="7">
        <v>4683087</v>
      </c>
      <c r="AG442" s="7">
        <v>3932549</v>
      </c>
      <c r="AH442" s="8">
        <v>4.95</v>
      </c>
      <c r="AI442" s="8">
        <v>4</v>
      </c>
    </row>
    <row r="443" spans="1:35" x14ac:dyDescent="0.25">
      <c r="A443" s="6" t="str">
        <f>"412901"</f>
        <v>412901</v>
      </c>
      <c r="B443" s="6" t="s">
        <v>478</v>
      </c>
      <c r="C443" s="7">
        <v>14680641</v>
      </c>
      <c r="D443" s="7">
        <v>14900851</v>
      </c>
      <c r="E443" s="8">
        <v>1.5</v>
      </c>
      <c r="F443" s="7">
        <v>5768506</v>
      </c>
      <c r="G443" s="7">
        <v>5789984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5768506</v>
      </c>
      <c r="O443" s="7">
        <v>5789984</v>
      </c>
      <c r="P443" s="8">
        <v>0.37</v>
      </c>
      <c r="Q443" s="7">
        <v>202177</v>
      </c>
      <c r="R443" s="7">
        <v>184569</v>
      </c>
      <c r="S443" s="7">
        <v>5566329</v>
      </c>
      <c r="T443" s="7">
        <v>5605415</v>
      </c>
      <c r="U443" s="7">
        <v>5566329</v>
      </c>
      <c r="V443" s="7">
        <v>5605415</v>
      </c>
      <c r="W443" s="7">
        <v>0</v>
      </c>
      <c r="X443" s="7">
        <v>0</v>
      </c>
      <c r="Y443" s="7">
        <v>630</v>
      </c>
      <c r="Z443" s="7">
        <v>604</v>
      </c>
      <c r="AA443" s="8">
        <v>-4.13</v>
      </c>
      <c r="AB443" s="7">
        <v>4115620</v>
      </c>
      <c r="AC443" s="7">
        <v>3917996</v>
      </c>
      <c r="AD443" s="7">
        <v>1366526</v>
      </c>
      <c r="AE443" s="7">
        <v>1860826</v>
      </c>
      <c r="AF443" s="7">
        <v>587222</v>
      </c>
      <c r="AG443" s="7">
        <v>596034</v>
      </c>
      <c r="AH443" s="8">
        <v>4</v>
      </c>
      <c r="AI443" s="8">
        <v>4</v>
      </c>
    </row>
    <row r="444" spans="1:35" x14ac:dyDescent="0.25">
      <c r="A444" s="6" t="str">
        <f>"661401"</f>
        <v>661401</v>
      </c>
      <c r="B444" s="6" t="s">
        <v>479</v>
      </c>
      <c r="C444" s="7">
        <v>125231125</v>
      </c>
      <c r="D444" s="7">
        <v>125675900</v>
      </c>
      <c r="E444" s="8">
        <v>0.36</v>
      </c>
      <c r="F444" s="7">
        <v>98100414</v>
      </c>
      <c r="G444" s="7">
        <v>100160260</v>
      </c>
      <c r="H444" s="7">
        <v>1221163</v>
      </c>
      <c r="I444" s="7">
        <v>1221163</v>
      </c>
      <c r="J444" s="7">
        <v>0</v>
      </c>
      <c r="K444" s="7">
        <v>0</v>
      </c>
      <c r="L444" s="7">
        <v>0</v>
      </c>
      <c r="M444" s="7">
        <v>0</v>
      </c>
      <c r="N444" s="7">
        <v>99321577</v>
      </c>
      <c r="O444" s="7">
        <v>101381423</v>
      </c>
      <c r="P444" s="8">
        <v>2.0699999999999998</v>
      </c>
      <c r="Q444" s="7">
        <v>5676596</v>
      </c>
      <c r="R444" s="7">
        <v>6345233</v>
      </c>
      <c r="S444" s="7">
        <v>92423818</v>
      </c>
      <c r="T444" s="7">
        <v>93840027</v>
      </c>
      <c r="U444" s="7">
        <v>92423818</v>
      </c>
      <c r="V444" s="7">
        <v>93815027</v>
      </c>
      <c r="W444" s="7">
        <v>0</v>
      </c>
      <c r="X444" s="7">
        <v>25000</v>
      </c>
      <c r="Y444" s="7">
        <v>5066</v>
      </c>
      <c r="Z444" s="7">
        <v>5151</v>
      </c>
      <c r="AA444" s="8">
        <v>1.68</v>
      </c>
      <c r="AB444" s="7">
        <v>22746509</v>
      </c>
      <c r="AC444" s="7">
        <v>21073432</v>
      </c>
      <c r="AD444" s="7">
        <v>2074748</v>
      </c>
      <c r="AE444" s="7">
        <v>1673077</v>
      </c>
      <c r="AF444" s="7">
        <v>8689588</v>
      </c>
      <c r="AG444" s="7">
        <v>5027036</v>
      </c>
      <c r="AH444" s="8">
        <v>6.94</v>
      </c>
      <c r="AI444" s="8">
        <v>4</v>
      </c>
    </row>
    <row r="445" spans="1:35" x14ac:dyDescent="0.25">
      <c r="A445" s="6" t="str">
        <f>"461300"</f>
        <v>461300</v>
      </c>
      <c r="B445" s="6" t="s">
        <v>480</v>
      </c>
      <c r="C445" s="7">
        <v>79510611</v>
      </c>
      <c r="D445" s="7">
        <v>82839101</v>
      </c>
      <c r="E445" s="8">
        <v>4.1900000000000004</v>
      </c>
      <c r="F445" s="7">
        <v>28874071</v>
      </c>
      <c r="G445" s="7">
        <v>29590512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28874071</v>
      </c>
      <c r="O445" s="7">
        <v>29590512</v>
      </c>
      <c r="P445" s="8">
        <v>2.48</v>
      </c>
      <c r="Q445" s="7">
        <v>2518659</v>
      </c>
      <c r="R445" s="7">
        <v>3689210</v>
      </c>
      <c r="S445" s="7">
        <v>26355412</v>
      </c>
      <c r="T445" s="7">
        <v>25901302</v>
      </c>
      <c r="U445" s="7">
        <v>26355412</v>
      </c>
      <c r="V445" s="7">
        <v>25901302</v>
      </c>
      <c r="W445" s="7">
        <v>0</v>
      </c>
      <c r="X445" s="7">
        <v>0</v>
      </c>
      <c r="Y445" s="7">
        <v>3732</v>
      </c>
      <c r="Z445" s="7">
        <v>3670</v>
      </c>
      <c r="AA445" s="8">
        <v>-1.66</v>
      </c>
      <c r="AB445" s="7">
        <v>6962479</v>
      </c>
      <c r="AC445" s="7">
        <v>4062479</v>
      </c>
      <c r="AD445" s="7">
        <v>0</v>
      </c>
      <c r="AE445" s="7">
        <v>1400000</v>
      </c>
      <c r="AF445" s="7">
        <v>3180424</v>
      </c>
      <c r="AG445" s="7">
        <v>3313564</v>
      </c>
      <c r="AH445" s="8">
        <v>4</v>
      </c>
      <c r="AI445" s="8">
        <v>4</v>
      </c>
    </row>
    <row r="446" spans="1:35" x14ac:dyDescent="0.25">
      <c r="A446" s="6" t="str">
        <f>"471601"</f>
        <v>471601</v>
      </c>
      <c r="B446" s="6" t="s">
        <v>481</v>
      </c>
      <c r="C446" s="7">
        <v>22045959</v>
      </c>
      <c r="D446" s="7">
        <v>22180916</v>
      </c>
      <c r="E446" s="8">
        <v>0.61</v>
      </c>
      <c r="F446" s="7">
        <v>7121643</v>
      </c>
      <c r="G446" s="7">
        <v>7196420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7121643</v>
      </c>
      <c r="O446" s="7">
        <v>7196420</v>
      </c>
      <c r="P446" s="8">
        <v>1.05</v>
      </c>
      <c r="Q446" s="7">
        <v>412640</v>
      </c>
      <c r="R446" s="7">
        <v>392550</v>
      </c>
      <c r="S446" s="7">
        <v>6709003</v>
      </c>
      <c r="T446" s="7">
        <v>6803870</v>
      </c>
      <c r="U446" s="7">
        <v>6709003</v>
      </c>
      <c r="V446" s="7">
        <v>6803870</v>
      </c>
      <c r="W446" s="7">
        <v>0</v>
      </c>
      <c r="X446" s="7">
        <v>0</v>
      </c>
      <c r="Y446" s="7">
        <v>895</v>
      </c>
      <c r="Z446" s="7">
        <v>839</v>
      </c>
      <c r="AA446" s="8">
        <v>-6.26</v>
      </c>
      <c r="AB446" s="7">
        <v>711188</v>
      </c>
      <c r="AC446" s="7">
        <v>364000</v>
      </c>
      <c r="AD446" s="7">
        <v>15236</v>
      </c>
      <c r="AE446" s="7">
        <v>15000</v>
      </c>
      <c r="AF446" s="19">
        <v>-602074</v>
      </c>
      <c r="AG446" s="7">
        <v>450000</v>
      </c>
      <c r="AH446" s="20">
        <v>-2.73</v>
      </c>
      <c r="AI446" s="8">
        <v>2.0299999999999998</v>
      </c>
    </row>
    <row r="447" spans="1:35" x14ac:dyDescent="0.25">
      <c r="A447" s="6" t="str">
        <f>"600601"</f>
        <v>600601</v>
      </c>
      <c r="B447" s="6" t="s">
        <v>482</v>
      </c>
      <c r="C447" s="7">
        <v>45022608</v>
      </c>
      <c r="D447" s="7">
        <v>45927442</v>
      </c>
      <c r="E447" s="8">
        <v>2.0099999999999998</v>
      </c>
      <c r="F447" s="7">
        <v>16594707</v>
      </c>
      <c r="G447" s="7">
        <v>16768512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16594707</v>
      </c>
      <c r="O447" s="7">
        <v>16768512</v>
      </c>
      <c r="P447" s="8">
        <v>1.05</v>
      </c>
      <c r="Q447" s="7">
        <v>0</v>
      </c>
      <c r="R447" s="7">
        <v>241470</v>
      </c>
      <c r="S447" s="7">
        <v>16594707</v>
      </c>
      <c r="T447" s="7">
        <v>16527042</v>
      </c>
      <c r="U447" s="7">
        <v>16594707</v>
      </c>
      <c r="V447" s="7">
        <v>16527042</v>
      </c>
      <c r="W447" s="7">
        <v>0</v>
      </c>
      <c r="X447" s="7">
        <v>0</v>
      </c>
      <c r="Y447" s="7">
        <v>2014</v>
      </c>
      <c r="Z447" s="7">
        <v>2014</v>
      </c>
      <c r="AA447" s="8">
        <v>0</v>
      </c>
      <c r="AB447" s="7">
        <v>4802318</v>
      </c>
      <c r="AC447" s="7">
        <v>4480298</v>
      </c>
      <c r="AD447" s="7">
        <v>1900000</v>
      </c>
      <c r="AE447" s="7">
        <v>1800000</v>
      </c>
      <c r="AF447" s="7">
        <v>1614027</v>
      </c>
      <c r="AG447" s="7">
        <v>1682919</v>
      </c>
      <c r="AH447" s="8">
        <v>3.58</v>
      </c>
      <c r="AI447" s="8">
        <v>3.66</v>
      </c>
    </row>
    <row r="448" spans="1:35" x14ac:dyDescent="0.25">
      <c r="A448" s="6" t="str">
        <f>"081501"</f>
        <v>081501</v>
      </c>
      <c r="B448" s="6" t="s">
        <v>483</v>
      </c>
      <c r="C448" s="7">
        <v>19597769</v>
      </c>
      <c r="D448" s="7">
        <v>19631540</v>
      </c>
      <c r="E448" s="8">
        <v>0.17</v>
      </c>
      <c r="F448" s="7">
        <v>4730785</v>
      </c>
      <c r="G448" s="7">
        <v>4790393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4730785</v>
      </c>
      <c r="O448" s="7">
        <v>4790393</v>
      </c>
      <c r="P448" s="8">
        <v>1.26</v>
      </c>
      <c r="Q448" s="7">
        <v>139925</v>
      </c>
      <c r="R448" s="7">
        <v>139925</v>
      </c>
      <c r="S448" s="7">
        <v>4655234</v>
      </c>
      <c r="T448" s="7">
        <v>4653054</v>
      </c>
      <c r="U448" s="7">
        <v>4590860</v>
      </c>
      <c r="V448" s="7">
        <v>4650468</v>
      </c>
      <c r="W448" s="7">
        <v>64374</v>
      </c>
      <c r="X448" s="7">
        <v>2586</v>
      </c>
      <c r="Y448" s="7">
        <v>785</v>
      </c>
      <c r="Z448" s="7">
        <v>778</v>
      </c>
      <c r="AA448" s="8">
        <v>-0.89</v>
      </c>
      <c r="AB448" s="7">
        <v>2336667</v>
      </c>
      <c r="AC448" s="7">
        <v>2068031</v>
      </c>
      <c r="AD448" s="7">
        <v>680402</v>
      </c>
      <c r="AE448" s="7">
        <v>330000</v>
      </c>
      <c r="AF448" s="7">
        <v>785672</v>
      </c>
      <c r="AG448" s="7">
        <v>785000</v>
      </c>
      <c r="AH448" s="8">
        <v>4.01</v>
      </c>
      <c r="AI448" s="8">
        <v>4</v>
      </c>
    </row>
    <row r="449" spans="1:35" x14ac:dyDescent="0.25">
      <c r="A449" s="6" t="str">
        <f>"280506"</f>
        <v>280506</v>
      </c>
      <c r="B449" s="6" t="s">
        <v>484</v>
      </c>
      <c r="C449" s="7">
        <v>55866883</v>
      </c>
      <c r="D449" s="7">
        <v>56302323</v>
      </c>
      <c r="E449" s="8">
        <v>0.78</v>
      </c>
      <c r="F449" s="7">
        <v>50562695</v>
      </c>
      <c r="G449" s="7">
        <v>50835595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50562695</v>
      </c>
      <c r="O449" s="7">
        <v>50835595</v>
      </c>
      <c r="P449" s="8">
        <v>0.54</v>
      </c>
      <c r="Q449" s="7">
        <v>2428175</v>
      </c>
      <c r="R449" s="7">
        <v>1959244</v>
      </c>
      <c r="S449" s="7">
        <v>48134520</v>
      </c>
      <c r="T449" s="7">
        <v>48954632</v>
      </c>
      <c r="U449" s="7">
        <v>48134520</v>
      </c>
      <c r="V449" s="7">
        <v>48876351</v>
      </c>
      <c r="W449" s="7">
        <v>0</v>
      </c>
      <c r="X449" s="7">
        <v>78281</v>
      </c>
      <c r="Y449" s="7">
        <v>1603</v>
      </c>
      <c r="Z449" s="7">
        <v>1607</v>
      </c>
      <c r="AA449" s="8">
        <v>0.25</v>
      </c>
      <c r="AB449" s="7">
        <v>10872573</v>
      </c>
      <c r="AC449" s="7">
        <v>8799433</v>
      </c>
      <c r="AD449" s="7">
        <v>700000</v>
      </c>
      <c r="AE449" s="7">
        <v>1000000</v>
      </c>
      <c r="AF449" s="7">
        <v>2234675</v>
      </c>
      <c r="AG449" s="7">
        <v>2250000</v>
      </c>
      <c r="AH449" s="8">
        <v>4</v>
      </c>
      <c r="AI449" s="8">
        <v>4</v>
      </c>
    </row>
    <row r="450" spans="1:35" x14ac:dyDescent="0.25">
      <c r="A450" s="6" t="str">
        <f>"581002"</f>
        <v>581002</v>
      </c>
      <c r="B450" s="6" t="s">
        <v>485</v>
      </c>
      <c r="C450" s="7">
        <v>5680052</v>
      </c>
      <c r="D450" s="7">
        <v>5704425</v>
      </c>
      <c r="E450" s="8">
        <v>0.43</v>
      </c>
      <c r="F450" s="7">
        <v>5114056</v>
      </c>
      <c r="G450" s="7">
        <v>5138562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5114056</v>
      </c>
      <c r="O450" s="7">
        <v>5138562</v>
      </c>
      <c r="P450" s="8">
        <v>0.48</v>
      </c>
      <c r="Q450" s="7">
        <v>0</v>
      </c>
      <c r="R450" s="7">
        <v>0</v>
      </c>
      <c r="S450" s="7">
        <v>5114056</v>
      </c>
      <c r="T450" s="7">
        <v>5216814</v>
      </c>
      <c r="U450" s="7">
        <v>5114056</v>
      </c>
      <c r="V450" s="7">
        <v>5138562</v>
      </c>
      <c r="W450" s="7">
        <v>0</v>
      </c>
      <c r="X450" s="7">
        <v>78252</v>
      </c>
      <c r="Y450" s="7">
        <v>170</v>
      </c>
      <c r="Z450" s="7">
        <v>172</v>
      </c>
      <c r="AA450" s="8">
        <v>1.18</v>
      </c>
      <c r="AB450" s="7">
        <v>676827</v>
      </c>
      <c r="AC450" s="7">
        <v>776827</v>
      </c>
      <c r="AD450" s="7">
        <v>200000</v>
      </c>
      <c r="AE450" s="7">
        <v>200000</v>
      </c>
      <c r="AF450" s="7">
        <v>468776</v>
      </c>
      <c r="AG450" s="7">
        <v>452063</v>
      </c>
      <c r="AH450" s="8">
        <v>8.25</v>
      </c>
      <c r="AI450" s="8">
        <v>7.92</v>
      </c>
    </row>
    <row r="451" spans="1:35" x14ac:dyDescent="0.25">
      <c r="A451" s="6" t="str">
        <f>"650901"</f>
        <v>650901</v>
      </c>
      <c r="B451" s="6" t="s">
        <v>486</v>
      </c>
      <c r="C451" s="7">
        <v>38198060</v>
      </c>
      <c r="D451" s="7">
        <v>38652360</v>
      </c>
      <c r="E451" s="8">
        <v>1.19</v>
      </c>
      <c r="F451" s="7">
        <v>18030685</v>
      </c>
      <c r="G451" s="7">
        <v>18338500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18030685</v>
      </c>
      <c r="O451" s="7">
        <v>18338500</v>
      </c>
      <c r="P451" s="8">
        <v>1.71</v>
      </c>
      <c r="Q451" s="7">
        <v>0</v>
      </c>
      <c r="R451" s="7">
        <v>0</v>
      </c>
      <c r="S451" s="7">
        <v>18030698</v>
      </c>
      <c r="T451" s="7">
        <v>18338862</v>
      </c>
      <c r="U451" s="7">
        <v>18030685</v>
      </c>
      <c r="V451" s="7">
        <v>18338500</v>
      </c>
      <c r="W451" s="7">
        <v>13</v>
      </c>
      <c r="X451" s="7">
        <v>362</v>
      </c>
      <c r="Y451" s="7">
        <v>1895</v>
      </c>
      <c r="Z451" s="7">
        <v>1885</v>
      </c>
      <c r="AA451" s="8">
        <v>-0.53</v>
      </c>
      <c r="AB451" s="7">
        <v>10530562</v>
      </c>
      <c r="AC451" s="7">
        <v>9930000</v>
      </c>
      <c r="AD451" s="7">
        <v>400000</v>
      </c>
      <c r="AE451" s="7">
        <v>200000</v>
      </c>
      <c r="AF451" s="7">
        <v>1428586</v>
      </c>
      <c r="AG451" s="7">
        <v>1546100</v>
      </c>
      <c r="AH451" s="8">
        <v>3.74</v>
      </c>
      <c r="AI451" s="8">
        <v>4</v>
      </c>
    </row>
    <row r="452" spans="1:35" x14ac:dyDescent="0.25">
      <c r="A452" s="6" t="str">
        <f>"061601"</f>
        <v>061601</v>
      </c>
      <c r="B452" s="6" t="s">
        <v>487</v>
      </c>
      <c r="C452" s="7">
        <v>13151863</v>
      </c>
      <c r="D452" s="7">
        <v>13739877</v>
      </c>
      <c r="E452" s="8">
        <v>4.47</v>
      </c>
      <c r="F452" s="7">
        <v>3464980</v>
      </c>
      <c r="G452" s="7">
        <v>3464980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3464980</v>
      </c>
      <c r="O452" s="7">
        <v>3464980</v>
      </c>
      <c r="P452" s="8">
        <v>0</v>
      </c>
      <c r="Q452" s="7">
        <v>156743</v>
      </c>
      <c r="R452" s="7">
        <v>271500</v>
      </c>
      <c r="S452" s="7">
        <v>3315263</v>
      </c>
      <c r="T452" s="7">
        <v>3373119</v>
      </c>
      <c r="U452" s="7">
        <v>3308237</v>
      </c>
      <c r="V452" s="7">
        <v>3193480</v>
      </c>
      <c r="W452" s="7">
        <v>7026</v>
      </c>
      <c r="X452" s="7">
        <v>179639</v>
      </c>
      <c r="Y452" s="7">
        <v>478</v>
      </c>
      <c r="Z452" s="7">
        <v>476</v>
      </c>
      <c r="AA452" s="8">
        <v>-0.42</v>
      </c>
      <c r="AB452" s="7">
        <v>748662</v>
      </c>
      <c r="AC452" s="7">
        <v>748662</v>
      </c>
      <c r="AD452" s="7">
        <v>213913</v>
      </c>
      <c r="AE452" s="7">
        <v>645895</v>
      </c>
      <c r="AF452" s="7">
        <v>2602133</v>
      </c>
      <c r="AG452" s="7">
        <v>2346779</v>
      </c>
      <c r="AH452" s="8">
        <v>19.79</v>
      </c>
      <c r="AI452" s="8">
        <v>17.079999999999998</v>
      </c>
    </row>
    <row r="453" spans="1:35" x14ac:dyDescent="0.25">
      <c r="A453" s="6" t="str">
        <f>"512501"</f>
        <v>512501</v>
      </c>
      <c r="B453" s="6" t="s">
        <v>488</v>
      </c>
      <c r="C453" s="7">
        <v>11017014</v>
      </c>
      <c r="D453" s="7">
        <v>11304405</v>
      </c>
      <c r="E453" s="8">
        <v>2.61</v>
      </c>
      <c r="F453" s="7">
        <v>3600454</v>
      </c>
      <c r="G453" s="7">
        <v>3713984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3600454</v>
      </c>
      <c r="O453" s="7">
        <v>3713984</v>
      </c>
      <c r="P453" s="8">
        <v>3.15</v>
      </c>
      <c r="Q453" s="7">
        <v>13419</v>
      </c>
      <c r="R453" s="7">
        <v>74084</v>
      </c>
      <c r="S453" s="7">
        <v>3423143</v>
      </c>
      <c r="T453" s="7">
        <v>3639900</v>
      </c>
      <c r="U453" s="7">
        <v>3587035</v>
      </c>
      <c r="V453" s="7">
        <v>3639900</v>
      </c>
      <c r="W453" s="7">
        <v>-163892</v>
      </c>
      <c r="X453" s="7">
        <v>0</v>
      </c>
      <c r="Y453" s="7">
        <v>430</v>
      </c>
      <c r="Z453" s="7">
        <v>426</v>
      </c>
      <c r="AA453" s="8">
        <v>-0.93</v>
      </c>
      <c r="AB453" s="7">
        <v>2401171</v>
      </c>
      <c r="AC453" s="7">
        <v>2406371</v>
      </c>
      <c r="AD453" s="7">
        <v>1026391</v>
      </c>
      <c r="AE453" s="7">
        <v>986307</v>
      </c>
      <c r="AF453" s="7">
        <v>273850</v>
      </c>
      <c r="AG453" s="7">
        <v>289158</v>
      </c>
      <c r="AH453" s="8">
        <v>2.4900000000000002</v>
      </c>
      <c r="AI453" s="8">
        <v>2.56</v>
      </c>
    </row>
    <row r="454" spans="1:35" x14ac:dyDescent="0.25">
      <c r="A454" s="6" t="str">
        <f>"580224"</f>
        <v>580224</v>
      </c>
      <c r="B454" s="6" t="s">
        <v>489</v>
      </c>
      <c r="C454" s="7">
        <v>177333831</v>
      </c>
      <c r="D454" s="7">
        <v>183951068</v>
      </c>
      <c r="E454" s="8">
        <v>3.73</v>
      </c>
      <c r="F454" s="7">
        <v>105131048</v>
      </c>
      <c r="G454" s="7">
        <v>108920314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105131048</v>
      </c>
      <c r="O454" s="7">
        <v>108920314</v>
      </c>
      <c r="P454" s="8">
        <v>3.6</v>
      </c>
      <c r="Q454" s="7">
        <v>1621330</v>
      </c>
      <c r="R454" s="7">
        <v>2188766</v>
      </c>
      <c r="S454" s="7">
        <v>103509718</v>
      </c>
      <c r="T454" s="7">
        <v>106731548</v>
      </c>
      <c r="U454" s="7">
        <v>103509718</v>
      </c>
      <c r="V454" s="7">
        <v>106731548</v>
      </c>
      <c r="W454" s="7">
        <v>0</v>
      </c>
      <c r="X454" s="7">
        <v>0</v>
      </c>
      <c r="Y454" s="7">
        <v>7720</v>
      </c>
      <c r="Z454" s="7">
        <v>7677</v>
      </c>
      <c r="AA454" s="8">
        <v>-0.56000000000000005</v>
      </c>
      <c r="AB454" s="7">
        <v>16937692</v>
      </c>
      <c r="AC454" s="7">
        <v>14624672</v>
      </c>
      <c r="AD454" s="7">
        <v>2055179</v>
      </c>
      <c r="AE454" s="7">
        <v>0</v>
      </c>
      <c r="AF454" s="7">
        <v>7076406</v>
      </c>
      <c r="AG454" s="7">
        <v>7345692</v>
      </c>
      <c r="AH454" s="8">
        <v>3.99</v>
      </c>
      <c r="AI454" s="8">
        <v>3.99</v>
      </c>
    </row>
    <row r="455" spans="1:35" x14ac:dyDescent="0.25">
      <c r="A455" s="6" t="str">
        <f>"181201"</f>
        <v>181201</v>
      </c>
      <c r="B455" s="6" t="s">
        <v>490</v>
      </c>
      <c r="C455" s="7">
        <v>18190577</v>
      </c>
      <c r="D455" s="7">
        <v>18467398</v>
      </c>
      <c r="E455" s="8">
        <v>1.52</v>
      </c>
      <c r="F455" s="7">
        <v>5219876</v>
      </c>
      <c r="G455" s="7">
        <v>5310702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5219876</v>
      </c>
      <c r="O455" s="7">
        <v>5310702</v>
      </c>
      <c r="P455" s="8">
        <v>1.74</v>
      </c>
      <c r="Q455" s="7">
        <v>0</v>
      </c>
      <c r="R455" s="7">
        <v>0</v>
      </c>
      <c r="S455" s="7">
        <v>5286462</v>
      </c>
      <c r="T455" s="7">
        <v>5385044</v>
      </c>
      <c r="U455" s="7">
        <v>5219876</v>
      </c>
      <c r="V455" s="7">
        <v>5310702</v>
      </c>
      <c r="W455" s="7">
        <v>66586</v>
      </c>
      <c r="X455" s="7">
        <v>74342</v>
      </c>
      <c r="Y455" s="7">
        <v>685</v>
      </c>
      <c r="Z455" s="7">
        <v>685</v>
      </c>
      <c r="AA455" s="8">
        <v>0</v>
      </c>
      <c r="AB455" s="7">
        <v>6586909</v>
      </c>
      <c r="AC455" s="7">
        <v>6300000</v>
      </c>
      <c r="AD455" s="7">
        <v>800000</v>
      </c>
      <c r="AE455" s="7">
        <v>800000</v>
      </c>
      <c r="AF455" s="7">
        <v>727623</v>
      </c>
      <c r="AG455" s="7">
        <v>738696</v>
      </c>
      <c r="AH455" s="8">
        <v>4</v>
      </c>
      <c r="AI455" s="8">
        <v>4</v>
      </c>
    </row>
    <row r="456" spans="1:35" x14ac:dyDescent="0.25">
      <c r="A456" s="6" t="str">
        <f>"131201"</f>
        <v>131201</v>
      </c>
      <c r="B456" s="6" t="s">
        <v>491</v>
      </c>
      <c r="C456" s="7">
        <v>37090937</v>
      </c>
      <c r="D456" s="7">
        <v>36670764</v>
      </c>
      <c r="E456" s="8">
        <v>-1.1299999999999999</v>
      </c>
      <c r="F456" s="7">
        <v>29231480</v>
      </c>
      <c r="G456" s="7">
        <v>28662471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29231480</v>
      </c>
      <c r="O456" s="7">
        <v>28662471</v>
      </c>
      <c r="P456" s="8">
        <v>-1.95</v>
      </c>
      <c r="Q456" s="7">
        <v>2026955</v>
      </c>
      <c r="R456" s="7">
        <v>2085224</v>
      </c>
      <c r="S456" s="7">
        <v>27922294</v>
      </c>
      <c r="T456" s="7">
        <v>27724901</v>
      </c>
      <c r="U456" s="7">
        <v>27204525</v>
      </c>
      <c r="V456" s="7">
        <v>26577247</v>
      </c>
      <c r="W456" s="7">
        <v>717769</v>
      </c>
      <c r="X456" s="7">
        <v>1147654</v>
      </c>
      <c r="Y456" s="7">
        <v>1176</v>
      </c>
      <c r="Z456" s="7">
        <v>1157</v>
      </c>
      <c r="AA456" s="8">
        <v>-1.62</v>
      </c>
      <c r="AB456" s="7">
        <v>7287248</v>
      </c>
      <c r="AC456" s="7">
        <v>7214315</v>
      </c>
      <c r="AD456" s="7">
        <v>1148607</v>
      </c>
      <c r="AE456" s="7">
        <v>1148607</v>
      </c>
      <c r="AF456" s="7">
        <v>1483637</v>
      </c>
      <c r="AG456" s="7">
        <v>1466831</v>
      </c>
      <c r="AH456" s="8">
        <v>4</v>
      </c>
      <c r="AI456" s="8">
        <v>4</v>
      </c>
    </row>
    <row r="457" spans="1:35" x14ac:dyDescent="0.25">
      <c r="A457" s="6" t="str">
        <f>"500308"</f>
        <v>500308</v>
      </c>
      <c r="B457" s="6" t="s">
        <v>492</v>
      </c>
      <c r="C457" s="7">
        <v>64584721</v>
      </c>
      <c r="D457" s="7">
        <v>65880252</v>
      </c>
      <c r="E457" s="8">
        <v>2.0099999999999998</v>
      </c>
      <c r="F457" s="7">
        <v>52910660</v>
      </c>
      <c r="G457" s="7">
        <v>53917311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52910660</v>
      </c>
      <c r="O457" s="7">
        <v>53917311</v>
      </c>
      <c r="P457" s="8">
        <v>1.9</v>
      </c>
      <c r="Q457" s="7">
        <v>0</v>
      </c>
      <c r="R457" s="7">
        <v>0</v>
      </c>
      <c r="S457" s="12">
        <v>52910660</v>
      </c>
      <c r="T457" s="12">
        <v>53917311</v>
      </c>
      <c r="U457" s="7">
        <v>52910660</v>
      </c>
      <c r="V457" s="7">
        <v>53917311</v>
      </c>
      <c r="W457" s="11">
        <v>0</v>
      </c>
      <c r="X457" s="11">
        <v>0</v>
      </c>
      <c r="Y457" s="7">
        <v>2523</v>
      </c>
      <c r="Z457" s="7">
        <v>2504</v>
      </c>
      <c r="AA457" s="8">
        <v>-0.75</v>
      </c>
      <c r="AB457" s="7">
        <v>7101174</v>
      </c>
      <c r="AC457" s="7">
        <v>6969834</v>
      </c>
      <c r="AD457" s="7">
        <v>0</v>
      </c>
      <c r="AE457" s="7">
        <v>0</v>
      </c>
      <c r="AF457" s="7">
        <v>2583390</v>
      </c>
      <c r="AG457" s="7">
        <v>2635210</v>
      </c>
      <c r="AH457" s="8">
        <v>4</v>
      </c>
      <c r="AI457" s="8">
        <v>4</v>
      </c>
    </row>
    <row r="458" spans="1:35" x14ac:dyDescent="0.25">
      <c r="A458" s="6" t="str">
        <f>"661500"</f>
        <v>661500</v>
      </c>
      <c r="B458" s="6" t="s">
        <v>493</v>
      </c>
      <c r="C458" s="7">
        <v>86564193</v>
      </c>
      <c r="D458" s="7">
        <v>89634989</v>
      </c>
      <c r="E458" s="8">
        <v>3.55</v>
      </c>
      <c r="F458" s="7">
        <v>39446681</v>
      </c>
      <c r="G458" s="7">
        <v>39850600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39446681</v>
      </c>
      <c r="O458" s="7">
        <v>39850600</v>
      </c>
      <c r="P458" s="8">
        <v>1.02</v>
      </c>
      <c r="Q458" s="7">
        <v>1687920</v>
      </c>
      <c r="R458" s="7">
        <v>1604193</v>
      </c>
      <c r="S458" s="7">
        <v>37758761</v>
      </c>
      <c r="T458" s="7">
        <v>38246407</v>
      </c>
      <c r="U458" s="7">
        <v>37758761</v>
      </c>
      <c r="V458" s="7">
        <v>38246407</v>
      </c>
      <c r="W458" s="7">
        <v>0</v>
      </c>
      <c r="X458" s="7">
        <v>0</v>
      </c>
      <c r="Y458" s="7">
        <v>3413</v>
      </c>
      <c r="Z458" s="7">
        <v>3517</v>
      </c>
      <c r="AA458" s="8">
        <v>3.05</v>
      </c>
      <c r="AB458" s="7">
        <v>2496471</v>
      </c>
      <c r="AC458" s="7">
        <v>3656535</v>
      </c>
      <c r="AD458" s="7">
        <v>2915622</v>
      </c>
      <c r="AE458" s="7">
        <v>2955000</v>
      </c>
      <c r="AF458" s="7">
        <v>3460592</v>
      </c>
      <c r="AG458" s="7">
        <v>3585846</v>
      </c>
      <c r="AH458" s="8">
        <v>4</v>
      </c>
      <c r="AI458" s="8">
        <v>4</v>
      </c>
    </row>
    <row r="459" spans="1:35" x14ac:dyDescent="0.25">
      <c r="A459" s="6" t="str">
        <f>"661601"</f>
        <v>661601</v>
      </c>
      <c r="B459" s="6" t="s">
        <v>494</v>
      </c>
      <c r="C459" s="7">
        <v>70938000</v>
      </c>
      <c r="D459" s="7">
        <v>72780000</v>
      </c>
      <c r="E459" s="8">
        <v>2.6</v>
      </c>
      <c r="F459" s="7">
        <v>59254100</v>
      </c>
      <c r="G459" s="7">
        <v>60427331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59254100</v>
      </c>
      <c r="O459" s="7">
        <v>60427331</v>
      </c>
      <c r="P459" s="8">
        <v>1.98</v>
      </c>
      <c r="Q459" s="7">
        <v>1169320</v>
      </c>
      <c r="R459" s="7">
        <v>1534989</v>
      </c>
      <c r="S459" s="7">
        <v>58189907</v>
      </c>
      <c r="T459" s="7">
        <v>58984650</v>
      </c>
      <c r="U459" s="7">
        <v>58084780</v>
      </c>
      <c r="V459" s="7">
        <v>58892342</v>
      </c>
      <c r="W459" s="7">
        <v>105127</v>
      </c>
      <c r="X459" s="7">
        <v>92308</v>
      </c>
      <c r="Y459" s="7">
        <v>2872</v>
      </c>
      <c r="Z459" s="7">
        <v>2908</v>
      </c>
      <c r="AA459" s="8">
        <v>1.25</v>
      </c>
      <c r="AB459" s="7">
        <v>11913151</v>
      </c>
      <c r="AC459" s="7">
        <v>11134698</v>
      </c>
      <c r="AD459" s="7">
        <v>2237454</v>
      </c>
      <c r="AE459" s="7">
        <v>2321780</v>
      </c>
      <c r="AF459" s="7">
        <v>2837518</v>
      </c>
      <c r="AG459" s="7">
        <v>2911200</v>
      </c>
      <c r="AH459" s="8">
        <v>4</v>
      </c>
      <c r="AI459" s="8">
        <v>4</v>
      </c>
    </row>
    <row r="460" spans="1:35" x14ac:dyDescent="0.25">
      <c r="A460" s="6" t="str">
        <f>"181302"</f>
        <v>181302</v>
      </c>
      <c r="B460" s="6" t="s">
        <v>495</v>
      </c>
      <c r="C460" s="7">
        <v>21720738</v>
      </c>
      <c r="D460" s="7">
        <v>22284632</v>
      </c>
      <c r="E460" s="8">
        <v>2.6</v>
      </c>
      <c r="F460" s="7">
        <v>7798406</v>
      </c>
      <c r="G460" s="7">
        <v>7947371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7798406</v>
      </c>
      <c r="O460" s="7">
        <v>7947371</v>
      </c>
      <c r="P460" s="8">
        <v>1.91</v>
      </c>
      <c r="Q460" s="7">
        <v>0</v>
      </c>
      <c r="R460" s="7">
        <v>0</v>
      </c>
      <c r="S460" s="7">
        <v>7834005</v>
      </c>
      <c r="T460" s="7">
        <v>7947371</v>
      </c>
      <c r="U460" s="7">
        <v>7798406</v>
      </c>
      <c r="V460" s="7">
        <v>7947371</v>
      </c>
      <c r="W460" s="7">
        <v>35599</v>
      </c>
      <c r="X460" s="7">
        <v>0</v>
      </c>
      <c r="Y460" s="7">
        <v>986</v>
      </c>
      <c r="Z460" s="7">
        <v>1010</v>
      </c>
      <c r="AA460" s="8">
        <v>2.4300000000000002</v>
      </c>
      <c r="AB460" s="7">
        <v>6338132</v>
      </c>
      <c r="AC460" s="7">
        <v>6393217</v>
      </c>
      <c r="AD460" s="7">
        <v>1100000</v>
      </c>
      <c r="AE460" s="7">
        <v>1100000</v>
      </c>
      <c r="AF460" s="7">
        <v>868832</v>
      </c>
      <c r="AG460" s="7">
        <v>891385</v>
      </c>
      <c r="AH460" s="8">
        <v>4</v>
      </c>
      <c r="AI460" s="8">
        <v>4</v>
      </c>
    </row>
    <row r="461" spans="1:35" x14ac:dyDescent="0.25">
      <c r="A461" s="6" t="str">
        <f>"261201"</f>
        <v>261201</v>
      </c>
      <c r="B461" s="6" t="s">
        <v>496</v>
      </c>
      <c r="C461" s="7">
        <v>93310838</v>
      </c>
      <c r="D461" s="7">
        <v>95500347</v>
      </c>
      <c r="E461" s="8">
        <v>2.35</v>
      </c>
      <c r="F461" s="7">
        <v>60539948</v>
      </c>
      <c r="G461" s="7">
        <v>61689532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60539948</v>
      </c>
      <c r="O461" s="7">
        <v>61689532</v>
      </c>
      <c r="P461" s="8">
        <v>1.9</v>
      </c>
      <c r="Q461" s="7">
        <v>0</v>
      </c>
      <c r="R461" s="7">
        <v>0</v>
      </c>
      <c r="S461" s="7">
        <v>60739948</v>
      </c>
      <c r="T461" s="7">
        <v>61839265</v>
      </c>
      <c r="U461" s="7">
        <v>60539948</v>
      </c>
      <c r="V461" s="7">
        <v>61689532</v>
      </c>
      <c r="W461" s="7">
        <v>200000</v>
      </c>
      <c r="X461" s="7">
        <v>149733</v>
      </c>
      <c r="Y461" s="7">
        <v>4591</v>
      </c>
      <c r="Z461" s="7">
        <v>4662</v>
      </c>
      <c r="AA461" s="8">
        <v>1.55</v>
      </c>
      <c r="AB461" s="7">
        <v>22979980</v>
      </c>
      <c r="AC461" s="7">
        <v>24979980</v>
      </c>
      <c r="AD461" s="7">
        <v>2071599</v>
      </c>
      <c r="AE461" s="7">
        <v>2071599</v>
      </c>
      <c r="AF461" s="7">
        <v>3732433</v>
      </c>
      <c r="AG461" s="7">
        <v>3820014</v>
      </c>
      <c r="AH461" s="8">
        <v>4</v>
      </c>
      <c r="AI461" s="8">
        <v>4</v>
      </c>
    </row>
    <row r="462" spans="1:35" x14ac:dyDescent="0.25">
      <c r="A462" s="6" t="str">
        <f>"680601"</f>
        <v>680601</v>
      </c>
      <c r="B462" s="6" t="s">
        <v>497</v>
      </c>
      <c r="C462" s="7">
        <v>34641298</v>
      </c>
      <c r="D462" s="7">
        <v>35166153</v>
      </c>
      <c r="E462" s="8">
        <v>1.52</v>
      </c>
      <c r="F462" s="7">
        <v>17819035</v>
      </c>
      <c r="G462" s="7">
        <v>18137289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17819035</v>
      </c>
      <c r="O462" s="7">
        <v>18137289</v>
      </c>
      <c r="P462" s="8">
        <v>1.79</v>
      </c>
      <c r="Q462" s="7">
        <v>1819388</v>
      </c>
      <c r="R462" s="7">
        <v>1921877</v>
      </c>
      <c r="S462" s="7">
        <v>16041410</v>
      </c>
      <c r="T462" s="7">
        <v>16233869</v>
      </c>
      <c r="U462" s="7">
        <v>15999647</v>
      </c>
      <c r="V462" s="7">
        <v>16215412</v>
      </c>
      <c r="W462" s="7">
        <v>41763</v>
      </c>
      <c r="X462" s="7">
        <v>18457</v>
      </c>
      <c r="Y462" s="7">
        <v>1465</v>
      </c>
      <c r="Z462" s="7">
        <v>1441</v>
      </c>
      <c r="AA462" s="8">
        <v>-1.64</v>
      </c>
      <c r="AB462" s="7">
        <v>8105702</v>
      </c>
      <c r="AC462" s="7">
        <v>7500000</v>
      </c>
      <c r="AD462" s="7">
        <v>597314</v>
      </c>
      <c r="AE462" s="7">
        <v>650000</v>
      </c>
      <c r="AF462" s="7">
        <v>1484586</v>
      </c>
      <c r="AG462" s="7">
        <v>1406646</v>
      </c>
      <c r="AH462" s="8">
        <v>4.29</v>
      </c>
      <c r="AI462" s="8">
        <v>4</v>
      </c>
    </row>
    <row r="463" spans="1:35" x14ac:dyDescent="0.25">
      <c r="A463" s="6" t="str">
        <f>"671201"</f>
        <v>671201</v>
      </c>
      <c r="B463" s="6" t="s">
        <v>498</v>
      </c>
      <c r="C463" s="7">
        <v>17945475</v>
      </c>
      <c r="D463" s="7">
        <v>18103719</v>
      </c>
      <c r="E463" s="8">
        <v>0.88</v>
      </c>
      <c r="F463" s="7">
        <v>6213776</v>
      </c>
      <c r="G463" s="7">
        <v>6213776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6213776</v>
      </c>
      <c r="O463" s="7">
        <v>6213776</v>
      </c>
      <c r="P463" s="8">
        <v>0</v>
      </c>
      <c r="Q463" s="7">
        <v>166763</v>
      </c>
      <c r="R463" s="7">
        <v>173940</v>
      </c>
      <c r="S463" s="7">
        <v>6062361</v>
      </c>
      <c r="T463" s="7">
        <v>6159541</v>
      </c>
      <c r="U463" s="7">
        <v>6047013</v>
      </c>
      <c r="V463" s="7">
        <v>6039836</v>
      </c>
      <c r="W463" s="7">
        <v>15348</v>
      </c>
      <c r="X463" s="7">
        <v>119705</v>
      </c>
      <c r="Y463" s="7">
        <v>869</v>
      </c>
      <c r="Z463" s="7">
        <v>858</v>
      </c>
      <c r="AA463" s="8">
        <v>-1.27</v>
      </c>
      <c r="AB463" s="7">
        <v>4258567</v>
      </c>
      <c r="AC463" s="7">
        <v>4743177</v>
      </c>
      <c r="AD463" s="7">
        <v>489286</v>
      </c>
      <c r="AE463" s="7">
        <v>451532</v>
      </c>
      <c r="AF463" s="7">
        <v>717819</v>
      </c>
      <c r="AG463" s="7">
        <v>724149</v>
      </c>
      <c r="AH463" s="8">
        <v>4</v>
      </c>
      <c r="AI463" s="8">
        <v>4</v>
      </c>
    </row>
    <row r="464" spans="1:35" x14ac:dyDescent="0.25">
      <c r="A464" s="6" t="str">
        <f>"091101"</f>
        <v>091101</v>
      </c>
      <c r="B464" s="6" t="s">
        <v>499</v>
      </c>
      <c r="C464" s="7">
        <v>45075047</v>
      </c>
      <c r="D464" s="7">
        <v>47045143</v>
      </c>
      <c r="E464" s="8">
        <v>4.37</v>
      </c>
      <c r="F464" s="7">
        <v>16647032</v>
      </c>
      <c r="G464" s="7">
        <v>16993407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16647032</v>
      </c>
      <c r="O464" s="7">
        <v>16993407</v>
      </c>
      <c r="P464" s="8">
        <v>2.08</v>
      </c>
      <c r="Q464" s="7">
        <v>68769</v>
      </c>
      <c r="R464" s="7">
        <v>93118</v>
      </c>
      <c r="S464" s="7">
        <v>16694537</v>
      </c>
      <c r="T464" s="7">
        <v>16913937</v>
      </c>
      <c r="U464" s="7">
        <v>16578263</v>
      </c>
      <c r="V464" s="7">
        <v>16900289</v>
      </c>
      <c r="W464" s="7">
        <v>116274</v>
      </c>
      <c r="X464" s="7">
        <v>13648</v>
      </c>
      <c r="Y464" s="7">
        <v>1909</v>
      </c>
      <c r="Z464" s="7">
        <v>1908</v>
      </c>
      <c r="AA464" s="8">
        <v>-0.05</v>
      </c>
      <c r="AB464" s="7">
        <v>4490144</v>
      </c>
      <c r="AC464" s="7">
        <v>4335833</v>
      </c>
      <c r="AD464" s="7">
        <v>1947560</v>
      </c>
      <c r="AE464" s="7">
        <v>2257560</v>
      </c>
      <c r="AF464" s="7">
        <v>2369041</v>
      </c>
      <c r="AG464" s="7">
        <v>2621126</v>
      </c>
      <c r="AH464" s="8">
        <v>5.26</v>
      </c>
      <c r="AI464" s="8">
        <v>5.57</v>
      </c>
    </row>
    <row r="465" spans="1:35" x14ac:dyDescent="0.25">
      <c r="A465" s="6" t="str">
        <f>"431301"</f>
        <v>431301</v>
      </c>
      <c r="B465" s="6" t="s">
        <v>500</v>
      </c>
      <c r="C465" s="7">
        <v>36016538</v>
      </c>
      <c r="D465" s="7">
        <v>36358538</v>
      </c>
      <c r="E465" s="8">
        <v>0.95</v>
      </c>
      <c r="F465" s="7">
        <v>13817703</v>
      </c>
      <c r="G465" s="7">
        <v>13921444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13817703</v>
      </c>
      <c r="O465" s="7">
        <v>13921444</v>
      </c>
      <c r="P465" s="8">
        <v>0.75</v>
      </c>
      <c r="Q465" s="7">
        <v>0</v>
      </c>
      <c r="R465" s="7">
        <v>0</v>
      </c>
      <c r="S465" s="7">
        <v>13935237</v>
      </c>
      <c r="T465" s="7">
        <v>14212358</v>
      </c>
      <c r="U465" s="7">
        <v>13817703</v>
      </c>
      <c r="V465" s="7">
        <v>13921444</v>
      </c>
      <c r="W465" s="7">
        <v>117534</v>
      </c>
      <c r="X465" s="7">
        <v>290914</v>
      </c>
      <c r="Y465" s="7">
        <v>1579</v>
      </c>
      <c r="Z465" s="7">
        <v>1538</v>
      </c>
      <c r="AA465" s="8">
        <v>-2.6</v>
      </c>
      <c r="AB465" s="7">
        <v>8564464</v>
      </c>
      <c r="AC465" s="7">
        <v>8844128</v>
      </c>
      <c r="AD465" s="7">
        <v>1750000</v>
      </c>
      <c r="AE465" s="7">
        <v>40000</v>
      </c>
      <c r="AF465" s="7">
        <v>1440661</v>
      </c>
      <c r="AG465" s="7">
        <v>1454340</v>
      </c>
      <c r="AH465" s="8">
        <v>4</v>
      </c>
      <c r="AI465" s="8">
        <v>4</v>
      </c>
    </row>
    <row r="466" spans="1:35" x14ac:dyDescent="0.25">
      <c r="A466" s="6" t="str">
        <f>"462001"</f>
        <v>462001</v>
      </c>
      <c r="B466" s="6" t="s">
        <v>501</v>
      </c>
      <c r="C466" s="7">
        <v>44787050</v>
      </c>
      <c r="D466" s="7">
        <v>45118781</v>
      </c>
      <c r="E466" s="8">
        <v>0.74</v>
      </c>
      <c r="F466" s="7">
        <v>16833964</v>
      </c>
      <c r="G466" s="7">
        <v>16961451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16833964</v>
      </c>
      <c r="O466" s="7">
        <v>16961451</v>
      </c>
      <c r="P466" s="8">
        <v>0.76</v>
      </c>
      <c r="Q466" s="7">
        <v>391965</v>
      </c>
      <c r="R466" s="7">
        <v>441212</v>
      </c>
      <c r="S466" s="7">
        <v>16529998</v>
      </c>
      <c r="T466" s="7">
        <v>16704307</v>
      </c>
      <c r="U466" s="7">
        <v>16441999</v>
      </c>
      <c r="V466" s="7">
        <v>16520239</v>
      </c>
      <c r="W466" s="7">
        <v>87999</v>
      </c>
      <c r="X466" s="7">
        <v>184068</v>
      </c>
      <c r="Y466" s="7">
        <v>1875</v>
      </c>
      <c r="Z466" s="7">
        <v>1875</v>
      </c>
      <c r="AA466" s="8">
        <v>0</v>
      </c>
      <c r="AB466" s="7">
        <v>11344679</v>
      </c>
      <c r="AC466" s="7">
        <v>13444679</v>
      </c>
      <c r="AD466" s="7">
        <v>0</v>
      </c>
      <c r="AE466" s="7">
        <v>0</v>
      </c>
      <c r="AF466" s="7">
        <v>1646346</v>
      </c>
      <c r="AG466" s="7">
        <v>1679273</v>
      </c>
      <c r="AH466" s="8">
        <v>3.68</v>
      </c>
      <c r="AI466" s="8">
        <v>3.72</v>
      </c>
    </row>
    <row r="467" spans="1:35" x14ac:dyDescent="0.25">
      <c r="A467" s="6" t="str">
        <f>"440401"</f>
        <v>440401</v>
      </c>
      <c r="B467" s="6" t="s">
        <v>502</v>
      </c>
      <c r="C467" s="7">
        <v>112429077</v>
      </c>
      <c r="D467" s="7">
        <v>114243524</v>
      </c>
      <c r="E467" s="8">
        <v>1.61</v>
      </c>
      <c r="F467" s="7">
        <v>55888918</v>
      </c>
      <c r="G467" s="7">
        <v>57041062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55888918</v>
      </c>
      <c r="O467" s="7">
        <v>57041062</v>
      </c>
      <c r="P467" s="8">
        <v>2.06</v>
      </c>
      <c r="Q467" s="7">
        <v>753664</v>
      </c>
      <c r="R467" s="7">
        <v>814958</v>
      </c>
      <c r="S467" s="7">
        <v>55135254</v>
      </c>
      <c r="T467" s="7">
        <v>56226104</v>
      </c>
      <c r="U467" s="7">
        <v>55135254</v>
      </c>
      <c r="V467" s="7">
        <v>56226104</v>
      </c>
      <c r="W467" s="7">
        <v>0</v>
      </c>
      <c r="X467" s="7">
        <v>0</v>
      </c>
      <c r="Y467" s="7">
        <v>5134</v>
      </c>
      <c r="Z467" s="7">
        <v>5033</v>
      </c>
      <c r="AA467" s="8">
        <v>-1.97</v>
      </c>
      <c r="AB467" s="7">
        <v>3938363</v>
      </c>
      <c r="AC467" s="7">
        <v>4100000</v>
      </c>
      <c r="AD467" s="7">
        <v>130382</v>
      </c>
      <c r="AE467" s="7">
        <v>255594</v>
      </c>
      <c r="AF467" s="7">
        <v>4962181</v>
      </c>
      <c r="AG467" s="7">
        <v>4706587</v>
      </c>
      <c r="AH467" s="8">
        <v>4.41</v>
      </c>
      <c r="AI467" s="8">
        <v>4.12</v>
      </c>
    </row>
    <row r="468" spans="1:35" x14ac:dyDescent="0.25">
      <c r="A468" s="6" t="str">
        <f>"131301"</f>
        <v>131301</v>
      </c>
      <c r="B468" s="6" t="s">
        <v>503</v>
      </c>
      <c r="C468" s="7">
        <v>30402804</v>
      </c>
      <c r="D468" s="7">
        <v>31609279</v>
      </c>
      <c r="E468" s="8">
        <v>3.97</v>
      </c>
      <c r="F468" s="7">
        <v>22044585</v>
      </c>
      <c r="G468" s="7">
        <v>22549551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22044585</v>
      </c>
      <c r="O468" s="7">
        <v>22549551</v>
      </c>
      <c r="P468" s="8">
        <v>2.29</v>
      </c>
      <c r="Q468" s="7">
        <v>0</v>
      </c>
      <c r="R468" s="7">
        <v>0</v>
      </c>
      <c r="S468" s="7">
        <v>22182500</v>
      </c>
      <c r="T468" s="7">
        <v>22549551</v>
      </c>
      <c r="U468" s="7">
        <v>22044585</v>
      </c>
      <c r="V468" s="7">
        <v>22549551</v>
      </c>
      <c r="W468" s="7">
        <v>137915</v>
      </c>
      <c r="X468" s="7">
        <v>0</v>
      </c>
      <c r="Y468" s="7">
        <v>959</v>
      </c>
      <c r="Z468" s="7">
        <v>955</v>
      </c>
      <c r="AA468" s="8">
        <v>-0.42</v>
      </c>
      <c r="AB468" s="7">
        <v>9060750</v>
      </c>
      <c r="AC468" s="7">
        <v>10960719</v>
      </c>
      <c r="AD468" s="7">
        <v>1243635</v>
      </c>
      <c r="AE468" s="7">
        <v>1700687</v>
      </c>
      <c r="AF468" s="7">
        <v>1202302</v>
      </c>
      <c r="AG468" s="7">
        <v>1265000</v>
      </c>
      <c r="AH468" s="8">
        <v>3.95</v>
      </c>
      <c r="AI468" s="8">
        <v>4</v>
      </c>
    </row>
    <row r="469" spans="1:35" x14ac:dyDescent="0.25">
      <c r="A469" s="6" t="str">
        <f>"060601"</f>
        <v>060601</v>
      </c>
      <c r="B469" s="6" t="s">
        <v>504</v>
      </c>
      <c r="C469" s="7">
        <v>15688301</v>
      </c>
      <c r="D469" s="7">
        <v>16333281</v>
      </c>
      <c r="E469" s="8">
        <v>4.1100000000000003</v>
      </c>
      <c r="F469" s="7">
        <v>3296932</v>
      </c>
      <c r="G469" s="7">
        <v>3343147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3296932</v>
      </c>
      <c r="O469" s="7">
        <v>3343147</v>
      </c>
      <c r="P469" s="8">
        <v>1.4</v>
      </c>
      <c r="Q469" s="7">
        <v>0</v>
      </c>
      <c r="R469" s="7">
        <v>0</v>
      </c>
      <c r="S469" s="7">
        <v>3296932</v>
      </c>
      <c r="T469" s="7">
        <v>3343147</v>
      </c>
      <c r="U469" s="7">
        <v>3296932</v>
      </c>
      <c r="V469" s="7">
        <v>3343147</v>
      </c>
      <c r="W469" s="7">
        <v>0</v>
      </c>
      <c r="X469" s="7">
        <v>0</v>
      </c>
      <c r="Y469" s="7">
        <v>582</v>
      </c>
      <c r="Z469" s="7">
        <v>561</v>
      </c>
      <c r="AA469" s="8">
        <v>-3.61</v>
      </c>
      <c r="AB469" s="7">
        <v>2607016</v>
      </c>
      <c r="AC469" s="7">
        <v>2490425</v>
      </c>
      <c r="AD469" s="7">
        <v>550000</v>
      </c>
      <c r="AE469" s="7">
        <v>211266</v>
      </c>
      <c r="AF469" s="7">
        <v>918020</v>
      </c>
      <c r="AG469" s="7">
        <v>1427050</v>
      </c>
      <c r="AH469" s="8">
        <v>5.85</v>
      </c>
      <c r="AI469" s="8">
        <v>8.74</v>
      </c>
    </row>
    <row r="470" spans="1:35" x14ac:dyDescent="0.25">
      <c r="A470" s="6" t="str">
        <f>"261401"</f>
        <v>261401</v>
      </c>
      <c r="B470" s="6" t="s">
        <v>505</v>
      </c>
      <c r="C470" s="7">
        <v>125506510</v>
      </c>
      <c r="D470" s="7">
        <v>134229854</v>
      </c>
      <c r="E470" s="8">
        <v>6.95</v>
      </c>
      <c r="F470" s="7">
        <v>95301955</v>
      </c>
      <c r="G470" s="7">
        <v>99810907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95301955</v>
      </c>
      <c r="O470" s="7">
        <v>99810907</v>
      </c>
      <c r="P470" s="8">
        <v>4.7300000000000004</v>
      </c>
      <c r="Q470" s="7">
        <v>2561939</v>
      </c>
      <c r="R470" s="7">
        <v>3062691</v>
      </c>
      <c r="S470" s="7">
        <v>92740016</v>
      </c>
      <c r="T470" s="7">
        <v>94827544</v>
      </c>
      <c r="U470" s="7">
        <v>92740016</v>
      </c>
      <c r="V470" s="7">
        <v>96748216</v>
      </c>
      <c r="W470" s="7">
        <v>0</v>
      </c>
      <c r="X470" s="7">
        <v>-1920672</v>
      </c>
      <c r="Y470" s="7">
        <v>5685</v>
      </c>
      <c r="Z470" s="7">
        <v>5780</v>
      </c>
      <c r="AA470" s="8">
        <v>1.67</v>
      </c>
      <c r="AB470" s="7">
        <v>28637385</v>
      </c>
      <c r="AC470" s="7">
        <v>29684624</v>
      </c>
      <c r="AD470" s="7">
        <v>1534000</v>
      </c>
      <c r="AE470" s="7">
        <v>1534000</v>
      </c>
      <c r="AF470" s="7">
        <v>5020260</v>
      </c>
      <c r="AG470" s="7">
        <v>5369194</v>
      </c>
      <c r="AH470" s="8">
        <v>4</v>
      </c>
      <c r="AI470" s="8">
        <v>4</v>
      </c>
    </row>
    <row r="471" spans="1:35" x14ac:dyDescent="0.25">
      <c r="A471" s="6" t="str">
        <f>"280518"</f>
        <v>280518</v>
      </c>
      <c r="B471" s="6" t="s">
        <v>506</v>
      </c>
      <c r="C471" s="7">
        <v>91509907</v>
      </c>
      <c r="D471" s="7">
        <v>91509907</v>
      </c>
      <c r="E471" s="8">
        <v>0</v>
      </c>
      <c r="F471" s="7">
        <v>64259355</v>
      </c>
      <c r="G471" s="7">
        <v>64259355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64259355</v>
      </c>
      <c r="O471" s="7">
        <v>64259355</v>
      </c>
      <c r="P471" s="8">
        <v>0</v>
      </c>
      <c r="Q471" s="7">
        <v>2456489</v>
      </c>
      <c r="R471" s="7">
        <v>2260893</v>
      </c>
      <c r="S471" s="7">
        <v>61802866</v>
      </c>
      <c r="T471" s="7">
        <v>61998462</v>
      </c>
      <c r="U471" s="7">
        <v>61802866</v>
      </c>
      <c r="V471" s="7">
        <v>61998462</v>
      </c>
      <c r="W471" s="7">
        <v>0</v>
      </c>
      <c r="X471" s="7">
        <v>0</v>
      </c>
      <c r="Y471" s="7">
        <v>3023</v>
      </c>
      <c r="Z471" s="7">
        <v>2961</v>
      </c>
      <c r="AA471" s="8">
        <v>-2.0499999999999998</v>
      </c>
      <c r="AB471" s="7">
        <v>23293398</v>
      </c>
      <c r="AC471" s="7">
        <v>21682385</v>
      </c>
      <c r="AD471" s="7">
        <v>3561842</v>
      </c>
      <c r="AE471" s="7">
        <v>3350032</v>
      </c>
      <c r="AF471" s="7">
        <v>3660277</v>
      </c>
      <c r="AG471" s="7">
        <v>3660396</v>
      </c>
      <c r="AH471" s="8">
        <v>4</v>
      </c>
      <c r="AI471" s="8">
        <v>4</v>
      </c>
    </row>
    <row r="472" spans="1:35" x14ac:dyDescent="0.25">
      <c r="A472" s="6" t="str">
        <f>"280504"</f>
        <v>280504</v>
      </c>
      <c r="B472" s="6" t="s">
        <v>507</v>
      </c>
      <c r="C472" s="7">
        <v>149236325</v>
      </c>
      <c r="D472" s="7">
        <v>152196856</v>
      </c>
      <c r="E472" s="8">
        <v>1.98</v>
      </c>
      <c r="F472" s="7">
        <v>119990212</v>
      </c>
      <c r="G472" s="7">
        <v>121020994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119990212</v>
      </c>
      <c r="O472" s="7">
        <v>121020994</v>
      </c>
      <c r="P472" s="8">
        <v>0.86</v>
      </c>
      <c r="Q472" s="7">
        <v>2791502</v>
      </c>
      <c r="R472" s="7">
        <v>3265023</v>
      </c>
      <c r="S472" s="7">
        <v>117216816</v>
      </c>
      <c r="T472" s="7">
        <v>118851657</v>
      </c>
      <c r="U472" s="7">
        <v>117198710</v>
      </c>
      <c r="V472" s="7">
        <v>117755971</v>
      </c>
      <c r="W472" s="7">
        <v>18106</v>
      </c>
      <c r="X472" s="7">
        <v>1095686</v>
      </c>
      <c r="Y472" s="7">
        <v>4798</v>
      </c>
      <c r="Z472" s="7">
        <v>4838</v>
      </c>
      <c r="AA472" s="8">
        <v>0.83</v>
      </c>
      <c r="AB472" s="7">
        <v>23582276</v>
      </c>
      <c r="AC472" s="7">
        <v>23601100</v>
      </c>
      <c r="AD472" s="7">
        <v>2658000</v>
      </c>
      <c r="AE472" s="7">
        <v>2658000</v>
      </c>
      <c r="AF472" s="7">
        <v>6077907</v>
      </c>
      <c r="AG472" s="7">
        <v>6089905</v>
      </c>
      <c r="AH472" s="8">
        <v>4.07</v>
      </c>
      <c r="AI472" s="8">
        <v>4</v>
      </c>
    </row>
    <row r="473" spans="1:35" x14ac:dyDescent="0.25">
      <c r="A473" s="6" t="str">
        <f>"091200"</f>
        <v>091200</v>
      </c>
      <c r="B473" s="6" t="s">
        <v>508</v>
      </c>
      <c r="C473" s="7">
        <v>41706206</v>
      </c>
      <c r="D473" s="7">
        <v>42840628</v>
      </c>
      <c r="E473" s="8">
        <v>2.72</v>
      </c>
      <c r="F473" s="7">
        <v>21071302</v>
      </c>
      <c r="G473" s="7">
        <v>21721816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6335</v>
      </c>
      <c r="N473" s="7">
        <v>21071302</v>
      </c>
      <c r="O473" s="7">
        <v>21715481</v>
      </c>
      <c r="P473" s="8">
        <v>3.06</v>
      </c>
      <c r="Q473" s="7">
        <v>0</v>
      </c>
      <c r="R473" s="7">
        <v>179111</v>
      </c>
      <c r="S473" s="7">
        <v>21103302</v>
      </c>
      <c r="T473" s="7">
        <v>21582705</v>
      </c>
      <c r="U473" s="7">
        <v>21071302</v>
      </c>
      <c r="V473" s="7">
        <v>21542705</v>
      </c>
      <c r="W473" s="7">
        <v>32000</v>
      </c>
      <c r="X473" s="7">
        <v>40000</v>
      </c>
      <c r="Y473" s="7">
        <v>1778</v>
      </c>
      <c r="Z473" s="7">
        <v>1752</v>
      </c>
      <c r="AA473" s="8">
        <v>-1.46</v>
      </c>
      <c r="AB473" s="7">
        <v>3099000</v>
      </c>
      <c r="AC473" s="7">
        <v>3319000</v>
      </c>
      <c r="AD473" s="7">
        <v>1249759</v>
      </c>
      <c r="AE473" s="7">
        <v>1281460</v>
      </c>
      <c r="AF473" s="7">
        <v>1184006</v>
      </c>
      <c r="AG473" s="7">
        <v>1500000</v>
      </c>
      <c r="AH473" s="8">
        <v>2.84</v>
      </c>
      <c r="AI473" s="8">
        <v>3.5</v>
      </c>
    </row>
    <row r="474" spans="1:35" x14ac:dyDescent="0.25">
      <c r="A474" s="6" t="str">
        <f>"660809"</f>
        <v>660809</v>
      </c>
      <c r="B474" s="6" t="s">
        <v>509</v>
      </c>
      <c r="C474" s="7">
        <v>49208191</v>
      </c>
      <c r="D474" s="7">
        <v>49009122</v>
      </c>
      <c r="E474" s="8">
        <v>-0.4</v>
      </c>
      <c r="F474" s="7">
        <v>35650334</v>
      </c>
      <c r="G474" s="7">
        <v>36069032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35650334</v>
      </c>
      <c r="O474" s="7">
        <v>36069032</v>
      </c>
      <c r="P474" s="8">
        <v>1.17</v>
      </c>
      <c r="Q474" s="7">
        <v>1845396</v>
      </c>
      <c r="R474" s="7">
        <v>1794816</v>
      </c>
      <c r="S474" s="7">
        <v>33812263</v>
      </c>
      <c r="T474" s="7">
        <v>34281275</v>
      </c>
      <c r="U474" s="7">
        <v>33804938</v>
      </c>
      <c r="V474" s="7">
        <v>34274216</v>
      </c>
      <c r="W474" s="7">
        <v>7325</v>
      </c>
      <c r="X474" s="7">
        <v>7059</v>
      </c>
      <c r="Y474" s="7">
        <v>1707</v>
      </c>
      <c r="Z474" s="7">
        <v>1696</v>
      </c>
      <c r="AA474" s="8">
        <v>-0.64</v>
      </c>
      <c r="AB474" s="7">
        <v>3603321</v>
      </c>
      <c r="AC474" s="7">
        <v>3600000</v>
      </c>
      <c r="AD474" s="7">
        <v>1116642</v>
      </c>
      <c r="AE474" s="7">
        <v>800000</v>
      </c>
      <c r="AF474" s="7">
        <v>1624102</v>
      </c>
      <c r="AG474" s="7">
        <v>1600000</v>
      </c>
      <c r="AH474" s="8">
        <v>3.3</v>
      </c>
      <c r="AI474" s="8">
        <v>3.26</v>
      </c>
    </row>
    <row r="475" spans="1:35" x14ac:dyDescent="0.25">
      <c r="A475" s="6" t="str">
        <f>"660802"</f>
        <v>660802</v>
      </c>
      <c r="B475" s="6" t="s">
        <v>510</v>
      </c>
      <c r="C475" s="7">
        <v>29809970</v>
      </c>
      <c r="D475" s="7">
        <v>30242460</v>
      </c>
      <c r="E475" s="8">
        <v>1.45</v>
      </c>
      <c r="F475" s="7">
        <v>24399673</v>
      </c>
      <c r="G475" s="7">
        <v>24934530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24399673</v>
      </c>
      <c r="O475" s="7">
        <v>24934530</v>
      </c>
      <c r="P475" s="8">
        <v>2.19</v>
      </c>
      <c r="Q475" s="7">
        <v>1247687</v>
      </c>
      <c r="R475" s="7">
        <v>1515205</v>
      </c>
      <c r="S475" s="7">
        <v>23159062</v>
      </c>
      <c r="T475" s="7">
        <v>23424626</v>
      </c>
      <c r="U475" s="7">
        <v>23151986</v>
      </c>
      <c r="V475" s="7">
        <v>23419325</v>
      </c>
      <c r="W475" s="7">
        <v>7076</v>
      </c>
      <c r="X475" s="7">
        <v>5301</v>
      </c>
      <c r="Y475" s="7">
        <v>580</v>
      </c>
      <c r="Z475" s="7">
        <v>573</v>
      </c>
      <c r="AA475" s="8">
        <v>-1.21</v>
      </c>
      <c r="AB475" s="7">
        <v>10640258</v>
      </c>
      <c r="AC475" s="7">
        <v>11710258</v>
      </c>
      <c r="AD475" s="7">
        <v>450000</v>
      </c>
      <c r="AE475" s="7">
        <v>380000</v>
      </c>
      <c r="AF475" s="7">
        <v>1191894</v>
      </c>
      <c r="AG475" s="7">
        <v>1191894</v>
      </c>
      <c r="AH475" s="8">
        <v>4</v>
      </c>
      <c r="AI475" s="8">
        <v>3.94</v>
      </c>
    </row>
    <row r="476" spans="1:35" x14ac:dyDescent="0.25">
      <c r="A476" s="6" t="str">
        <f>"211103"</f>
        <v>211103</v>
      </c>
      <c r="B476" s="6" t="s">
        <v>511</v>
      </c>
      <c r="C476" s="7">
        <v>14022662</v>
      </c>
      <c r="D476" s="7">
        <v>14253025</v>
      </c>
      <c r="E476" s="8">
        <v>1.64</v>
      </c>
      <c r="F476" s="7">
        <v>6569199</v>
      </c>
      <c r="G476" s="7">
        <v>6569199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6569199</v>
      </c>
      <c r="O476" s="7">
        <v>6569199</v>
      </c>
      <c r="P476" s="8">
        <v>0</v>
      </c>
      <c r="Q476" s="7">
        <v>567851</v>
      </c>
      <c r="R476" s="7">
        <v>782343</v>
      </c>
      <c r="S476" s="7">
        <v>6115206</v>
      </c>
      <c r="T476" s="7">
        <v>6094584</v>
      </c>
      <c r="U476" s="7">
        <v>6001348</v>
      </c>
      <c r="V476" s="7">
        <v>5786856</v>
      </c>
      <c r="W476" s="7">
        <v>113858</v>
      </c>
      <c r="X476" s="7">
        <v>307728</v>
      </c>
      <c r="Y476" s="7">
        <v>545</v>
      </c>
      <c r="Z476" s="7">
        <v>565</v>
      </c>
      <c r="AA476" s="8">
        <v>3.67</v>
      </c>
      <c r="AB476" s="7">
        <v>816767</v>
      </c>
      <c r="AC476" s="7">
        <v>810000</v>
      </c>
      <c r="AD476" s="7">
        <v>789637</v>
      </c>
      <c r="AE476" s="7">
        <v>858558</v>
      </c>
      <c r="AF476" s="7">
        <v>1032174</v>
      </c>
      <c r="AG476" s="7">
        <v>631442</v>
      </c>
      <c r="AH476" s="8">
        <v>7.36</v>
      </c>
      <c r="AI476" s="8">
        <v>4.43</v>
      </c>
    </row>
    <row r="477" spans="1:35" x14ac:dyDescent="0.25">
      <c r="A477" s="6" t="str">
        <f>"051101"</f>
        <v>051101</v>
      </c>
      <c r="B477" s="6" t="s">
        <v>512</v>
      </c>
      <c r="C477" s="7">
        <v>21130620</v>
      </c>
      <c r="D477" s="7">
        <v>21273209</v>
      </c>
      <c r="E477" s="8">
        <v>0.67</v>
      </c>
      <c r="F477" s="7">
        <v>6050075</v>
      </c>
      <c r="G477" s="7">
        <v>6122676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6050075</v>
      </c>
      <c r="O477" s="7">
        <v>6122676</v>
      </c>
      <c r="P477" s="8">
        <v>1.2</v>
      </c>
      <c r="Q477" s="7">
        <v>0</v>
      </c>
      <c r="R477" s="7">
        <v>0</v>
      </c>
      <c r="S477" s="7">
        <v>6085276</v>
      </c>
      <c r="T477" s="7">
        <v>6189144</v>
      </c>
      <c r="U477" s="7">
        <v>6050075</v>
      </c>
      <c r="V477" s="7">
        <v>6122676</v>
      </c>
      <c r="W477" s="7">
        <v>35201</v>
      </c>
      <c r="X477" s="7">
        <v>66468</v>
      </c>
      <c r="Y477" s="7">
        <v>984</v>
      </c>
      <c r="Z477" s="7">
        <v>979</v>
      </c>
      <c r="AA477" s="8">
        <v>-0.51</v>
      </c>
      <c r="AB477" s="7">
        <v>3675111</v>
      </c>
      <c r="AC477" s="7">
        <v>2253410</v>
      </c>
      <c r="AD477" s="7">
        <v>350000</v>
      </c>
      <c r="AE477" s="7">
        <v>350000</v>
      </c>
      <c r="AF477" s="7">
        <v>843326</v>
      </c>
      <c r="AG477" s="7">
        <v>850928</v>
      </c>
      <c r="AH477" s="8">
        <v>3.99</v>
      </c>
      <c r="AI477" s="8">
        <v>4</v>
      </c>
    </row>
    <row r="478" spans="1:35" x14ac:dyDescent="0.25">
      <c r="A478" s="6" t="str">
        <f>"661904"</f>
        <v>661904</v>
      </c>
      <c r="B478" s="6" t="s">
        <v>513</v>
      </c>
      <c r="C478" s="7">
        <v>92111720</v>
      </c>
      <c r="D478" s="7">
        <v>96074468</v>
      </c>
      <c r="E478" s="8">
        <v>4.3</v>
      </c>
      <c r="F478" s="7">
        <v>61463146</v>
      </c>
      <c r="G478" s="7">
        <v>61936368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61463146</v>
      </c>
      <c r="O478" s="7">
        <v>61936368</v>
      </c>
      <c r="P478" s="8">
        <v>0.77</v>
      </c>
      <c r="Q478" s="7">
        <v>697421</v>
      </c>
      <c r="R478" s="7">
        <v>326206</v>
      </c>
      <c r="S478" s="7">
        <v>60765725</v>
      </c>
      <c r="T478" s="7">
        <v>61610162</v>
      </c>
      <c r="U478" s="7">
        <v>60765725</v>
      </c>
      <c r="V478" s="7">
        <v>61610162</v>
      </c>
      <c r="W478" s="7">
        <v>0</v>
      </c>
      <c r="X478" s="7">
        <v>0</v>
      </c>
      <c r="Y478" s="7">
        <v>4664</v>
      </c>
      <c r="Z478" s="7">
        <v>4750</v>
      </c>
      <c r="AA478" s="8">
        <v>1.84</v>
      </c>
      <c r="AB478" s="7">
        <v>4055376</v>
      </c>
      <c r="AC478" s="7">
        <v>2699046</v>
      </c>
      <c r="AD478" s="7">
        <v>4100000</v>
      </c>
      <c r="AE478" s="7">
        <v>3500000</v>
      </c>
      <c r="AF478" s="7">
        <v>2134084</v>
      </c>
      <c r="AG478" s="7">
        <v>2620000</v>
      </c>
      <c r="AH478" s="8">
        <v>2.3199999999999998</v>
      </c>
      <c r="AI478" s="8">
        <v>2.73</v>
      </c>
    </row>
    <row r="479" spans="1:35" x14ac:dyDescent="0.25">
      <c r="A479" s="6" t="str">
        <f>"580206"</f>
        <v>580206</v>
      </c>
      <c r="B479" s="6" t="s">
        <v>514</v>
      </c>
      <c r="C479" s="7">
        <v>41400492</v>
      </c>
      <c r="D479" s="7">
        <v>42879851</v>
      </c>
      <c r="E479" s="8">
        <v>3.57</v>
      </c>
      <c r="F479" s="7">
        <v>34807214</v>
      </c>
      <c r="G479" s="7">
        <v>35626700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34807214</v>
      </c>
      <c r="O479" s="7">
        <v>35626700</v>
      </c>
      <c r="P479" s="8">
        <v>2.35</v>
      </c>
      <c r="Q479" s="7">
        <v>1303890</v>
      </c>
      <c r="R479" s="7">
        <v>1625979</v>
      </c>
      <c r="S479" s="7">
        <v>33503324</v>
      </c>
      <c r="T479" s="7">
        <v>34000721</v>
      </c>
      <c r="U479" s="7">
        <v>33503324</v>
      </c>
      <c r="V479" s="7">
        <v>34000721</v>
      </c>
      <c r="W479" s="7">
        <v>0</v>
      </c>
      <c r="X479" s="7">
        <v>0</v>
      </c>
      <c r="Y479" s="7">
        <v>1125</v>
      </c>
      <c r="Z479" s="7">
        <v>1147</v>
      </c>
      <c r="AA479" s="8">
        <v>1.96</v>
      </c>
      <c r="AB479" s="7">
        <v>13865918</v>
      </c>
      <c r="AC479" s="7">
        <v>14500000</v>
      </c>
      <c r="AD479" s="7">
        <v>808395</v>
      </c>
      <c r="AE479" s="7">
        <v>750000</v>
      </c>
      <c r="AF479" s="7">
        <v>1656020</v>
      </c>
      <c r="AG479" s="7">
        <v>1710000</v>
      </c>
      <c r="AH479" s="8">
        <v>4</v>
      </c>
      <c r="AI479" s="8">
        <v>3.99</v>
      </c>
    </row>
    <row r="480" spans="1:35" x14ac:dyDescent="0.25">
      <c r="A480" s="6" t="str">
        <f>"441800"</f>
        <v>441800</v>
      </c>
      <c r="B480" s="6" t="s">
        <v>515</v>
      </c>
      <c r="C480" s="7">
        <v>68415706</v>
      </c>
      <c r="D480" s="7">
        <v>70217841</v>
      </c>
      <c r="E480" s="8">
        <v>2.63</v>
      </c>
      <c r="F480" s="7">
        <v>27696501</v>
      </c>
      <c r="G480" s="7">
        <v>27902987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27696501</v>
      </c>
      <c r="O480" s="7">
        <v>27902987</v>
      </c>
      <c r="P480" s="8">
        <v>0.75</v>
      </c>
      <c r="Q480" s="7">
        <v>102491</v>
      </c>
      <c r="R480" s="7">
        <v>96974</v>
      </c>
      <c r="S480" s="7">
        <v>27594010</v>
      </c>
      <c r="T480" s="7">
        <v>27806013</v>
      </c>
      <c r="U480" s="7">
        <v>27594010</v>
      </c>
      <c r="V480" s="7">
        <v>27806013</v>
      </c>
      <c r="W480" s="7">
        <v>0</v>
      </c>
      <c r="X480" s="7">
        <v>0</v>
      </c>
      <c r="Y480" s="7">
        <v>2581</v>
      </c>
      <c r="Z480" s="7">
        <v>2504</v>
      </c>
      <c r="AA480" s="8">
        <v>-2.98</v>
      </c>
      <c r="AB480" s="7">
        <v>10946746</v>
      </c>
      <c r="AC480" s="7">
        <v>11000000</v>
      </c>
      <c r="AD480" s="7">
        <v>1050000</v>
      </c>
      <c r="AE480" s="7">
        <v>1125000</v>
      </c>
      <c r="AF480" s="7">
        <v>11419988</v>
      </c>
      <c r="AG480" s="7">
        <v>6019988</v>
      </c>
      <c r="AH480" s="8">
        <v>16.690000000000001</v>
      </c>
      <c r="AI480" s="8">
        <v>8.57</v>
      </c>
    </row>
    <row r="481" spans="1:35" x14ac:dyDescent="0.25">
      <c r="A481" s="6" t="str">
        <f>"280404"</f>
        <v>280404</v>
      </c>
      <c r="B481" s="6" t="s">
        <v>516</v>
      </c>
      <c r="C481" s="7">
        <v>146639452</v>
      </c>
      <c r="D481" s="7">
        <v>151222964</v>
      </c>
      <c r="E481" s="8">
        <v>3.13</v>
      </c>
      <c r="F481" s="7">
        <v>129840471</v>
      </c>
      <c r="G481" s="7">
        <v>132859467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129840471</v>
      </c>
      <c r="O481" s="7">
        <v>132859467</v>
      </c>
      <c r="P481" s="8">
        <v>2.33</v>
      </c>
      <c r="Q481" s="7">
        <v>5796094</v>
      </c>
      <c r="R481" s="7">
        <v>6360237</v>
      </c>
      <c r="S481" s="7">
        <v>124044377</v>
      </c>
      <c r="T481" s="7">
        <v>126499230</v>
      </c>
      <c r="U481" s="7">
        <v>124044377</v>
      </c>
      <c r="V481" s="7">
        <v>126499230</v>
      </c>
      <c r="W481" s="7">
        <v>0</v>
      </c>
      <c r="X481" s="7">
        <v>0</v>
      </c>
      <c r="Y481" s="7">
        <v>5449</v>
      </c>
      <c r="Z481" s="7">
        <v>5603</v>
      </c>
      <c r="AA481" s="8">
        <v>2.83</v>
      </c>
      <c r="AB481" s="7">
        <v>5383285</v>
      </c>
      <c r="AC481" s="7">
        <v>4433285</v>
      </c>
      <c r="AD481" s="7">
        <v>850000</v>
      </c>
      <c r="AE481" s="7">
        <v>1681600</v>
      </c>
      <c r="AF481" s="7">
        <v>5685224</v>
      </c>
      <c r="AG481" s="7">
        <v>3412711</v>
      </c>
      <c r="AH481" s="8">
        <v>3.88</v>
      </c>
      <c r="AI481" s="8">
        <v>2.2599999999999998</v>
      </c>
    </row>
    <row r="482" spans="1:35" x14ac:dyDescent="0.25">
      <c r="A482" s="6" t="str">
        <f>"042901"</f>
        <v>042901</v>
      </c>
      <c r="B482" s="6" t="s">
        <v>517</v>
      </c>
      <c r="C482" s="7">
        <v>17607466</v>
      </c>
      <c r="D482" s="7">
        <v>17709972</v>
      </c>
      <c r="E482" s="8">
        <v>0.57999999999999996</v>
      </c>
      <c r="F482" s="7">
        <v>4456367</v>
      </c>
      <c r="G482" s="7">
        <v>4545494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4456367</v>
      </c>
      <c r="O482" s="7">
        <v>4545494</v>
      </c>
      <c r="P482" s="8">
        <v>2</v>
      </c>
      <c r="Q482" s="7">
        <v>0</v>
      </c>
      <c r="R482" s="7">
        <v>44779</v>
      </c>
      <c r="S482" s="7">
        <v>4456367</v>
      </c>
      <c r="T482" s="7">
        <v>4512517</v>
      </c>
      <c r="U482" s="7">
        <v>4456367</v>
      </c>
      <c r="V482" s="7">
        <v>4500715</v>
      </c>
      <c r="W482" s="7">
        <v>0</v>
      </c>
      <c r="X482" s="7">
        <v>11802</v>
      </c>
      <c r="Y482" s="7">
        <v>968</v>
      </c>
      <c r="Z482" s="7">
        <v>974</v>
      </c>
      <c r="AA482" s="8">
        <v>0.62</v>
      </c>
      <c r="AB482" s="7">
        <v>2135402</v>
      </c>
      <c r="AC482" s="7">
        <v>2408128</v>
      </c>
      <c r="AD482" s="7">
        <v>401887</v>
      </c>
      <c r="AE482" s="7">
        <v>400000</v>
      </c>
      <c r="AF482" s="7">
        <v>1159985</v>
      </c>
      <c r="AG482" s="7">
        <v>1139985</v>
      </c>
      <c r="AH482" s="8">
        <v>6.59</v>
      </c>
      <c r="AI482" s="8">
        <v>6.44</v>
      </c>
    </row>
    <row r="483" spans="1:35" x14ac:dyDescent="0.25">
      <c r="A483" s="6" t="str">
        <f>"512902"</f>
        <v>512902</v>
      </c>
      <c r="B483" s="6" t="s">
        <v>518</v>
      </c>
      <c r="C483" s="7">
        <v>31654441</v>
      </c>
      <c r="D483" s="7">
        <v>32441420</v>
      </c>
      <c r="E483" s="8">
        <v>2.4900000000000002</v>
      </c>
      <c r="F483" s="7">
        <v>12776517</v>
      </c>
      <c r="G483" s="7">
        <v>12828980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12776517</v>
      </c>
      <c r="O483" s="7">
        <v>12828980</v>
      </c>
      <c r="P483" s="8">
        <v>0.41</v>
      </c>
      <c r="Q483" s="7">
        <v>633842</v>
      </c>
      <c r="R483" s="7">
        <v>385303</v>
      </c>
      <c r="S483" s="7">
        <v>12142675</v>
      </c>
      <c r="T483" s="7">
        <v>12443677</v>
      </c>
      <c r="U483" s="7">
        <v>12142675</v>
      </c>
      <c r="V483" s="7">
        <v>12443677</v>
      </c>
      <c r="W483" s="7">
        <v>0</v>
      </c>
      <c r="X483" s="7">
        <v>0</v>
      </c>
      <c r="Y483" s="7">
        <v>1303</v>
      </c>
      <c r="Z483" s="7">
        <v>1320</v>
      </c>
      <c r="AA483" s="8">
        <v>1.3</v>
      </c>
      <c r="AB483" s="7">
        <v>3309722</v>
      </c>
      <c r="AC483" s="7">
        <v>3735637</v>
      </c>
      <c r="AD483" s="7">
        <v>1856112</v>
      </c>
      <c r="AE483" s="7">
        <v>2000000</v>
      </c>
      <c r="AF483" s="7">
        <v>1749030</v>
      </c>
      <c r="AG483" s="7">
        <v>1715590</v>
      </c>
      <c r="AH483" s="8">
        <v>5.53</v>
      </c>
      <c r="AI483" s="8">
        <v>5.29</v>
      </c>
    </row>
    <row r="484" spans="1:35" x14ac:dyDescent="0.25">
      <c r="A484" s="6" t="str">
        <f>"131500"</f>
        <v>131500</v>
      </c>
      <c r="B484" s="6" t="s">
        <v>519</v>
      </c>
      <c r="C484" s="7">
        <v>94784944</v>
      </c>
      <c r="D484" s="7">
        <v>96747054</v>
      </c>
      <c r="E484" s="8">
        <v>2.0699999999999998</v>
      </c>
      <c r="F484" s="7">
        <v>27205747</v>
      </c>
      <c r="G484" s="7">
        <v>27561990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27205747</v>
      </c>
      <c r="O484" s="7">
        <v>27561990</v>
      </c>
      <c r="P484" s="8">
        <v>1.31</v>
      </c>
      <c r="Q484" s="7">
        <v>0</v>
      </c>
      <c r="R484" s="7">
        <v>0</v>
      </c>
      <c r="S484" s="7">
        <v>27205747</v>
      </c>
      <c r="T484" s="7">
        <v>27561990</v>
      </c>
      <c r="U484" s="7">
        <v>27205747</v>
      </c>
      <c r="V484" s="7">
        <v>27561990</v>
      </c>
      <c r="W484" s="7">
        <v>0</v>
      </c>
      <c r="X484" s="7">
        <v>0</v>
      </c>
      <c r="Y484" s="7">
        <v>4357</v>
      </c>
      <c r="Z484" s="7">
        <v>4400</v>
      </c>
      <c r="AA484" s="8">
        <v>0.99</v>
      </c>
      <c r="AB484" s="7">
        <v>893847</v>
      </c>
      <c r="AC484" s="7">
        <v>893847</v>
      </c>
      <c r="AD484" s="7">
        <v>0</v>
      </c>
      <c r="AE484" s="7">
        <v>1259647</v>
      </c>
      <c r="AF484" s="7">
        <v>4346384</v>
      </c>
      <c r="AG484" s="7">
        <v>3870000</v>
      </c>
      <c r="AH484" s="8">
        <v>4.59</v>
      </c>
      <c r="AI484" s="8">
        <v>4</v>
      </c>
    </row>
    <row r="485" spans="1:35" x14ac:dyDescent="0.25">
      <c r="A485" s="6" t="str">
        <f>"572301"</f>
        <v>572301</v>
      </c>
      <c r="B485" s="6" t="s">
        <v>520</v>
      </c>
      <c r="C485" s="7">
        <v>9952209</v>
      </c>
      <c r="D485" s="7">
        <v>9731521</v>
      </c>
      <c r="E485" s="8">
        <v>-2.2200000000000002</v>
      </c>
      <c r="F485" s="7">
        <v>2656960</v>
      </c>
      <c r="G485" s="7">
        <v>2656960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2656960</v>
      </c>
      <c r="O485" s="7">
        <v>2656960</v>
      </c>
      <c r="P485" s="8">
        <v>0</v>
      </c>
      <c r="Q485" s="7">
        <v>0</v>
      </c>
      <c r="R485" s="7">
        <v>0</v>
      </c>
      <c r="S485" s="7">
        <v>2656960</v>
      </c>
      <c r="T485" s="7">
        <v>2906285</v>
      </c>
      <c r="U485" s="7">
        <v>2656960</v>
      </c>
      <c r="V485" s="7">
        <v>2656960</v>
      </c>
      <c r="W485" s="7">
        <v>0</v>
      </c>
      <c r="X485" s="7">
        <v>249325</v>
      </c>
      <c r="Y485" s="7">
        <v>386</v>
      </c>
      <c r="Z485" s="7">
        <v>381</v>
      </c>
      <c r="AA485" s="8">
        <v>-1.3</v>
      </c>
      <c r="AB485" s="7">
        <v>1428222</v>
      </c>
      <c r="AC485" s="7">
        <v>1416420</v>
      </c>
      <c r="AD485" s="7">
        <v>385235</v>
      </c>
      <c r="AE485" s="7">
        <v>525289</v>
      </c>
      <c r="AF485" s="7">
        <v>1130501</v>
      </c>
      <c r="AG485" s="7">
        <v>389261</v>
      </c>
      <c r="AH485" s="8">
        <v>11.36</v>
      </c>
      <c r="AI485" s="8">
        <v>4</v>
      </c>
    </row>
    <row r="486" spans="1:35" x14ac:dyDescent="0.25">
      <c r="A486" s="6" t="str">
        <f>"461801"</f>
        <v>461801</v>
      </c>
      <c r="B486" s="6" t="s">
        <v>521</v>
      </c>
      <c r="C486" s="7">
        <v>24114273</v>
      </c>
      <c r="D486" s="7">
        <v>25931000</v>
      </c>
      <c r="E486" s="8">
        <v>7.53</v>
      </c>
      <c r="F486" s="7">
        <v>6520728</v>
      </c>
      <c r="G486" s="7">
        <v>6715046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6520728</v>
      </c>
      <c r="O486" s="7">
        <v>6715046</v>
      </c>
      <c r="P486" s="8">
        <v>2.98</v>
      </c>
      <c r="Q486" s="7">
        <v>188616</v>
      </c>
      <c r="R486" s="7">
        <v>216215</v>
      </c>
      <c r="S486" s="7">
        <v>6072728</v>
      </c>
      <c r="T486" s="7">
        <v>6498831</v>
      </c>
      <c r="U486" s="7">
        <v>6332112</v>
      </c>
      <c r="V486" s="7">
        <v>6498831</v>
      </c>
      <c r="W486" s="7">
        <v>-259384</v>
      </c>
      <c r="X486" s="7">
        <v>0</v>
      </c>
      <c r="Y486" s="7">
        <v>1103</v>
      </c>
      <c r="Z486" s="7">
        <v>1075</v>
      </c>
      <c r="AA486" s="8">
        <v>-2.54</v>
      </c>
      <c r="AB486" s="7">
        <v>2000000</v>
      </c>
      <c r="AC486" s="7">
        <v>1750000</v>
      </c>
      <c r="AD486" s="7">
        <v>1000000</v>
      </c>
      <c r="AE486" s="7">
        <v>900000</v>
      </c>
      <c r="AF486" s="7">
        <v>964000</v>
      </c>
      <c r="AG486" s="7">
        <v>900000</v>
      </c>
      <c r="AH486" s="8">
        <v>4</v>
      </c>
      <c r="AI486" s="8">
        <v>3.47</v>
      </c>
    </row>
    <row r="487" spans="1:35" x14ac:dyDescent="0.25">
      <c r="A487" s="6" t="str">
        <f>"641401"</f>
        <v>641401</v>
      </c>
      <c r="B487" s="6" t="s">
        <v>522</v>
      </c>
      <c r="C487" s="7">
        <v>2499697</v>
      </c>
      <c r="D487" s="7">
        <v>2525457</v>
      </c>
      <c r="E487" s="8">
        <v>1.03</v>
      </c>
      <c r="F487" s="7">
        <v>1555138</v>
      </c>
      <c r="G487" s="7">
        <v>1570002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1555138</v>
      </c>
      <c r="O487" s="7">
        <v>1570002</v>
      </c>
      <c r="P487" s="8">
        <v>0.96</v>
      </c>
      <c r="Q487" s="7">
        <v>0</v>
      </c>
      <c r="R487" s="7">
        <v>0</v>
      </c>
      <c r="S487" s="7">
        <v>1794248</v>
      </c>
      <c r="T487" s="7">
        <v>1577410</v>
      </c>
      <c r="U487" s="7">
        <v>1555138</v>
      </c>
      <c r="V487" s="7">
        <v>1570002</v>
      </c>
      <c r="W487" s="7">
        <v>239110</v>
      </c>
      <c r="X487" s="7">
        <v>7408</v>
      </c>
      <c r="Y487" s="7">
        <v>76</v>
      </c>
      <c r="Z487" s="7">
        <v>76</v>
      </c>
      <c r="AA487" s="8">
        <v>0</v>
      </c>
      <c r="AB487" s="7">
        <v>66052</v>
      </c>
      <c r="AC487" s="7">
        <v>50000</v>
      </c>
      <c r="AD487" s="7">
        <v>740807</v>
      </c>
      <c r="AE487" s="7">
        <v>610000</v>
      </c>
      <c r="AF487" s="7">
        <v>1101420</v>
      </c>
      <c r="AG487" s="7">
        <v>491420</v>
      </c>
      <c r="AH487" s="8">
        <v>44.06</v>
      </c>
      <c r="AI487" s="8">
        <v>19.46</v>
      </c>
    </row>
    <row r="488" spans="1:35" x14ac:dyDescent="0.25">
      <c r="A488" s="6" t="str">
        <f>"480503"</f>
        <v>480503</v>
      </c>
      <c r="B488" s="6" t="s">
        <v>523</v>
      </c>
      <c r="C488" s="7">
        <v>47943262</v>
      </c>
      <c r="D488" s="7">
        <v>48544139</v>
      </c>
      <c r="E488" s="8">
        <v>1.25</v>
      </c>
      <c r="F488" s="7">
        <v>35474964</v>
      </c>
      <c r="G488" s="7">
        <v>35775821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35474964</v>
      </c>
      <c r="O488" s="7">
        <v>35775821</v>
      </c>
      <c r="P488" s="8">
        <v>0.85</v>
      </c>
      <c r="Q488" s="7">
        <v>1011723</v>
      </c>
      <c r="R488" s="7">
        <v>924751</v>
      </c>
      <c r="S488" s="7">
        <v>34890333</v>
      </c>
      <c r="T488" s="7">
        <v>34901070</v>
      </c>
      <c r="U488" s="7">
        <v>34463241</v>
      </c>
      <c r="V488" s="7">
        <v>34851070</v>
      </c>
      <c r="W488" s="7">
        <v>427092</v>
      </c>
      <c r="X488" s="7">
        <v>50000</v>
      </c>
      <c r="Y488" s="7">
        <v>1700</v>
      </c>
      <c r="Z488" s="7">
        <v>1680</v>
      </c>
      <c r="AA488" s="8">
        <v>-1.18</v>
      </c>
      <c r="AB488" s="7">
        <v>5251371</v>
      </c>
      <c r="AC488" s="7">
        <v>5207700</v>
      </c>
      <c r="AD488" s="7">
        <v>1863617</v>
      </c>
      <c r="AE488" s="7">
        <v>1658318</v>
      </c>
      <c r="AF488" s="7">
        <v>1907189</v>
      </c>
      <c r="AG488" s="7">
        <v>1941766</v>
      </c>
      <c r="AH488" s="8">
        <v>3.98</v>
      </c>
      <c r="AI488" s="8">
        <v>4</v>
      </c>
    </row>
    <row r="489" spans="1:35" x14ac:dyDescent="0.25">
      <c r="A489" s="6" t="str">
        <f>"630902"</f>
        <v>630902</v>
      </c>
      <c r="B489" s="6" t="s">
        <v>524</v>
      </c>
      <c r="C489" s="7">
        <v>59196134</v>
      </c>
      <c r="D489" s="7">
        <v>62831747</v>
      </c>
      <c r="E489" s="8">
        <v>6.14</v>
      </c>
      <c r="F489" s="7">
        <v>32296801</v>
      </c>
      <c r="G489" s="7">
        <v>33230179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32296801</v>
      </c>
      <c r="O489" s="7">
        <v>33230179</v>
      </c>
      <c r="P489" s="8">
        <v>2.89</v>
      </c>
      <c r="Q489" s="7">
        <v>2718000</v>
      </c>
      <c r="R489" s="7">
        <v>3003979</v>
      </c>
      <c r="S489" s="7">
        <v>29578801</v>
      </c>
      <c r="T489" s="7">
        <v>30262427</v>
      </c>
      <c r="U489" s="7">
        <v>29578801</v>
      </c>
      <c r="V489" s="7">
        <v>30226200</v>
      </c>
      <c r="W489" s="7">
        <v>0</v>
      </c>
      <c r="X489" s="7">
        <v>36227</v>
      </c>
      <c r="Y489" s="7">
        <v>3350</v>
      </c>
      <c r="Z489" s="7">
        <v>3333</v>
      </c>
      <c r="AA489" s="8">
        <v>-0.51</v>
      </c>
      <c r="AB489" s="7">
        <v>1439498</v>
      </c>
      <c r="AC489" s="7">
        <v>1439498</v>
      </c>
      <c r="AD489" s="7">
        <v>3757197</v>
      </c>
      <c r="AE489" s="7">
        <v>3141588</v>
      </c>
      <c r="AF489" s="7">
        <v>1850000</v>
      </c>
      <c r="AG489" s="7">
        <v>1850000</v>
      </c>
      <c r="AH489" s="8">
        <v>3.13</v>
      </c>
      <c r="AI489" s="8">
        <v>2.94</v>
      </c>
    </row>
    <row r="490" spans="1:35" x14ac:dyDescent="0.25">
      <c r="A490" s="6" t="str">
        <f>"580903"</f>
        <v>580903</v>
      </c>
      <c r="B490" s="6" t="s">
        <v>525</v>
      </c>
      <c r="C490" s="7">
        <v>7839014</v>
      </c>
      <c r="D490" s="7">
        <v>8059754</v>
      </c>
      <c r="E490" s="8">
        <v>2.82</v>
      </c>
      <c r="F490" s="7">
        <v>6842051</v>
      </c>
      <c r="G490" s="7">
        <v>7160076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105877</v>
      </c>
      <c r="N490" s="7">
        <v>6842051</v>
      </c>
      <c r="O490" s="7">
        <v>7054199</v>
      </c>
      <c r="P490" s="8">
        <v>3.1</v>
      </c>
      <c r="Q490" s="7">
        <v>0</v>
      </c>
      <c r="R490" s="7">
        <v>0</v>
      </c>
      <c r="S490" s="7">
        <v>7058473</v>
      </c>
      <c r="T490" s="7">
        <v>7160076</v>
      </c>
      <c r="U490" s="7">
        <v>6842051</v>
      </c>
      <c r="V490" s="7">
        <v>7160076</v>
      </c>
      <c r="W490" s="7">
        <v>216422</v>
      </c>
      <c r="X490" s="7">
        <v>0</v>
      </c>
      <c r="Y490" s="7">
        <v>107</v>
      </c>
      <c r="Z490" s="7">
        <v>112</v>
      </c>
      <c r="AA490" s="8">
        <v>4.67</v>
      </c>
      <c r="AB490" s="7">
        <v>761771</v>
      </c>
      <c r="AC490" s="7">
        <v>761771</v>
      </c>
      <c r="AD490" s="7">
        <v>250000</v>
      </c>
      <c r="AE490" s="7">
        <v>281033</v>
      </c>
      <c r="AF490" s="7">
        <v>2883399</v>
      </c>
      <c r="AG490" s="7">
        <v>2900000</v>
      </c>
      <c r="AH490" s="8">
        <v>3.67</v>
      </c>
      <c r="AI490" s="8">
        <v>35.979999999999997</v>
      </c>
    </row>
    <row r="491" spans="1:35" x14ac:dyDescent="0.25">
      <c r="A491" s="6" t="str">
        <f>"500401"</f>
        <v>500401</v>
      </c>
      <c r="B491" s="6" t="s">
        <v>526</v>
      </c>
      <c r="C491" s="7">
        <v>134580881</v>
      </c>
      <c r="D491" s="7">
        <v>137285470</v>
      </c>
      <c r="E491" s="8">
        <v>2.0099999999999998</v>
      </c>
      <c r="F491" s="7">
        <v>106888160</v>
      </c>
      <c r="G491" s="7">
        <v>108177517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106888160</v>
      </c>
      <c r="O491" s="7">
        <v>108177517</v>
      </c>
      <c r="P491" s="8">
        <v>1.21</v>
      </c>
      <c r="Q491" s="7">
        <v>2811093</v>
      </c>
      <c r="R491" s="7">
        <v>2764281</v>
      </c>
      <c r="S491" s="7">
        <v>104713624</v>
      </c>
      <c r="T491" s="7">
        <v>105413236</v>
      </c>
      <c r="U491" s="7">
        <v>104077067</v>
      </c>
      <c r="V491" s="7">
        <v>105413236</v>
      </c>
      <c r="W491" s="7">
        <v>636557</v>
      </c>
      <c r="X491" s="7">
        <v>0</v>
      </c>
      <c r="Y491" s="7">
        <v>4188</v>
      </c>
      <c r="Z491" s="7">
        <v>4203</v>
      </c>
      <c r="AA491" s="8">
        <v>0.36</v>
      </c>
      <c r="AB491" s="7">
        <v>21414915</v>
      </c>
      <c r="AC491" s="7">
        <v>20500000</v>
      </c>
      <c r="AD491" s="7">
        <v>2627306</v>
      </c>
      <c r="AE491" s="7">
        <v>2100000</v>
      </c>
      <c r="AF491" s="7">
        <v>5383235</v>
      </c>
      <c r="AG491" s="7">
        <v>5491419</v>
      </c>
      <c r="AH491" s="8">
        <v>4</v>
      </c>
      <c r="AI491" s="8">
        <v>4</v>
      </c>
    </row>
    <row r="492" spans="1:35" x14ac:dyDescent="0.25">
      <c r="A492" s="6" t="str">
        <f>"043001"</f>
        <v>043001</v>
      </c>
      <c r="B492" s="6" t="s">
        <v>527</v>
      </c>
      <c r="C492" s="7">
        <v>19712171</v>
      </c>
      <c r="D492" s="7">
        <v>20294455</v>
      </c>
      <c r="E492" s="8">
        <v>2.95</v>
      </c>
      <c r="F492" s="7">
        <v>4610514</v>
      </c>
      <c r="G492" s="7">
        <v>4610514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4610514</v>
      </c>
      <c r="O492" s="7">
        <v>4610514</v>
      </c>
      <c r="P492" s="8">
        <v>0</v>
      </c>
      <c r="Q492" s="7">
        <v>0</v>
      </c>
      <c r="R492" s="7">
        <v>0</v>
      </c>
      <c r="S492" s="7">
        <v>4810498</v>
      </c>
      <c r="T492" s="7">
        <v>4683546</v>
      </c>
      <c r="U492" s="7">
        <v>4610514</v>
      </c>
      <c r="V492" s="7">
        <v>4610514</v>
      </c>
      <c r="W492" s="7">
        <v>199984</v>
      </c>
      <c r="X492" s="7">
        <v>73032</v>
      </c>
      <c r="Y492" s="7">
        <v>987</v>
      </c>
      <c r="Z492" s="7">
        <v>977</v>
      </c>
      <c r="AA492" s="8">
        <v>-1.01</v>
      </c>
      <c r="AB492" s="7">
        <v>3011930</v>
      </c>
      <c r="AC492" s="7">
        <v>3011930</v>
      </c>
      <c r="AD492" s="7">
        <v>1233381</v>
      </c>
      <c r="AE492" s="7">
        <v>1526801</v>
      </c>
      <c r="AF492" s="7">
        <v>3656560</v>
      </c>
      <c r="AG492" s="7">
        <v>3865966</v>
      </c>
      <c r="AH492" s="8">
        <v>18.55</v>
      </c>
      <c r="AI492" s="8">
        <v>19.05</v>
      </c>
    </row>
    <row r="493" spans="1:35" x14ac:dyDescent="0.25">
      <c r="A493" s="6" t="str">
        <f>"010402"</f>
        <v>010402</v>
      </c>
      <c r="B493" s="6" t="s">
        <v>528</v>
      </c>
      <c r="C493" s="7">
        <v>44500531</v>
      </c>
      <c r="D493" s="7">
        <v>45829423</v>
      </c>
      <c r="E493" s="8">
        <v>2.99</v>
      </c>
      <c r="F493" s="7">
        <v>24425680</v>
      </c>
      <c r="G493" s="7">
        <v>24732166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24425680</v>
      </c>
      <c r="O493" s="7">
        <v>24732166</v>
      </c>
      <c r="P493" s="8">
        <v>1.25</v>
      </c>
      <c r="Q493" s="7">
        <v>995832</v>
      </c>
      <c r="R493" s="7">
        <v>802642</v>
      </c>
      <c r="S493" s="7">
        <v>23429848</v>
      </c>
      <c r="T493" s="7">
        <v>23929524</v>
      </c>
      <c r="U493" s="7">
        <v>23429848</v>
      </c>
      <c r="V493" s="7">
        <v>23929524</v>
      </c>
      <c r="W493" s="7">
        <v>0</v>
      </c>
      <c r="X493" s="7">
        <v>0</v>
      </c>
      <c r="Y493" s="7">
        <v>1904</v>
      </c>
      <c r="Z493" s="7">
        <v>1871</v>
      </c>
      <c r="AA493" s="8">
        <v>-1.73</v>
      </c>
      <c r="AB493" s="7">
        <v>5175842</v>
      </c>
      <c r="AC493" s="7">
        <v>4675842</v>
      </c>
      <c r="AD493" s="7">
        <v>625000</v>
      </c>
      <c r="AE493" s="7">
        <v>750000</v>
      </c>
      <c r="AF493" s="7">
        <v>1780021</v>
      </c>
      <c r="AG493" s="7">
        <v>1833177</v>
      </c>
      <c r="AH493" s="8">
        <v>4</v>
      </c>
      <c r="AI493" s="8">
        <v>4</v>
      </c>
    </row>
    <row r="494" spans="1:35" x14ac:dyDescent="0.25">
      <c r="A494" s="6" t="str">
        <f>"651503"</f>
        <v>651503</v>
      </c>
      <c r="B494" s="6" t="s">
        <v>529</v>
      </c>
      <c r="C494" s="7">
        <v>20766000</v>
      </c>
      <c r="D494" s="7">
        <v>21223000</v>
      </c>
      <c r="E494" s="8">
        <v>2.2000000000000002</v>
      </c>
      <c r="F494" s="7">
        <v>4354000</v>
      </c>
      <c r="G494" s="7">
        <v>4406000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4354000</v>
      </c>
      <c r="O494" s="7">
        <v>4406000</v>
      </c>
      <c r="P494" s="8">
        <v>1.19</v>
      </c>
      <c r="Q494" s="7">
        <v>179506</v>
      </c>
      <c r="R494" s="7">
        <v>157900</v>
      </c>
      <c r="S494" s="7">
        <v>4174707</v>
      </c>
      <c r="T494" s="7">
        <v>4248255</v>
      </c>
      <c r="U494" s="7">
        <v>4174494</v>
      </c>
      <c r="V494" s="7">
        <v>4248100</v>
      </c>
      <c r="W494" s="7">
        <v>213</v>
      </c>
      <c r="X494" s="7">
        <v>155</v>
      </c>
      <c r="Y494" s="7">
        <v>905</v>
      </c>
      <c r="Z494" s="7">
        <v>905</v>
      </c>
      <c r="AA494" s="8">
        <v>0</v>
      </c>
      <c r="AB494" s="7">
        <v>2488456</v>
      </c>
      <c r="AC494" s="7">
        <v>2350000</v>
      </c>
      <c r="AD494" s="7">
        <v>678000</v>
      </c>
      <c r="AE494" s="7">
        <v>678000</v>
      </c>
      <c r="AF494" s="7">
        <v>828170</v>
      </c>
      <c r="AG494" s="7">
        <v>800000</v>
      </c>
      <c r="AH494" s="8">
        <v>3.99</v>
      </c>
      <c r="AI494" s="8">
        <v>3.77</v>
      </c>
    </row>
    <row r="495" spans="1:35" x14ac:dyDescent="0.25">
      <c r="A495" s="6" t="str">
        <f>"131701"</f>
        <v>131701</v>
      </c>
      <c r="B495" s="6" t="s">
        <v>530</v>
      </c>
      <c r="C495" s="7">
        <v>51742416</v>
      </c>
      <c r="D495" s="7">
        <v>52682598</v>
      </c>
      <c r="E495" s="8">
        <v>1.82</v>
      </c>
      <c r="F495" s="7">
        <v>32093000</v>
      </c>
      <c r="G495" s="7">
        <v>32846000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32093000</v>
      </c>
      <c r="O495" s="7">
        <v>32846000</v>
      </c>
      <c r="P495" s="8">
        <v>2.35</v>
      </c>
      <c r="Q495" s="7">
        <v>164398</v>
      </c>
      <c r="R495" s="7">
        <v>252361</v>
      </c>
      <c r="S495" s="7">
        <v>31928682</v>
      </c>
      <c r="T495" s="7">
        <v>32594619</v>
      </c>
      <c r="U495" s="7">
        <v>31928602</v>
      </c>
      <c r="V495" s="7">
        <v>32593639</v>
      </c>
      <c r="W495" s="7">
        <v>80</v>
      </c>
      <c r="X495" s="7">
        <v>980</v>
      </c>
      <c r="Y495" s="7">
        <v>1986</v>
      </c>
      <c r="Z495" s="7">
        <v>1966</v>
      </c>
      <c r="AA495" s="8">
        <v>-1.01</v>
      </c>
      <c r="AB495" s="7">
        <v>2976912</v>
      </c>
      <c r="AC495" s="7">
        <v>2970000</v>
      </c>
      <c r="AD495" s="7">
        <v>3015602</v>
      </c>
      <c r="AE495" s="7">
        <v>3000000</v>
      </c>
      <c r="AF495" s="7">
        <v>2033155</v>
      </c>
      <c r="AG495" s="7">
        <v>2100000</v>
      </c>
      <c r="AH495" s="8">
        <v>3.93</v>
      </c>
      <c r="AI495" s="8">
        <v>3.99</v>
      </c>
    </row>
    <row r="496" spans="1:35" x14ac:dyDescent="0.25">
      <c r="A496" s="6" t="str">
        <f>"411701"</f>
        <v>411701</v>
      </c>
      <c r="B496" s="6" t="s">
        <v>531</v>
      </c>
      <c r="C496" s="7">
        <v>11550000</v>
      </c>
      <c r="D496" s="7">
        <v>11912112</v>
      </c>
      <c r="E496" s="8">
        <v>3.14</v>
      </c>
      <c r="F496" s="7">
        <v>4982419</v>
      </c>
      <c r="G496" s="7">
        <v>5082067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4982419</v>
      </c>
      <c r="O496" s="7">
        <v>5082067</v>
      </c>
      <c r="P496" s="8">
        <v>2</v>
      </c>
      <c r="Q496" s="7">
        <v>6714</v>
      </c>
      <c r="R496" s="7">
        <v>72523</v>
      </c>
      <c r="S496" s="7">
        <v>4975705</v>
      </c>
      <c r="T496" s="7">
        <v>5059589</v>
      </c>
      <c r="U496" s="7">
        <v>4975705</v>
      </c>
      <c r="V496" s="7">
        <v>5009544</v>
      </c>
      <c r="W496" s="7">
        <v>0</v>
      </c>
      <c r="X496" s="7">
        <v>50045</v>
      </c>
      <c r="Y496" s="7">
        <v>430</v>
      </c>
      <c r="Z496" s="7">
        <v>431</v>
      </c>
      <c r="AA496" s="8">
        <v>0.23</v>
      </c>
      <c r="AB496" s="7">
        <v>2708610</v>
      </c>
      <c r="AC496" s="7">
        <v>1387126</v>
      </c>
      <c r="AD496" s="7">
        <v>155000</v>
      </c>
      <c r="AE496" s="7">
        <v>305000</v>
      </c>
      <c r="AF496" s="7">
        <v>460519</v>
      </c>
      <c r="AG496" s="7">
        <v>475519</v>
      </c>
      <c r="AH496" s="8">
        <v>3.99</v>
      </c>
      <c r="AI496" s="8">
        <v>3.99</v>
      </c>
    </row>
    <row r="497" spans="1:35" x14ac:dyDescent="0.25">
      <c r="A497" s="6" t="str">
        <f>"580901"</f>
        <v>580901</v>
      </c>
      <c r="B497" s="6" t="s">
        <v>532</v>
      </c>
      <c r="C497" s="7">
        <v>13227089</v>
      </c>
      <c r="D497" s="7">
        <v>13526371</v>
      </c>
      <c r="E497" s="8">
        <v>2.2599999999999998</v>
      </c>
      <c r="F497" s="7">
        <v>11523919</v>
      </c>
      <c r="G497" s="7">
        <v>11875070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11523919</v>
      </c>
      <c r="O497" s="7">
        <v>11875070</v>
      </c>
      <c r="P497" s="8">
        <v>3.05</v>
      </c>
      <c r="Q497" s="7">
        <v>0</v>
      </c>
      <c r="R497" s="7">
        <v>0</v>
      </c>
      <c r="S497" s="7">
        <v>11669697</v>
      </c>
      <c r="T497" s="11">
        <v>11897360</v>
      </c>
      <c r="U497" s="7">
        <v>11523919</v>
      </c>
      <c r="V497" s="7">
        <v>11875070</v>
      </c>
      <c r="W497" s="7">
        <v>145778</v>
      </c>
      <c r="X497" s="7">
        <v>22290</v>
      </c>
      <c r="Y497" s="7">
        <v>313</v>
      </c>
      <c r="Z497" s="7">
        <v>312</v>
      </c>
      <c r="AA497" s="8">
        <v>-0.32</v>
      </c>
      <c r="AB497" s="7">
        <v>963005</v>
      </c>
      <c r="AC497" s="7">
        <v>963005</v>
      </c>
      <c r="AD497" s="7">
        <v>1051853</v>
      </c>
      <c r="AE497" s="7">
        <v>975000</v>
      </c>
      <c r="AF497" s="7">
        <v>825934</v>
      </c>
      <c r="AG497" s="7">
        <v>825934</v>
      </c>
      <c r="AH497" s="8">
        <v>6.24</v>
      </c>
      <c r="AI497" s="8">
        <v>6.11</v>
      </c>
    </row>
    <row r="498" spans="1:35" x14ac:dyDescent="0.25">
      <c r="A498" s="6" t="str">
        <f>"491200"</f>
        <v>491200</v>
      </c>
      <c r="B498" s="6" t="s">
        <v>533</v>
      </c>
      <c r="C498" s="7">
        <v>23880296</v>
      </c>
      <c r="D498" s="7">
        <v>23558945</v>
      </c>
      <c r="E498" s="8">
        <v>-1.35</v>
      </c>
      <c r="F498" s="7">
        <v>7593700</v>
      </c>
      <c r="G498" s="7">
        <v>6757949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7593700</v>
      </c>
      <c r="O498" s="7">
        <v>6757949</v>
      </c>
      <c r="P498" s="8">
        <v>-11.01</v>
      </c>
      <c r="Q498" s="7">
        <v>2773895</v>
      </c>
      <c r="R498" s="7">
        <v>1844983</v>
      </c>
      <c r="S498" s="7">
        <v>4819805</v>
      </c>
      <c r="T498" s="7">
        <v>4912966</v>
      </c>
      <c r="U498" s="7">
        <v>4819805</v>
      </c>
      <c r="V498" s="7">
        <v>4912966</v>
      </c>
      <c r="W498" s="7">
        <v>0</v>
      </c>
      <c r="X498" s="7">
        <v>0</v>
      </c>
      <c r="Y498" s="7">
        <v>1090</v>
      </c>
      <c r="Z498" s="7">
        <v>1184</v>
      </c>
      <c r="AA498" s="8">
        <v>8.6199999999999992</v>
      </c>
      <c r="AB498" s="7">
        <v>367576</v>
      </c>
      <c r="AC498" s="7">
        <v>541853</v>
      </c>
      <c r="AD498" s="7">
        <v>373557</v>
      </c>
      <c r="AE498" s="7">
        <v>1075907</v>
      </c>
      <c r="AF498" s="7">
        <v>997652</v>
      </c>
      <c r="AG498" s="7">
        <v>2038743</v>
      </c>
      <c r="AH498" s="8">
        <v>4.18</v>
      </c>
      <c r="AI498" s="8">
        <v>8.65</v>
      </c>
    </row>
    <row r="499" spans="1:35" x14ac:dyDescent="0.25">
      <c r="A499" s="6" t="str">
        <f>"131801"</f>
        <v>131801</v>
      </c>
      <c r="B499" s="6" t="s">
        <v>534</v>
      </c>
      <c r="C499" s="7">
        <v>32135122</v>
      </c>
      <c r="D499" s="7">
        <v>33121397</v>
      </c>
      <c r="E499" s="8">
        <v>3.07</v>
      </c>
      <c r="F499" s="7">
        <v>26869359</v>
      </c>
      <c r="G499" s="7">
        <v>27912045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26869359</v>
      </c>
      <c r="O499" s="7">
        <v>27912045</v>
      </c>
      <c r="P499" s="8">
        <v>3.88</v>
      </c>
      <c r="Q499" s="7">
        <v>1153887</v>
      </c>
      <c r="R499" s="7">
        <v>1013703</v>
      </c>
      <c r="S499" s="7">
        <v>25715472</v>
      </c>
      <c r="T499" s="12">
        <v>26441562</v>
      </c>
      <c r="U499" s="7">
        <v>25715472</v>
      </c>
      <c r="V499" s="7">
        <v>26898342</v>
      </c>
      <c r="W499" s="7">
        <v>0</v>
      </c>
      <c r="X499" s="11">
        <v>-456780</v>
      </c>
      <c r="Y499" s="7">
        <v>1053</v>
      </c>
      <c r="Z499" s="7">
        <v>1013</v>
      </c>
      <c r="AA499" s="8">
        <v>-3.8</v>
      </c>
      <c r="AB499" s="7">
        <v>1123719</v>
      </c>
      <c r="AC499" s="7">
        <v>1050000</v>
      </c>
      <c r="AD499" s="7">
        <v>1196449</v>
      </c>
      <c r="AE499" s="7">
        <v>1200000</v>
      </c>
      <c r="AF499" s="7">
        <v>235871</v>
      </c>
      <c r="AG499" s="7">
        <v>350000</v>
      </c>
      <c r="AH499" s="8">
        <v>0.73</v>
      </c>
      <c r="AI499" s="8">
        <v>1.06</v>
      </c>
    </row>
    <row r="500" spans="1:35" x14ac:dyDescent="0.25">
      <c r="A500" s="6" t="str">
        <f>"472001"</f>
        <v>472001</v>
      </c>
      <c r="B500" s="6" t="s">
        <v>535</v>
      </c>
      <c r="C500" s="7">
        <v>11750699</v>
      </c>
      <c r="D500" s="7">
        <v>11750699</v>
      </c>
      <c r="E500" s="8">
        <v>0</v>
      </c>
      <c r="F500" s="7">
        <v>3325264</v>
      </c>
      <c r="G500" s="7">
        <v>3391437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3325264</v>
      </c>
      <c r="O500" s="7">
        <v>3391437</v>
      </c>
      <c r="P500" s="8">
        <v>1.99</v>
      </c>
      <c r="Q500" s="7">
        <v>0</v>
      </c>
      <c r="R500" s="7">
        <v>52688</v>
      </c>
      <c r="S500" s="7">
        <v>3325264</v>
      </c>
      <c r="T500" s="7">
        <v>3372612</v>
      </c>
      <c r="U500" s="7">
        <v>3325264</v>
      </c>
      <c r="V500" s="7">
        <v>3338749</v>
      </c>
      <c r="W500" s="7">
        <v>0</v>
      </c>
      <c r="X500" s="7">
        <v>33863</v>
      </c>
      <c r="Y500" s="7">
        <v>503</v>
      </c>
      <c r="Z500" s="7">
        <v>480</v>
      </c>
      <c r="AA500" s="8">
        <v>-4.57</v>
      </c>
      <c r="AB500" s="7">
        <v>2559029</v>
      </c>
      <c r="AC500" s="7">
        <v>2500000</v>
      </c>
      <c r="AD500" s="7">
        <v>884000</v>
      </c>
      <c r="AE500" s="7">
        <v>800000</v>
      </c>
      <c r="AF500" s="7">
        <v>607300</v>
      </c>
      <c r="AG500" s="7">
        <v>470000</v>
      </c>
      <c r="AH500" s="8">
        <v>5.17</v>
      </c>
      <c r="AI500" s="8">
        <v>4</v>
      </c>
    </row>
    <row r="501" spans="1:35" x14ac:dyDescent="0.25">
      <c r="A501" s="6" t="str">
        <f>"062401"</f>
        <v>062401</v>
      </c>
      <c r="B501" s="6" t="s">
        <v>536</v>
      </c>
      <c r="C501" s="7">
        <v>9217446</v>
      </c>
      <c r="D501" s="7">
        <v>9154039</v>
      </c>
      <c r="E501" s="8">
        <v>-0.69</v>
      </c>
      <c r="F501" s="7">
        <v>1872851</v>
      </c>
      <c r="G501" s="7">
        <v>1861491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1872851</v>
      </c>
      <c r="O501" s="7">
        <v>1861491</v>
      </c>
      <c r="P501" s="8">
        <v>-0.61</v>
      </c>
      <c r="Q501" s="7">
        <v>0</v>
      </c>
      <c r="R501" s="7">
        <v>0</v>
      </c>
      <c r="S501" s="7">
        <v>1919559</v>
      </c>
      <c r="T501" s="7">
        <v>1943637</v>
      </c>
      <c r="U501" s="7">
        <v>1872851</v>
      </c>
      <c r="V501" s="7">
        <v>1861491</v>
      </c>
      <c r="W501" s="7">
        <v>46708</v>
      </c>
      <c r="X501" s="7">
        <v>82146</v>
      </c>
      <c r="Y501" s="7">
        <v>316</v>
      </c>
      <c r="Z501" s="7">
        <v>338</v>
      </c>
      <c r="AA501" s="8">
        <v>6.96</v>
      </c>
      <c r="AB501" s="7">
        <v>1427797</v>
      </c>
      <c r="AC501" s="7">
        <v>1427797</v>
      </c>
      <c r="AD501" s="7">
        <v>411195</v>
      </c>
      <c r="AE501" s="7">
        <v>84000</v>
      </c>
      <c r="AF501" s="7">
        <v>459011</v>
      </c>
      <c r="AG501" s="7">
        <v>402847</v>
      </c>
      <c r="AH501" s="8">
        <v>4.9800000000000004</v>
      </c>
      <c r="AI501" s="8">
        <v>4.4000000000000004</v>
      </c>
    </row>
    <row r="502" spans="1:35" x14ac:dyDescent="0.25">
      <c r="A502" s="6" t="str">
        <f>"580602"</f>
        <v>580602</v>
      </c>
      <c r="B502" s="6" t="s">
        <v>537</v>
      </c>
      <c r="C502" s="7">
        <v>130669295</v>
      </c>
      <c r="D502" s="7">
        <v>136388547</v>
      </c>
      <c r="E502" s="8">
        <v>4.38</v>
      </c>
      <c r="F502" s="7">
        <v>97672426</v>
      </c>
      <c r="G502" s="7">
        <v>101357047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97672426</v>
      </c>
      <c r="O502" s="7">
        <v>101357047</v>
      </c>
      <c r="P502" s="8">
        <v>3.77</v>
      </c>
      <c r="Q502" s="7">
        <v>4161472</v>
      </c>
      <c r="R502" s="7">
        <v>6137556</v>
      </c>
      <c r="S502" s="7">
        <v>93510956</v>
      </c>
      <c r="T502" s="7">
        <v>95219509</v>
      </c>
      <c r="U502" s="7">
        <v>93510954</v>
      </c>
      <c r="V502" s="7">
        <v>95219491</v>
      </c>
      <c r="W502" s="7">
        <v>2</v>
      </c>
      <c r="X502" s="7">
        <v>18</v>
      </c>
      <c r="Y502" s="7">
        <v>5481</v>
      </c>
      <c r="Z502" s="7">
        <v>5606</v>
      </c>
      <c r="AA502" s="8">
        <v>2.2799999999999998</v>
      </c>
      <c r="AB502" s="7">
        <v>10683450</v>
      </c>
      <c r="AC502" s="7">
        <v>9317403</v>
      </c>
      <c r="AD502" s="7">
        <v>2000000</v>
      </c>
      <c r="AE502" s="7">
        <v>1750000</v>
      </c>
      <c r="AF502" s="7">
        <v>5226772</v>
      </c>
      <c r="AG502" s="7">
        <v>5455541</v>
      </c>
      <c r="AH502" s="8">
        <v>4</v>
      </c>
      <c r="AI502" s="8">
        <v>4</v>
      </c>
    </row>
    <row r="503" spans="1:35" x14ac:dyDescent="0.25">
      <c r="A503" s="6" t="str">
        <f>"280221"</f>
        <v>280221</v>
      </c>
      <c r="B503" s="6" t="s">
        <v>538</v>
      </c>
      <c r="C503" s="7">
        <v>109482695</v>
      </c>
      <c r="D503" s="7">
        <v>112682073</v>
      </c>
      <c r="E503" s="8">
        <v>2.92</v>
      </c>
      <c r="F503" s="7">
        <v>91815000</v>
      </c>
      <c r="G503" s="7">
        <v>92500000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91815000</v>
      </c>
      <c r="O503" s="7">
        <v>92500000</v>
      </c>
      <c r="P503" s="8">
        <v>0.75</v>
      </c>
      <c r="Q503" s="7">
        <v>3628624</v>
      </c>
      <c r="R503" s="7">
        <v>3266762</v>
      </c>
      <c r="S503" s="7">
        <v>88196136</v>
      </c>
      <c r="T503" s="7">
        <v>89244083</v>
      </c>
      <c r="U503" s="7">
        <v>88186376</v>
      </c>
      <c r="V503" s="7">
        <v>89233238</v>
      </c>
      <c r="W503" s="7">
        <v>9760</v>
      </c>
      <c r="X503" s="7">
        <v>10845</v>
      </c>
      <c r="Y503" s="7">
        <v>3550</v>
      </c>
      <c r="Z503" s="7">
        <v>3565</v>
      </c>
      <c r="AA503" s="8">
        <v>0.42</v>
      </c>
      <c r="AB503" s="7">
        <v>4823581</v>
      </c>
      <c r="AC503" s="7">
        <v>5077000</v>
      </c>
      <c r="AD503" s="7">
        <v>2800000</v>
      </c>
      <c r="AE503" s="7">
        <v>2800000</v>
      </c>
      <c r="AF503" s="7">
        <v>3022718</v>
      </c>
      <c r="AG503" s="7">
        <v>4060000</v>
      </c>
      <c r="AH503" s="8">
        <v>2.76</v>
      </c>
      <c r="AI503" s="8">
        <v>3.6</v>
      </c>
    </row>
    <row r="504" spans="1:35" x14ac:dyDescent="0.25">
      <c r="A504" s="6" t="str">
        <f>"580209"</f>
        <v>580209</v>
      </c>
      <c r="B504" s="6" t="s">
        <v>539</v>
      </c>
      <c r="C504" s="7">
        <v>80623643</v>
      </c>
      <c r="D504" s="7">
        <v>83286346</v>
      </c>
      <c r="E504" s="8">
        <v>3.3</v>
      </c>
      <c r="F504" s="7">
        <v>48084714</v>
      </c>
      <c r="G504" s="7">
        <v>49629259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48084714</v>
      </c>
      <c r="O504" s="7">
        <v>49629259</v>
      </c>
      <c r="P504" s="8">
        <v>3.21</v>
      </c>
      <c r="Q504" s="7">
        <v>83976</v>
      </c>
      <c r="R504" s="7">
        <v>755914</v>
      </c>
      <c r="S504" s="7">
        <v>48000738</v>
      </c>
      <c r="T504" s="7">
        <v>48873345</v>
      </c>
      <c r="U504" s="7">
        <v>48000738</v>
      </c>
      <c r="V504" s="7">
        <v>48873345</v>
      </c>
      <c r="W504" s="7">
        <v>0</v>
      </c>
      <c r="X504" s="7">
        <v>0</v>
      </c>
      <c r="Y504" s="7">
        <v>3230</v>
      </c>
      <c r="Z504" s="7">
        <v>3159</v>
      </c>
      <c r="AA504" s="8">
        <v>-2.2000000000000002</v>
      </c>
      <c r="AB504" s="7">
        <v>18321044</v>
      </c>
      <c r="AC504" s="7">
        <v>18000000</v>
      </c>
      <c r="AD504" s="7">
        <v>1931759</v>
      </c>
      <c r="AE504" s="7">
        <v>2105309</v>
      </c>
      <c r="AF504" s="7">
        <v>3224944</v>
      </c>
      <c r="AG504" s="7">
        <v>3331000</v>
      </c>
      <c r="AH504" s="8">
        <v>4</v>
      </c>
      <c r="AI504" s="8">
        <v>4</v>
      </c>
    </row>
    <row r="505" spans="1:35" x14ac:dyDescent="0.25">
      <c r="A505" s="6" t="str">
        <f>"411800"</f>
        <v>411800</v>
      </c>
      <c r="B505" s="6" t="s">
        <v>540</v>
      </c>
      <c r="C505" s="7">
        <v>113711979</v>
      </c>
      <c r="D505" s="7">
        <v>115320834</v>
      </c>
      <c r="E505" s="8">
        <v>1.41</v>
      </c>
      <c r="F505" s="7">
        <v>32657936</v>
      </c>
      <c r="G505" s="7">
        <v>32657936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32657936</v>
      </c>
      <c r="O505" s="7">
        <v>32657936</v>
      </c>
      <c r="P505" s="8">
        <v>0</v>
      </c>
      <c r="Q505" s="7">
        <v>0</v>
      </c>
      <c r="R505" s="7">
        <v>42854</v>
      </c>
      <c r="S505" s="7">
        <v>32657936</v>
      </c>
      <c r="T505" s="7">
        <v>33260721</v>
      </c>
      <c r="U505" s="7">
        <v>32657936</v>
      </c>
      <c r="V505" s="7">
        <v>32615082</v>
      </c>
      <c r="W505" s="7">
        <v>0</v>
      </c>
      <c r="X505" s="7">
        <v>645639</v>
      </c>
      <c r="Y505" s="7">
        <v>5323</v>
      </c>
      <c r="Z505" s="7">
        <v>5434</v>
      </c>
      <c r="AA505" s="8">
        <v>2.09</v>
      </c>
      <c r="AB505" s="7">
        <v>2391614</v>
      </c>
      <c r="AC505" s="7">
        <v>2391614</v>
      </c>
      <c r="AD505" s="7">
        <v>6556103</v>
      </c>
      <c r="AE505" s="7">
        <v>6556103</v>
      </c>
      <c r="AF505" s="7">
        <v>6251880</v>
      </c>
      <c r="AG505" s="7">
        <v>4851880</v>
      </c>
      <c r="AH505" s="8">
        <v>5.5</v>
      </c>
      <c r="AI505" s="8">
        <v>4.21</v>
      </c>
    </row>
    <row r="506" spans="1:35" x14ac:dyDescent="0.25">
      <c r="A506" s="6" t="str">
        <f>"560603"</f>
        <v>560603</v>
      </c>
      <c r="B506" s="6" t="s">
        <v>541</v>
      </c>
      <c r="C506" s="7">
        <v>11351535</v>
      </c>
      <c r="D506" s="7">
        <v>11861167</v>
      </c>
      <c r="E506" s="8">
        <v>4.49</v>
      </c>
      <c r="F506" s="7">
        <v>5602658</v>
      </c>
      <c r="G506" s="7">
        <v>5649658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5602658</v>
      </c>
      <c r="O506" s="7">
        <v>5649658</v>
      </c>
      <c r="P506" s="8">
        <v>0.84</v>
      </c>
      <c r="Q506" s="7">
        <v>123822</v>
      </c>
      <c r="R506" s="7">
        <v>108960</v>
      </c>
      <c r="S506" s="7">
        <v>5547874</v>
      </c>
      <c r="T506" s="7">
        <v>5543637</v>
      </c>
      <c r="U506" s="7">
        <v>5478836</v>
      </c>
      <c r="V506" s="7">
        <v>5540698</v>
      </c>
      <c r="W506" s="7">
        <v>69038</v>
      </c>
      <c r="X506" s="7">
        <v>2939</v>
      </c>
      <c r="Y506" s="7">
        <v>398</v>
      </c>
      <c r="Z506" s="7">
        <v>395</v>
      </c>
      <c r="AA506" s="8">
        <v>-0.75</v>
      </c>
      <c r="AB506" s="7">
        <v>6774322</v>
      </c>
      <c r="AC506" s="7">
        <v>7100000</v>
      </c>
      <c r="AD506" s="7">
        <v>23023</v>
      </c>
      <c r="AE506" s="7">
        <v>25000</v>
      </c>
      <c r="AF506" s="7">
        <v>454062</v>
      </c>
      <c r="AG506" s="7">
        <v>474447</v>
      </c>
      <c r="AH506" s="8">
        <v>4</v>
      </c>
      <c r="AI506" s="8">
        <v>4</v>
      </c>
    </row>
    <row r="507" spans="1:35" x14ac:dyDescent="0.25">
      <c r="A507" s="6" t="str">
        <f>"620901"</f>
        <v>620901</v>
      </c>
      <c r="B507" s="6" t="s">
        <v>542</v>
      </c>
      <c r="C507" s="7">
        <v>61717376</v>
      </c>
      <c r="D507" s="7">
        <v>63385211</v>
      </c>
      <c r="E507" s="8">
        <v>2.7</v>
      </c>
      <c r="F507" s="7">
        <v>35640511</v>
      </c>
      <c r="G507" s="7">
        <v>35158236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35640511</v>
      </c>
      <c r="O507" s="7">
        <v>35158236</v>
      </c>
      <c r="P507" s="8">
        <v>-1.35</v>
      </c>
      <c r="Q507" s="7">
        <v>596682</v>
      </c>
      <c r="R507" s="7">
        <v>776640</v>
      </c>
      <c r="S507" s="7">
        <v>35340857</v>
      </c>
      <c r="T507" s="7">
        <v>35825530</v>
      </c>
      <c r="U507" s="7">
        <v>35043829</v>
      </c>
      <c r="V507" s="7">
        <v>34381596</v>
      </c>
      <c r="W507" s="7">
        <v>297028</v>
      </c>
      <c r="X507" s="7">
        <v>1443934</v>
      </c>
      <c r="Y507" s="7">
        <v>1959</v>
      </c>
      <c r="Z507" s="7">
        <v>1969</v>
      </c>
      <c r="AA507" s="8">
        <v>0.51</v>
      </c>
      <c r="AB507" s="7">
        <v>1665341</v>
      </c>
      <c r="AC507" s="7">
        <v>1715341</v>
      </c>
      <c r="AD507" s="7">
        <v>4316972</v>
      </c>
      <c r="AE507" s="7">
        <v>3616972</v>
      </c>
      <c r="AF507" s="7">
        <v>2252703</v>
      </c>
      <c r="AG507" s="7">
        <v>2102039</v>
      </c>
      <c r="AH507" s="8">
        <v>3.65</v>
      </c>
      <c r="AI507" s="8">
        <v>3.32</v>
      </c>
    </row>
    <row r="508" spans="1:35" x14ac:dyDescent="0.25">
      <c r="A508" s="6" t="str">
        <f>"280208"</f>
        <v>280208</v>
      </c>
      <c r="B508" s="6" t="s">
        <v>543</v>
      </c>
      <c r="C508" s="7">
        <v>96550887</v>
      </c>
      <c r="D508" s="7">
        <v>99272698</v>
      </c>
      <c r="E508" s="8">
        <v>2.82</v>
      </c>
      <c r="F508" s="7">
        <v>21446802</v>
      </c>
      <c r="G508" s="7">
        <v>21833396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21446802</v>
      </c>
      <c r="O508" s="7">
        <v>21833396</v>
      </c>
      <c r="P508" s="8">
        <v>1.8</v>
      </c>
      <c r="Q508" s="7">
        <v>0</v>
      </c>
      <c r="R508" s="7">
        <v>0</v>
      </c>
      <c r="S508" s="7">
        <v>23398799</v>
      </c>
      <c r="T508" s="7">
        <v>22084790</v>
      </c>
      <c r="U508" s="7">
        <v>21446802</v>
      </c>
      <c r="V508" s="7">
        <v>21833396</v>
      </c>
      <c r="W508" s="7">
        <v>1951997</v>
      </c>
      <c r="X508" s="7">
        <v>251394</v>
      </c>
      <c r="Y508" s="7">
        <v>3475</v>
      </c>
      <c r="Z508" s="7">
        <v>3700</v>
      </c>
      <c r="AA508" s="8">
        <v>6.47</v>
      </c>
      <c r="AB508" s="7">
        <v>20240283</v>
      </c>
      <c r="AC508" s="7">
        <v>20950887</v>
      </c>
      <c r="AD508" s="7">
        <v>2300000</v>
      </c>
      <c r="AE508" s="7">
        <v>2875000</v>
      </c>
      <c r="AF508" s="7">
        <v>2866961</v>
      </c>
      <c r="AG508" s="7">
        <v>3150000</v>
      </c>
      <c r="AH508" s="8">
        <v>2.97</v>
      </c>
      <c r="AI508" s="8">
        <v>3.17</v>
      </c>
    </row>
    <row r="509" spans="1:35" x14ac:dyDescent="0.25">
      <c r="A509" s="6" t="str">
        <f>"591301"</f>
        <v>591301</v>
      </c>
      <c r="B509" s="6" t="s">
        <v>544</v>
      </c>
      <c r="C509" s="7">
        <v>8574971</v>
      </c>
      <c r="D509" s="7">
        <v>8843308</v>
      </c>
      <c r="E509" s="8">
        <v>3.13</v>
      </c>
      <c r="F509" s="7">
        <v>4930606</v>
      </c>
      <c r="G509" s="7">
        <v>5020328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4930606</v>
      </c>
      <c r="O509" s="7">
        <v>5020328</v>
      </c>
      <c r="P509" s="8">
        <v>1.82</v>
      </c>
      <c r="Q509" s="7">
        <v>137161</v>
      </c>
      <c r="R509" s="7">
        <v>139517</v>
      </c>
      <c r="S509" s="7">
        <v>4793445</v>
      </c>
      <c r="T509" s="7">
        <v>4880811</v>
      </c>
      <c r="U509" s="7">
        <v>4793445</v>
      </c>
      <c r="V509" s="7">
        <v>4880811</v>
      </c>
      <c r="W509" s="7">
        <v>0</v>
      </c>
      <c r="X509" s="7">
        <v>0</v>
      </c>
      <c r="Y509" s="7">
        <v>265</v>
      </c>
      <c r="Z509" s="7">
        <v>254</v>
      </c>
      <c r="AA509" s="8">
        <v>-4.1500000000000004</v>
      </c>
      <c r="AB509" s="7">
        <v>195269</v>
      </c>
      <c r="AC509" s="7">
        <v>727961</v>
      </c>
      <c r="AD509" s="7">
        <v>345000</v>
      </c>
      <c r="AE509" s="7">
        <v>345000</v>
      </c>
      <c r="AF509" s="7">
        <v>341844</v>
      </c>
      <c r="AG509" s="7">
        <v>353732</v>
      </c>
      <c r="AH509" s="8">
        <v>3.99</v>
      </c>
      <c r="AI509" s="8">
        <v>4</v>
      </c>
    </row>
    <row r="510" spans="1:35" x14ac:dyDescent="0.25">
      <c r="A510" s="6" t="str">
        <f>"280403"</f>
        <v>280403</v>
      </c>
      <c r="B510" s="6" t="s">
        <v>545</v>
      </c>
      <c r="C510" s="7">
        <v>105097968</v>
      </c>
      <c r="D510" s="7">
        <v>107181298</v>
      </c>
      <c r="E510" s="8">
        <v>1.98</v>
      </c>
      <c r="F510" s="7">
        <v>91448050</v>
      </c>
      <c r="G510" s="7">
        <v>91620879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91448050</v>
      </c>
      <c r="O510" s="7">
        <v>91620879</v>
      </c>
      <c r="P510" s="8">
        <v>0.19</v>
      </c>
      <c r="Q510" s="7">
        <v>4157186</v>
      </c>
      <c r="R510" s="7">
        <v>3882353</v>
      </c>
      <c r="S510" s="7">
        <v>87552795</v>
      </c>
      <c r="T510" s="7">
        <v>88592849</v>
      </c>
      <c r="U510" s="7">
        <v>87290864</v>
      </c>
      <c r="V510" s="7">
        <v>87738526</v>
      </c>
      <c r="W510" s="7">
        <v>261931</v>
      </c>
      <c r="X510" s="7">
        <v>854323</v>
      </c>
      <c r="Y510" s="7">
        <v>3140</v>
      </c>
      <c r="Z510" s="7">
        <v>3140</v>
      </c>
      <c r="AA510" s="8">
        <v>0</v>
      </c>
      <c r="AB510" s="7">
        <v>17462863</v>
      </c>
      <c r="AC510" s="7">
        <v>22462863</v>
      </c>
      <c r="AD510" s="7">
        <v>791179</v>
      </c>
      <c r="AE510" s="7">
        <v>300000</v>
      </c>
      <c r="AF510" s="7">
        <v>4192518</v>
      </c>
      <c r="AG510" s="7">
        <v>4287250</v>
      </c>
      <c r="AH510" s="8">
        <v>3.99</v>
      </c>
      <c r="AI510" s="8">
        <v>4</v>
      </c>
    </row>
    <row r="511" spans="1:35" x14ac:dyDescent="0.25">
      <c r="A511" s="6" t="str">
        <f>"530515"</f>
        <v>530515</v>
      </c>
      <c r="B511" s="6" t="s">
        <v>546</v>
      </c>
      <c r="C511" s="7">
        <v>48365409</v>
      </c>
      <c r="D511" s="7">
        <v>50940000</v>
      </c>
      <c r="E511" s="8">
        <v>5.32</v>
      </c>
      <c r="F511" s="7">
        <v>25744700</v>
      </c>
      <c r="G511" s="7">
        <v>26472475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25744700</v>
      </c>
      <c r="O511" s="7">
        <v>26472475</v>
      </c>
      <c r="P511" s="8">
        <v>2.83</v>
      </c>
      <c r="Q511" s="7">
        <v>752278</v>
      </c>
      <c r="R511" s="7">
        <v>953989</v>
      </c>
      <c r="S511" s="7">
        <v>24992422</v>
      </c>
      <c r="T511" s="7">
        <v>25518486</v>
      </c>
      <c r="U511" s="7">
        <v>24992422</v>
      </c>
      <c r="V511" s="7">
        <v>25518486</v>
      </c>
      <c r="W511" s="7">
        <v>0</v>
      </c>
      <c r="X511" s="7">
        <v>0</v>
      </c>
      <c r="Y511" s="7">
        <v>2918</v>
      </c>
      <c r="Z511" s="7">
        <v>2950</v>
      </c>
      <c r="AA511" s="8">
        <v>1.1000000000000001</v>
      </c>
      <c r="AB511" s="7">
        <v>3927506</v>
      </c>
      <c r="AC511" s="7">
        <v>3500000</v>
      </c>
      <c r="AD511" s="7">
        <v>1075000</v>
      </c>
      <c r="AE511" s="7">
        <v>1150000</v>
      </c>
      <c r="AF511" s="7">
        <v>1934615</v>
      </c>
      <c r="AG511" s="7">
        <v>2037600</v>
      </c>
      <c r="AH511" s="8">
        <v>4</v>
      </c>
      <c r="AI511" s="8">
        <v>4</v>
      </c>
    </row>
    <row r="512" spans="1:35" x14ac:dyDescent="0.25">
      <c r="A512" s="6" t="str">
        <f>"121502"</f>
        <v>121502</v>
      </c>
      <c r="B512" s="6" t="s">
        <v>547</v>
      </c>
      <c r="C512" s="7">
        <v>9867210</v>
      </c>
      <c r="D512" s="7">
        <v>10015545</v>
      </c>
      <c r="E512" s="8">
        <v>1.5</v>
      </c>
      <c r="F512" s="7">
        <v>5916313</v>
      </c>
      <c r="G512" s="7">
        <v>6020236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5916313</v>
      </c>
      <c r="O512" s="7">
        <v>6020236</v>
      </c>
      <c r="P512" s="8">
        <v>1.76</v>
      </c>
      <c r="Q512" s="7">
        <v>0</v>
      </c>
      <c r="R512" s="7">
        <v>0</v>
      </c>
      <c r="S512" s="7">
        <v>6007146</v>
      </c>
      <c r="T512" s="7">
        <v>6114457</v>
      </c>
      <c r="U512" s="7">
        <v>5916313</v>
      </c>
      <c r="V512" s="7">
        <v>6020236</v>
      </c>
      <c r="W512" s="7">
        <v>90833</v>
      </c>
      <c r="X512" s="7">
        <v>94221</v>
      </c>
      <c r="Y512" s="7">
        <v>306</v>
      </c>
      <c r="Z512" s="7">
        <v>304</v>
      </c>
      <c r="AA512" s="8">
        <v>-0.65</v>
      </c>
      <c r="AB512" s="7">
        <v>3750000</v>
      </c>
      <c r="AC512" s="7">
        <v>1650000</v>
      </c>
      <c r="AD512" s="7">
        <v>390000</v>
      </c>
      <c r="AE512" s="7">
        <v>365000</v>
      </c>
      <c r="AF512" s="7">
        <v>400000</v>
      </c>
      <c r="AG512" s="7">
        <v>401000</v>
      </c>
      <c r="AH512" s="8">
        <v>4.05</v>
      </c>
      <c r="AI512" s="8">
        <v>4</v>
      </c>
    </row>
    <row r="513" spans="1:35" x14ac:dyDescent="0.25">
      <c r="A513" s="6" t="str">
        <f>"401201"</f>
        <v>401201</v>
      </c>
      <c r="B513" s="6" t="s">
        <v>548</v>
      </c>
      <c r="C513" s="7">
        <v>23911667</v>
      </c>
      <c r="D513" s="7">
        <v>24370204</v>
      </c>
      <c r="E513" s="8">
        <v>1.92</v>
      </c>
      <c r="F513" s="7">
        <v>9841700</v>
      </c>
      <c r="G513" s="7">
        <v>9950098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9841700</v>
      </c>
      <c r="O513" s="7">
        <v>9950098</v>
      </c>
      <c r="P513" s="8">
        <v>1.1000000000000001</v>
      </c>
      <c r="Q513" s="7">
        <v>69472</v>
      </c>
      <c r="R513" s="7">
        <v>0</v>
      </c>
      <c r="S513" s="7">
        <v>9888388</v>
      </c>
      <c r="T513" s="7">
        <v>9964880</v>
      </c>
      <c r="U513" s="7">
        <v>9772228</v>
      </c>
      <c r="V513" s="7">
        <v>9950098</v>
      </c>
      <c r="W513" s="7">
        <v>116160</v>
      </c>
      <c r="X513" s="7">
        <v>14782</v>
      </c>
      <c r="Y513" s="7">
        <v>1311</v>
      </c>
      <c r="Z513" s="7">
        <v>1269</v>
      </c>
      <c r="AA513" s="8">
        <v>-3.2</v>
      </c>
      <c r="AB513" s="7">
        <v>3555903</v>
      </c>
      <c r="AC513" s="7">
        <v>2540950</v>
      </c>
      <c r="AD513" s="7">
        <v>1423201</v>
      </c>
      <c r="AE513" s="7">
        <v>931753</v>
      </c>
      <c r="AF513" s="7">
        <v>3445487</v>
      </c>
      <c r="AG513" s="7">
        <v>2965774</v>
      </c>
      <c r="AH513" s="8">
        <v>14.41</v>
      </c>
      <c r="AI513" s="8">
        <v>12.17</v>
      </c>
    </row>
    <row r="514" spans="1:35" x14ac:dyDescent="0.25">
      <c r="A514" s="6" t="str">
        <f>"261701"</f>
        <v>261701</v>
      </c>
      <c r="B514" s="6" t="s">
        <v>549</v>
      </c>
      <c r="C514" s="7">
        <v>119935154</v>
      </c>
      <c r="D514" s="7">
        <v>124717502</v>
      </c>
      <c r="E514" s="8">
        <v>3.99</v>
      </c>
      <c r="F514" s="7">
        <v>72102797</v>
      </c>
      <c r="G514" s="7">
        <v>74962441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72102797</v>
      </c>
      <c r="O514" s="7">
        <v>74962441</v>
      </c>
      <c r="P514" s="8">
        <v>3.97</v>
      </c>
      <c r="Q514" s="7">
        <v>0</v>
      </c>
      <c r="R514" s="7">
        <v>0</v>
      </c>
      <c r="S514" s="7">
        <v>72102797</v>
      </c>
      <c r="T514" s="7">
        <v>74962441</v>
      </c>
      <c r="U514" s="7">
        <v>72102797</v>
      </c>
      <c r="V514" s="7">
        <v>74962441</v>
      </c>
      <c r="W514" s="7">
        <v>0</v>
      </c>
      <c r="X514" s="7">
        <v>0</v>
      </c>
      <c r="Y514" s="7">
        <v>5369</v>
      </c>
      <c r="Z514" s="7">
        <v>5427</v>
      </c>
      <c r="AA514" s="8">
        <v>1.08</v>
      </c>
      <c r="AB514" s="7">
        <v>17864286</v>
      </c>
      <c r="AC514" s="7">
        <v>18885893</v>
      </c>
      <c r="AD514" s="7">
        <v>3000000</v>
      </c>
      <c r="AE514" s="7">
        <v>2850000</v>
      </c>
      <c r="AF514" s="7">
        <v>4797406</v>
      </c>
      <c r="AG514" s="7">
        <v>4988700</v>
      </c>
      <c r="AH514" s="8">
        <v>4</v>
      </c>
      <c r="AI514" s="8">
        <v>4</v>
      </c>
    </row>
    <row r="515" spans="1:35" x14ac:dyDescent="0.25">
      <c r="A515" s="6" t="str">
        <f>"661800"</f>
        <v>661800</v>
      </c>
      <c r="B515" s="6" t="s">
        <v>550</v>
      </c>
      <c r="C515" s="7">
        <v>85063873</v>
      </c>
      <c r="D515" s="7">
        <v>86930075</v>
      </c>
      <c r="E515" s="8">
        <v>2.19</v>
      </c>
      <c r="F515" s="7">
        <v>75530788</v>
      </c>
      <c r="G515" s="7">
        <v>77527711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75530788</v>
      </c>
      <c r="O515" s="7">
        <v>77527711</v>
      </c>
      <c r="P515" s="8">
        <v>2.64</v>
      </c>
      <c r="Q515" s="7">
        <v>4089642</v>
      </c>
      <c r="R515" s="7">
        <v>3946088</v>
      </c>
      <c r="S515" s="7">
        <v>71441146</v>
      </c>
      <c r="T515" s="7">
        <v>73581623</v>
      </c>
      <c r="U515" s="7">
        <v>71441146</v>
      </c>
      <c r="V515" s="7">
        <v>73581623</v>
      </c>
      <c r="W515" s="7">
        <v>0</v>
      </c>
      <c r="X515" s="7">
        <v>0</v>
      </c>
      <c r="Y515" s="7">
        <v>3384</v>
      </c>
      <c r="Z515" s="7">
        <v>3429</v>
      </c>
      <c r="AA515" s="8">
        <v>1.33</v>
      </c>
      <c r="AB515" s="7">
        <v>6924591</v>
      </c>
      <c r="AC515" s="7">
        <v>7924591</v>
      </c>
      <c r="AD515" s="7">
        <v>3474933</v>
      </c>
      <c r="AE515" s="7">
        <v>3154789</v>
      </c>
      <c r="AF515" s="7">
        <v>3113229</v>
      </c>
      <c r="AG515" s="7">
        <v>3477203</v>
      </c>
      <c r="AH515" s="8">
        <v>3.66</v>
      </c>
      <c r="AI515" s="8">
        <v>4</v>
      </c>
    </row>
    <row r="516" spans="1:35" x14ac:dyDescent="0.25">
      <c r="A516" s="6" t="str">
        <f>"661901"</f>
        <v>661901</v>
      </c>
      <c r="B516" s="6" t="s">
        <v>551</v>
      </c>
      <c r="C516" s="7">
        <v>40353985</v>
      </c>
      <c r="D516" s="7">
        <v>40120000</v>
      </c>
      <c r="E516" s="8">
        <v>-0.57999999999999996</v>
      </c>
      <c r="F516" s="7">
        <v>35945945</v>
      </c>
      <c r="G516" s="7">
        <v>36205473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35945945</v>
      </c>
      <c r="O516" s="7">
        <v>36205473</v>
      </c>
      <c r="P516" s="8">
        <v>0.72</v>
      </c>
      <c r="Q516" s="7">
        <v>1441743</v>
      </c>
      <c r="R516" s="7">
        <v>1106363</v>
      </c>
      <c r="S516" s="7">
        <v>34504202</v>
      </c>
      <c r="T516" s="7">
        <v>35099110</v>
      </c>
      <c r="U516" s="7">
        <v>34504202</v>
      </c>
      <c r="V516" s="7">
        <v>35099110</v>
      </c>
      <c r="W516" s="7">
        <v>0</v>
      </c>
      <c r="X516" s="7">
        <v>0</v>
      </c>
      <c r="Y516" s="7">
        <v>1632</v>
      </c>
      <c r="Z516" s="7">
        <v>1637</v>
      </c>
      <c r="AA516" s="8">
        <v>0.31</v>
      </c>
      <c r="AB516" s="7">
        <v>1699957</v>
      </c>
      <c r="AC516" s="7">
        <v>1700000</v>
      </c>
      <c r="AD516" s="7">
        <v>942415</v>
      </c>
      <c r="AE516" s="7">
        <v>750000</v>
      </c>
      <c r="AF516" s="7">
        <v>1613327</v>
      </c>
      <c r="AG516" s="7">
        <v>1604800</v>
      </c>
      <c r="AH516" s="8">
        <v>4</v>
      </c>
      <c r="AI516" s="8">
        <v>4</v>
      </c>
    </row>
    <row r="517" spans="1:35" x14ac:dyDescent="0.25">
      <c r="A517" s="6" t="str">
        <f>"580205"</f>
        <v>580205</v>
      </c>
      <c r="B517" s="6" t="s">
        <v>552</v>
      </c>
      <c r="C517" s="7">
        <v>306407294</v>
      </c>
      <c r="D517" s="7">
        <v>314191536</v>
      </c>
      <c r="E517" s="8">
        <v>2.54</v>
      </c>
      <c r="F517" s="7">
        <v>171070969</v>
      </c>
      <c r="G517" s="7">
        <v>177007200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171070969</v>
      </c>
      <c r="O517" s="7">
        <v>177007200</v>
      </c>
      <c r="P517" s="8">
        <v>3.47</v>
      </c>
      <c r="Q517" s="7">
        <v>1258900</v>
      </c>
      <c r="R517" s="7">
        <v>4627155</v>
      </c>
      <c r="S517" s="7">
        <v>169812069</v>
      </c>
      <c r="T517" s="7">
        <v>172380045</v>
      </c>
      <c r="U517" s="7">
        <v>169812069</v>
      </c>
      <c r="V517" s="7">
        <v>172380045</v>
      </c>
      <c r="W517" s="7">
        <v>0</v>
      </c>
      <c r="X517" s="7">
        <v>0</v>
      </c>
      <c r="Y517" s="7">
        <v>13453</v>
      </c>
      <c r="Z517" s="7">
        <v>13158</v>
      </c>
      <c r="AA517" s="8">
        <v>-2.19</v>
      </c>
      <c r="AB517" s="7">
        <v>3213019</v>
      </c>
      <c r="AC517" s="7">
        <v>5169530</v>
      </c>
      <c r="AD517" s="7">
        <v>0</v>
      </c>
      <c r="AE517" s="7">
        <v>0</v>
      </c>
      <c r="AF517" s="7">
        <v>9887651</v>
      </c>
      <c r="AG517" s="7">
        <v>12561023</v>
      </c>
      <c r="AH517" s="8">
        <v>3.23</v>
      </c>
      <c r="AI517" s="8">
        <v>4</v>
      </c>
    </row>
    <row r="518" spans="1:35" x14ac:dyDescent="0.25">
      <c r="A518" s="6" t="str">
        <f>"221001"</f>
        <v>221001</v>
      </c>
      <c r="B518" s="6" t="s">
        <v>553</v>
      </c>
      <c r="C518" s="7">
        <v>8499652</v>
      </c>
      <c r="D518" s="7">
        <v>8653070</v>
      </c>
      <c r="E518" s="8">
        <v>1.8</v>
      </c>
      <c r="F518" s="7">
        <v>3981642</v>
      </c>
      <c r="G518" s="7">
        <v>4061075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3981642</v>
      </c>
      <c r="O518" s="7">
        <v>4061075</v>
      </c>
      <c r="P518" s="8">
        <v>1.99</v>
      </c>
      <c r="Q518" s="7">
        <v>102528</v>
      </c>
      <c r="R518" s="7">
        <v>103687</v>
      </c>
      <c r="S518" s="7">
        <v>3879114</v>
      </c>
      <c r="T518" s="7">
        <v>3971684</v>
      </c>
      <c r="U518" s="7">
        <v>3879114</v>
      </c>
      <c r="V518" s="7">
        <v>3957388</v>
      </c>
      <c r="W518" s="7">
        <v>0</v>
      </c>
      <c r="X518" s="7">
        <v>14296</v>
      </c>
      <c r="Y518" s="7">
        <v>448</v>
      </c>
      <c r="Z518" s="7">
        <v>442</v>
      </c>
      <c r="AA518" s="8">
        <v>-1.34</v>
      </c>
      <c r="AB518" s="7">
        <v>1194871</v>
      </c>
      <c r="AC518" s="7">
        <v>1721662</v>
      </c>
      <c r="AD518" s="7">
        <v>470000</v>
      </c>
      <c r="AE518" s="7">
        <v>420000</v>
      </c>
      <c r="AF518" s="7">
        <v>637121</v>
      </c>
      <c r="AG518" s="7">
        <v>370764</v>
      </c>
      <c r="AH518" s="8">
        <v>7.5</v>
      </c>
      <c r="AI518" s="8">
        <v>4.28</v>
      </c>
    </row>
    <row r="519" spans="1:35" x14ac:dyDescent="0.25">
      <c r="A519" s="6" t="str">
        <f>"580305"</f>
        <v>580305</v>
      </c>
      <c r="B519" s="6" t="s">
        <v>554</v>
      </c>
      <c r="C519" s="7">
        <v>38773989</v>
      </c>
      <c r="D519" s="7">
        <v>39907110</v>
      </c>
      <c r="E519" s="8">
        <v>2.92</v>
      </c>
      <c r="F519" s="7">
        <v>35065000</v>
      </c>
      <c r="G519" s="7">
        <v>36288769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35065000</v>
      </c>
      <c r="O519" s="7">
        <v>36288769</v>
      </c>
      <c r="P519" s="8">
        <v>3.49</v>
      </c>
      <c r="Q519" s="7">
        <v>1952191</v>
      </c>
      <c r="R519" s="7">
        <v>2014574</v>
      </c>
      <c r="S519" s="7">
        <v>33187686</v>
      </c>
      <c r="T519" s="7">
        <v>34405914</v>
      </c>
      <c r="U519" s="7">
        <v>33112809</v>
      </c>
      <c r="V519" s="7">
        <v>34274195</v>
      </c>
      <c r="W519" s="7">
        <v>74877</v>
      </c>
      <c r="X519" s="7">
        <v>131719</v>
      </c>
      <c r="Y519" s="7">
        <v>942</v>
      </c>
      <c r="Z519" s="7">
        <v>945</v>
      </c>
      <c r="AA519" s="8">
        <v>0.32</v>
      </c>
      <c r="AB519" s="7">
        <v>8266212</v>
      </c>
      <c r="AC519" s="7">
        <v>9516212</v>
      </c>
      <c r="AD519" s="7">
        <v>1114869</v>
      </c>
      <c r="AE519" s="7">
        <v>771622</v>
      </c>
      <c r="AF519" s="7">
        <v>1550960</v>
      </c>
      <c r="AG519" s="7">
        <v>1596284</v>
      </c>
      <c r="AH519" s="8">
        <v>4</v>
      </c>
      <c r="AI519" s="8">
        <v>4</v>
      </c>
    </row>
    <row r="520" spans="1:35" x14ac:dyDescent="0.25">
      <c r="A520" s="6" t="str">
        <f>"043200"</f>
        <v>043200</v>
      </c>
      <c r="B520" s="6" t="s">
        <v>555</v>
      </c>
      <c r="C520" s="7">
        <v>29576962</v>
      </c>
      <c r="D520" s="7">
        <v>31992550</v>
      </c>
      <c r="E520" s="8">
        <v>8.17</v>
      </c>
      <c r="F520" s="7">
        <v>1152500</v>
      </c>
      <c r="G520" s="7">
        <v>1152500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1152500</v>
      </c>
      <c r="O520" s="7">
        <v>1152500</v>
      </c>
      <c r="P520" s="8">
        <v>0</v>
      </c>
      <c r="Q520" s="7">
        <v>0</v>
      </c>
      <c r="R520" s="7">
        <v>0</v>
      </c>
      <c r="S520" s="7">
        <v>1153883</v>
      </c>
      <c r="T520" s="7">
        <v>1167117</v>
      </c>
      <c r="U520" s="7">
        <v>1152500</v>
      </c>
      <c r="V520" s="7">
        <v>1152500</v>
      </c>
      <c r="W520" s="7">
        <v>1383</v>
      </c>
      <c r="X520" s="7">
        <v>14617</v>
      </c>
      <c r="Y520" s="7">
        <v>1273</v>
      </c>
      <c r="Z520" s="7">
        <v>1204</v>
      </c>
      <c r="AA520" s="8">
        <v>-5.42</v>
      </c>
      <c r="AB520" s="7">
        <v>7670360</v>
      </c>
      <c r="AC520" s="7">
        <v>5657766</v>
      </c>
      <c r="AD520" s="7">
        <v>967308</v>
      </c>
      <c r="AE520" s="7">
        <v>2050789</v>
      </c>
      <c r="AF520" s="7">
        <v>18251114</v>
      </c>
      <c r="AG520" s="7">
        <v>13622025</v>
      </c>
      <c r="AH520" s="8">
        <v>61.71</v>
      </c>
      <c r="AI520" s="8">
        <v>42.58</v>
      </c>
    </row>
    <row r="521" spans="1:35" x14ac:dyDescent="0.25">
      <c r="A521" s="6" t="str">
        <f>"641501"</f>
        <v>641501</v>
      </c>
      <c r="B521" s="6" t="s">
        <v>556</v>
      </c>
      <c r="C521" s="7">
        <v>12615501</v>
      </c>
      <c r="D521" s="7">
        <v>12854667</v>
      </c>
      <c r="E521" s="8">
        <v>1.9</v>
      </c>
      <c r="F521" s="7">
        <v>5022969</v>
      </c>
      <c r="G521" s="7">
        <v>5026001</v>
      </c>
      <c r="H521" s="7">
        <v>0</v>
      </c>
      <c r="I521" s="7">
        <v>0</v>
      </c>
      <c r="J521" s="7">
        <v>0</v>
      </c>
      <c r="K521" s="7">
        <v>0</v>
      </c>
      <c r="L521" s="7">
        <v>5333</v>
      </c>
      <c r="M521" s="7">
        <v>0</v>
      </c>
      <c r="N521" s="7">
        <v>5017636</v>
      </c>
      <c r="O521" s="7">
        <v>5026001</v>
      </c>
      <c r="P521" s="8">
        <v>0.17</v>
      </c>
      <c r="Q521" s="7">
        <v>65888</v>
      </c>
      <c r="R521" s="7">
        <v>123240</v>
      </c>
      <c r="S521" s="7">
        <v>4997804</v>
      </c>
      <c r="T521" s="7">
        <v>4968861</v>
      </c>
      <c r="U521" s="7">
        <v>4957081</v>
      </c>
      <c r="V521" s="7">
        <v>4902761</v>
      </c>
      <c r="W521" s="7">
        <v>40723</v>
      </c>
      <c r="X521" s="7">
        <v>66100</v>
      </c>
      <c r="Y521" s="7">
        <v>535</v>
      </c>
      <c r="Z521" s="7">
        <v>579</v>
      </c>
      <c r="AA521" s="8">
        <v>8.2200000000000006</v>
      </c>
      <c r="AB521" s="7">
        <v>2347950</v>
      </c>
      <c r="AC521" s="7">
        <v>2894694</v>
      </c>
      <c r="AD521" s="7">
        <v>447935</v>
      </c>
      <c r="AE521" s="7">
        <v>380000</v>
      </c>
      <c r="AF521" s="7">
        <v>504620</v>
      </c>
      <c r="AG521" s="7">
        <v>514186</v>
      </c>
      <c r="AH521" s="8">
        <v>4</v>
      </c>
      <c r="AI521" s="8">
        <v>4</v>
      </c>
    </row>
    <row r="522" spans="1:35" x14ac:dyDescent="0.25">
      <c r="A522" s="6" t="str">
        <f>"161201"</f>
        <v>161201</v>
      </c>
      <c r="B522" s="6" t="s">
        <v>557</v>
      </c>
      <c r="C522" s="7">
        <v>28948122</v>
      </c>
      <c r="D522" s="7">
        <v>30851524</v>
      </c>
      <c r="E522" s="8">
        <v>6.58</v>
      </c>
      <c r="F522" s="7">
        <v>2029697</v>
      </c>
      <c r="G522" s="7">
        <v>2070291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2029697</v>
      </c>
      <c r="O522" s="7">
        <v>2070291</v>
      </c>
      <c r="P522" s="8">
        <v>2</v>
      </c>
      <c r="Q522" s="7">
        <v>55950</v>
      </c>
      <c r="R522" s="7">
        <v>0</v>
      </c>
      <c r="S522" s="7">
        <v>2035630</v>
      </c>
      <c r="T522" s="7">
        <v>2072373</v>
      </c>
      <c r="U522" s="7">
        <v>1973747</v>
      </c>
      <c r="V522" s="7">
        <v>2070291</v>
      </c>
      <c r="W522" s="7">
        <v>61883</v>
      </c>
      <c r="X522" s="7">
        <v>2082</v>
      </c>
      <c r="Y522" s="7">
        <v>1538</v>
      </c>
      <c r="Z522" s="7">
        <v>1530</v>
      </c>
      <c r="AA522" s="8">
        <v>-0.52</v>
      </c>
      <c r="AB522" s="7">
        <v>820000</v>
      </c>
      <c r="AC522" s="7">
        <v>825000</v>
      </c>
      <c r="AD522" s="7">
        <v>637606</v>
      </c>
      <c r="AE522" s="7">
        <v>600000</v>
      </c>
      <c r="AF522" s="7">
        <v>7806254</v>
      </c>
      <c r="AG522" s="7">
        <v>8000000</v>
      </c>
      <c r="AH522" s="8">
        <v>26.97</v>
      </c>
      <c r="AI522" s="8">
        <v>25.93</v>
      </c>
    </row>
    <row r="523" spans="1:35" x14ac:dyDescent="0.25">
      <c r="A523" s="6" t="str">
        <f>"461901"</f>
        <v>461901</v>
      </c>
      <c r="B523" s="6" t="s">
        <v>558</v>
      </c>
      <c r="C523" s="7">
        <v>23302664</v>
      </c>
      <c r="D523" s="7">
        <v>23864502</v>
      </c>
      <c r="E523" s="8">
        <v>2.41</v>
      </c>
      <c r="F523" s="7">
        <v>6186612</v>
      </c>
      <c r="G523" s="7">
        <v>6310478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6186612</v>
      </c>
      <c r="O523" s="7">
        <v>6310478</v>
      </c>
      <c r="P523" s="8">
        <v>2</v>
      </c>
      <c r="Q523" s="7">
        <v>0</v>
      </c>
      <c r="R523" s="7">
        <v>0</v>
      </c>
      <c r="S523" s="7">
        <v>6268129</v>
      </c>
      <c r="T523" s="7">
        <v>6411858</v>
      </c>
      <c r="U523" s="7">
        <v>6186612</v>
      </c>
      <c r="V523" s="7">
        <v>6310478</v>
      </c>
      <c r="W523" s="7">
        <v>81517</v>
      </c>
      <c r="X523" s="7">
        <v>101380</v>
      </c>
      <c r="Y523" s="7">
        <v>820</v>
      </c>
      <c r="Z523" s="7">
        <v>820</v>
      </c>
      <c r="AA523" s="8">
        <v>0</v>
      </c>
      <c r="AB523" s="7">
        <v>7250511</v>
      </c>
      <c r="AC523" s="7">
        <v>6671000</v>
      </c>
      <c r="AD523" s="7">
        <v>373317</v>
      </c>
      <c r="AE523" s="7">
        <v>375000</v>
      </c>
      <c r="AF523" s="7">
        <v>333301</v>
      </c>
      <c r="AG523" s="7">
        <v>350000</v>
      </c>
      <c r="AH523" s="8">
        <v>1.43</v>
      </c>
      <c r="AI523" s="8">
        <v>1.47</v>
      </c>
    </row>
    <row r="524" spans="1:35" x14ac:dyDescent="0.25">
      <c r="A524" s="6" t="str">
        <f>"091402"</f>
        <v>091402</v>
      </c>
      <c r="B524" s="6" t="s">
        <v>559</v>
      </c>
      <c r="C524" s="7">
        <v>32163541</v>
      </c>
      <c r="D524" s="7">
        <v>32196039</v>
      </c>
      <c r="E524" s="8">
        <v>0.1</v>
      </c>
      <c r="F524" s="7">
        <v>12749000</v>
      </c>
      <c r="G524" s="7">
        <v>12749000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12749000</v>
      </c>
      <c r="O524" s="7">
        <v>12749000</v>
      </c>
      <c r="P524" s="8">
        <v>0</v>
      </c>
      <c r="Q524" s="7">
        <v>0</v>
      </c>
      <c r="R524" s="7">
        <v>0</v>
      </c>
      <c r="S524" s="7">
        <v>12821365</v>
      </c>
      <c r="T524" s="7">
        <v>13047842</v>
      </c>
      <c r="U524" s="7">
        <v>12749000</v>
      </c>
      <c r="V524" s="7">
        <v>12749000</v>
      </c>
      <c r="W524" s="7">
        <v>72365</v>
      </c>
      <c r="X524" s="7">
        <v>298842</v>
      </c>
      <c r="Y524" s="7">
        <v>1427</v>
      </c>
      <c r="Z524" s="7">
        <v>1427</v>
      </c>
      <c r="AA524" s="8">
        <v>0</v>
      </c>
      <c r="AB524" s="7">
        <v>1933047</v>
      </c>
      <c r="AC524" s="7">
        <v>2162640</v>
      </c>
      <c r="AD524" s="7">
        <v>1100373</v>
      </c>
      <c r="AE524" s="7">
        <v>869716</v>
      </c>
      <c r="AF524" s="7">
        <v>4525283</v>
      </c>
      <c r="AG524" s="7">
        <v>4250000</v>
      </c>
      <c r="AH524" s="8">
        <v>14.07</v>
      </c>
      <c r="AI524" s="8">
        <v>13.2</v>
      </c>
    </row>
    <row r="525" spans="1:35" x14ac:dyDescent="0.25">
      <c r="A525" s="6" t="str">
        <f>"161401"</f>
        <v>161401</v>
      </c>
      <c r="B525" s="6" t="s">
        <v>560</v>
      </c>
      <c r="C525" s="7">
        <v>29750000</v>
      </c>
      <c r="D525" s="7">
        <v>30500000</v>
      </c>
      <c r="E525" s="8">
        <v>2.52</v>
      </c>
      <c r="F525" s="7">
        <v>20268144</v>
      </c>
      <c r="G525" s="7">
        <v>20918779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20268144</v>
      </c>
      <c r="O525" s="7">
        <v>20918779</v>
      </c>
      <c r="P525" s="8">
        <v>3.21</v>
      </c>
      <c r="Q525" s="7">
        <v>435999</v>
      </c>
      <c r="R525" s="7">
        <v>774914</v>
      </c>
      <c r="S525" s="7">
        <v>19832145</v>
      </c>
      <c r="T525" s="7">
        <v>20143865</v>
      </c>
      <c r="U525" s="7">
        <v>19832145</v>
      </c>
      <c r="V525" s="7">
        <v>20143865</v>
      </c>
      <c r="W525" s="7">
        <v>0</v>
      </c>
      <c r="X525" s="7">
        <v>0</v>
      </c>
      <c r="Y525" s="7">
        <v>1188</v>
      </c>
      <c r="Z525" s="7">
        <v>1163</v>
      </c>
      <c r="AA525" s="8">
        <v>-2.1</v>
      </c>
      <c r="AB525" s="7">
        <v>238000</v>
      </c>
      <c r="AC525" s="7">
        <v>270000</v>
      </c>
      <c r="AD525" s="7">
        <v>696528</v>
      </c>
      <c r="AE525" s="7">
        <v>818036</v>
      </c>
      <c r="AF525" s="7">
        <v>4722238</v>
      </c>
      <c r="AG525" s="7">
        <v>3618690</v>
      </c>
      <c r="AH525" s="8">
        <v>15.87</v>
      </c>
      <c r="AI525" s="8">
        <v>11.86</v>
      </c>
    </row>
    <row r="526" spans="1:35" x14ac:dyDescent="0.25">
      <c r="A526" s="6" t="str">
        <f>"521800"</f>
        <v>521800</v>
      </c>
      <c r="B526" s="6" t="s">
        <v>561</v>
      </c>
      <c r="C526" s="7">
        <v>118398718</v>
      </c>
      <c r="D526" s="7">
        <v>122712342</v>
      </c>
      <c r="E526" s="8">
        <v>3.64</v>
      </c>
      <c r="F526" s="7">
        <v>78497772</v>
      </c>
      <c r="G526" s="7">
        <v>80656461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78497772</v>
      </c>
      <c r="O526" s="7">
        <v>80656461</v>
      </c>
      <c r="P526" s="8">
        <v>2.75</v>
      </c>
      <c r="Q526" s="7">
        <v>1231632</v>
      </c>
      <c r="R526" s="7">
        <v>1627946</v>
      </c>
      <c r="S526" s="7">
        <v>77366140</v>
      </c>
      <c r="T526" s="7">
        <v>79109336</v>
      </c>
      <c r="U526" s="7">
        <v>77266140</v>
      </c>
      <c r="V526" s="7">
        <v>79028515</v>
      </c>
      <c r="W526" s="7">
        <v>100000</v>
      </c>
      <c r="X526" s="7">
        <v>80821</v>
      </c>
      <c r="Y526" s="7">
        <v>6435</v>
      </c>
      <c r="Z526" s="7">
        <v>6359</v>
      </c>
      <c r="AA526" s="8">
        <v>-1.18</v>
      </c>
      <c r="AB526" s="7">
        <v>33098136</v>
      </c>
      <c r="AC526" s="7">
        <v>34903152</v>
      </c>
      <c r="AD526" s="7">
        <v>7029579</v>
      </c>
      <c r="AE526" s="7">
        <v>7052113</v>
      </c>
      <c r="AF526" s="7">
        <v>8954457</v>
      </c>
      <c r="AG526" s="7">
        <v>7759922</v>
      </c>
      <c r="AH526" s="8">
        <v>7.56</v>
      </c>
      <c r="AI526" s="8">
        <v>6.32</v>
      </c>
    </row>
    <row r="527" spans="1:35" x14ac:dyDescent="0.25">
      <c r="A527" s="6" t="str">
        <f>"621601"</f>
        <v>621601</v>
      </c>
      <c r="B527" s="6" t="s">
        <v>562</v>
      </c>
      <c r="C527" s="7">
        <v>61046873</v>
      </c>
      <c r="D527" s="7">
        <v>62384032</v>
      </c>
      <c r="E527" s="8">
        <v>2.19</v>
      </c>
      <c r="F527" s="7">
        <v>37191264</v>
      </c>
      <c r="G527" s="7">
        <v>37771856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37191264</v>
      </c>
      <c r="O527" s="7">
        <v>37771856</v>
      </c>
      <c r="P527" s="8">
        <v>1.56</v>
      </c>
      <c r="Q527" s="7">
        <v>650716</v>
      </c>
      <c r="R527" s="7">
        <v>571668</v>
      </c>
      <c r="S527" s="7">
        <v>36574866</v>
      </c>
      <c r="T527" s="7">
        <v>37200188</v>
      </c>
      <c r="U527" s="7">
        <v>36540548</v>
      </c>
      <c r="V527" s="7">
        <v>37200188</v>
      </c>
      <c r="W527" s="7">
        <v>34318</v>
      </c>
      <c r="X527" s="7">
        <v>0</v>
      </c>
      <c r="Y527" s="7">
        <v>2621</v>
      </c>
      <c r="Z527" s="7">
        <v>2535</v>
      </c>
      <c r="AA527" s="8">
        <v>-3.28</v>
      </c>
      <c r="AB527" s="7">
        <v>3255339</v>
      </c>
      <c r="AC527" s="7">
        <v>2054341</v>
      </c>
      <c r="AD527" s="7">
        <v>450000</v>
      </c>
      <c r="AE527" s="7">
        <v>785222</v>
      </c>
      <c r="AF527" s="7">
        <v>2441875</v>
      </c>
      <c r="AG527" s="7">
        <v>2495361</v>
      </c>
      <c r="AH527" s="8">
        <v>4</v>
      </c>
      <c r="AI527" s="8">
        <v>4</v>
      </c>
    </row>
    <row r="528" spans="1:35" x14ac:dyDescent="0.25">
      <c r="A528" s="6" t="str">
        <f>"411603"</f>
        <v>411603</v>
      </c>
      <c r="B528" s="6" t="s">
        <v>563</v>
      </c>
      <c r="C528" s="7">
        <v>20711400</v>
      </c>
      <c r="D528" s="7">
        <v>21391812</v>
      </c>
      <c r="E528" s="8">
        <v>3.29</v>
      </c>
      <c r="F528" s="7">
        <v>7366320</v>
      </c>
      <c r="G528" s="7">
        <v>7510490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7366320</v>
      </c>
      <c r="O528" s="7">
        <v>7510490</v>
      </c>
      <c r="P528" s="8">
        <v>1.96</v>
      </c>
      <c r="Q528" s="7">
        <v>242664</v>
      </c>
      <c r="R528" s="7">
        <v>280674</v>
      </c>
      <c r="S528" s="7">
        <v>7123663</v>
      </c>
      <c r="T528" s="7">
        <v>7229824</v>
      </c>
      <c r="U528" s="7">
        <v>7123656</v>
      </c>
      <c r="V528" s="7">
        <v>7229816</v>
      </c>
      <c r="W528" s="7">
        <v>7</v>
      </c>
      <c r="X528" s="7">
        <v>8</v>
      </c>
      <c r="Y528" s="7">
        <v>1042</v>
      </c>
      <c r="Z528" s="7">
        <v>1045</v>
      </c>
      <c r="AA528" s="8">
        <v>0.28999999999999998</v>
      </c>
      <c r="AB528" s="7">
        <v>8185</v>
      </c>
      <c r="AC528" s="7">
        <v>10000</v>
      </c>
      <c r="AD528" s="7">
        <v>727080</v>
      </c>
      <c r="AE528" s="7">
        <v>727080</v>
      </c>
      <c r="AF528" s="7">
        <v>419700</v>
      </c>
      <c r="AG528" s="7">
        <v>500000</v>
      </c>
      <c r="AH528" s="8">
        <v>2.0299999999999998</v>
      </c>
      <c r="AI528" s="8">
        <v>2.34</v>
      </c>
    </row>
    <row r="529" spans="1:35" x14ac:dyDescent="0.25">
      <c r="A529" s="6" t="str">
        <f>"580504"</f>
        <v>580504</v>
      </c>
      <c r="B529" s="6" t="s">
        <v>564</v>
      </c>
      <c r="C529" s="7">
        <v>90119477</v>
      </c>
      <c r="D529" s="7">
        <v>90594753</v>
      </c>
      <c r="E529" s="8">
        <v>0.53</v>
      </c>
      <c r="F529" s="7">
        <v>57741199</v>
      </c>
      <c r="G529" s="7">
        <v>57884439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57741199</v>
      </c>
      <c r="O529" s="7">
        <v>57884439</v>
      </c>
      <c r="P529" s="8">
        <v>0.25</v>
      </c>
      <c r="Q529" s="7">
        <v>1938487</v>
      </c>
      <c r="R529" s="7">
        <v>1381688</v>
      </c>
      <c r="S529" s="7">
        <v>56594263</v>
      </c>
      <c r="T529" s="7">
        <v>56507214</v>
      </c>
      <c r="U529" s="7">
        <v>55802712</v>
      </c>
      <c r="V529" s="7">
        <v>56502751</v>
      </c>
      <c r="W529" s="7">
        <v>791551</v>
      </c>
      <c r="X529" s="7">
        <v>4463</v>
      </c>
      <c r="Y529" s="7">
        <v>2919</v>
      </c>
      <c r="Z529" s="7">
        <v>2851</v>
      </c>
      <c r="AA529" s="8">
        <v>-2.33</v>
      </c>
      <c r="AB529" s="7">
        <v>18863823</v>
      </c>
      <c r="AC529" s="7">
        <v>17889216</v>
      </c>
      <c r="AD529" s="7">
        <v>4266497</v>
      </c>
      <c r="AE529" s="7">
        <v>4125000</v>
      </c>
      <c r="AF529" s="7">
        <v>3604778</v>
      </c>
      <c r="AG529" s="7">
        <v>3625000</v>
      </c>
      <c r="AH529" s="8">
        <v>4</v>
      </c>
      <c r="AI529" s="8">
        <v>4</v>
      </c>
    </row>
    <row r="530" spans="1:35" x14ac:dyDescent="0.25">
      <c r="A530" s="6" t="str">
        <f>"662001"</f>
        <v>662001</v>
      </c>
      <c r="B530" s="6" t="s">
        <v>565</v>
      </c>
      <c r="C530" s="7">
        <v>150454297</v>
      </c>
      <c r="D530" s="7">
        <v>153690765</v>
      </c>
      <c r="E530" s="8">
        <v>2.15</v>
      </c>
      <c r="F530" s="7">
        <v>140142277</v>
      </c>
      <c r="G530" s="7">
        <v>141490126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140142277</v>
      </c>
      <c r="O530" s="7">
        <v>141490126</v>
      </c>
      <c r="P530" s="8">
        <v>0.96</v>
      </c>
      <c r="Q530" s="7">
        <v>9590075</v>
      </c>
      <c r="R530" s="7">
        <v>9861808</v>
      </c>
      <c r="S530" s="7">
        <v>130802134</v>
      </c>
      <c r="T530" s="7">
        <v>132454007</v>
      </c>
      <c r="U530" s="7">
        <v>130552202</v>
      </c>
      <c r="V530" s="7">
        <v>131628318</v>
      </c>
      <c r="W530" s="7">
        <v>249932</v>
      </c>
      <c r="X530" s="7">
        <v>825689</v>
      </c>
      <c r="Y530" s="7">
        <v>4778</v>
      </c>
      <c r="Z530" s="7">
        <v>4777</v>
      </c>
      <c r="AA530" s="8">
        <v>-0.02</v>
      </c>
      <c r="AB530" s="7">
        <v>13702520</v>
      </c>
      <c r="AC530" s="7">
        <v>14871090</v>
      </c>
      <c r="AD530" s="7">
        <v>1100000</v>
      </c>
      <c r="AE530" s="7">
        <v>2799432</v>
      </c>
      <c r="AF530" s="7">
        <v>5936832</v>
      </c>
      <c r="AG530" s="7">
        <v>5756707</v>
      </c>
      <c r="AH530" s="8">
        <v>3.95</v>
      </c>
      <c r="AI530" s="8">
        <v>3.75</v>
      </c>
    </row>
    <row r="531" spans="1:35" x14ac:dyDescent="0.25">
      <c r="A531" s="6" t="str">
        <f>"530501"</f>
        <v>530501</v>
      </c>
      <c r="B531" s="6" t="s">
        <v>566</v>
      </c>
      <c r="C531" s="7">
        <v>46570427</v>
      </c>
      <c r="D531" s="7">
        <v>47246386</v>
      </c>
      <c r="E531" s="8">
        <v>1.45</v>
      </c>
      <c r="F531" s="7">
        <v>27883692</v>
      </c>
      <c r="G531" s="7">
        <v>28289818</v>
      </c>
      <c r="H531" s="7">
        <v>0</v>
      </c>
      <c r="I531" s="7">
        <v>0</v>
      </c>
      <c r="J531" s="7">
        <v>0</v>
      </c>
      <c r="K531" s="7">
        <v>0</v>
      </c>
      <c r="L531" s="7">
        <v>89913</v>
      </c>
      <c r="M531" s="7">
        <v>0</v>
      </c>
      <c r="N531" s="7">
        <v>27793779</v>
      </c>
      <c r="O531" s="7">
        <v>28289818</v>
      </c>
      <c r="P531" s="8">
        <v>1.78</v>
      </c>
      <c r="Q531" s="7">
        <v>538482</v>
      </c>
      <c r="R531" s="7">
        <v>583907</v>
      </c>
      <c r="S531" s="7">
        <v>27345210</v>
      </c>
      <c r="T531" s="7">
        <v>27705911</v>
      </c>
      <c r="U531" s="7">
        <v>27345210</v>
      </c>
      <c r="V531" s="7">
        <v>27705911</v>
      </c>
      <c r="W531" s="7">
        <v>0</v>
      </c>
      <c r="X531" s="7">
        <v>0</v>
      </c>
      <c r="Y531" s="7">
        <v>1807</v>
      </c>
      <c r="Z531" s="7">
        <v>1823</v>
      </c>
      <c r="AA531" s="8">
        <v>0.89</v>
      </c>
      <c r="AB531" s="7">
        <v>4958772</v>
      </c>
      <c r="AC531" s="7">
        <v>4562679</v>
      </c>
      <c r="AD531" s="7">
        <v>1273552</v>
      </c>
      <c r="AE531" s="7">
        <v>956236</v>
      </c>
      <c r="AF531" s="7">
        <v>2039472</v>
      </c>
      <c r="AG531" s="7">
        <v>1842600</v>
      </c>
      <c r="AH531" s="8">
        <v>4.38</v>
      </c>
      <c r="AI531" s="8">
        <v>3.9</v>
      </c>
    </row>
    <row r="532" spans="1:35" x14ac:dyDescent="0.25">
      <c r="A532" s="6" t="str">
        <f>"530600"</f>
        <v>530600</v>
      </c>
      <c r="B532" s="6" t="s">
        <v>567</v>
      </c>
      <c r="C532" s="7">
        <v>177180990</v>
      </c>
      <c r="D532" s="7">
        <v>186289260</v>
      </c>
      <c r="E532" s="8">
        <v>5.14</v>
      </c>
      <c r="F532" s="7">
        <v>54020124</v>
      </c>
      <c r="G532" s="7">
        <v>52720124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54020124</v>
      </c>
      <c r="O532" s="7">
        <v>52720124</v>
      </c>
      <c r="P532" s="8">
        <v>-2.41</v>
      </c>
      <c r="Q532" s="7">
        <v>2117078</v>
      </c>
      <c r="R532" s="7">
        <v>1315370</v>
      </c>
      <c r="S532" s="7">
        <v>52415824</v>
      </c>
      <c r="T532" s="7">
        <v>53250331</v>
      </c>
      <c r="U532" s="7">
        <v>51903046</v>
      </c>
      <c r="V532" s="7">
        <v>51404754</v>
      </c>
      <c r="W532" s="7">
        <v>512778</v>
      </c>
      <c r="X532" s="7">
        <v>1845577</v>
      </c>
      <c r="Y532" s="7">
        <v>10063</v>
      </c>
      <c r="Z532" s="7">
        <v>10600</v>
      </c>
      <c r="AA532" s="8">
        <v>5.34</v>
      </c>
      <c r="AB532" s="7">
        <v>12020722</v>
      </c>
      <c r="AC532" s="7">
        <v>13420722</v>
      </c>
      <c r="AD532" s="7">
        <v>87271</v>
      </c>
      <c r="AE532" s="7">
        <v>0</v>
      </c>
      <c r="AF532" s="7">
        <v>6786143</v>
      </c>
      <c r="AG532" s="7">
        <v>7400000</v>
      </c>
      <c r="AH532" s="8">
        <v>3.83</v>
      </c>
      <c r="AI532" s="8">
        <v>3.97</v>
      </c>
    </row>
    <row r="533" spans="1:35" x14ac:dyDescent="0.25">
      <c r="A533" s="6" t="str">
        <f>"470901"</f>
        <v>470901</v>
      </c>
      <c r="B533" s="6" t="s">
        <v>568</v>
      </c>
      <c r="C533" s="7">
        <v>8565811</v>
      </c>
      <c r="D533" s="7">
        <v>9050553</v>
      </c>
      <c r="E533" s="8">
        <v>5.66</v>
      </c>
      <c r="F533" s="7">
        <v>3033021</v>
      </c>
      <c r="G533" s="7">
        <v>3145040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3033021</v>
      </c>
      <c r="O533" s="7">
        <v>3145040</v>
      </c>
      <c r="P533" s="8">
        <v>3.69</v>
      </c>
      <c r="Q533" s="7">
        <v>9237</v>
      </c>
      <c r="R533" s="7">
        <v>59508</v>
      </c>
      <c r="S533" s="7">
        <v>3023784</v>
      </c>
      <c r="T533" s="7">
        <v>3085532</v>
      </c>
      <c r="U533" s="7">
        <v>3023784</v>
      </c>
      <c r="V533" s="7">
        <v>3085532</v>
      </c>
      <c r="W533" s="7">
        <v>0</v>
      </c>
      <c r="X533" s="7">
        <v>0</v>
      </c>
      <c r="Y533" s="7">
        <v>366</v>
      </c>
      <c r="Z533" s="7">
        <v>375</v>
      </c>
      <c r="AA533" s="8">
        <v>2.46</v>
      </c>
      <c r="AB533" s="7">
        <v>716790</v>
      </c>
      <c r="AC533" s="7">
        <v>427471</v>
      </c>
      <c r="AD533" s="7">
        <v>300000</v>
      </c>
      <c r="AE533" s="7">
        <v>300000</v>
      </c>
      <c r="AF533" s="7">
        <v>384731</v>
      </c>
      <c r="AG533" s="7">
        <v>362022</v>
      </c>
      <c r="AH533" s="8">
        <v>4.49</v>
      </c>
      <c r="AI533" s="8">
        <v>4</v>
      </c>
    </row>
    <row r="534" spans="1:35" x14ac:dyDescent="0.25">
      <c r="A534" s="6" t="str">
        <f>"491501"</f>
        <v>491501</v>
      </c>
      <c r="B534" s="6" t="s">
        <v>569</v>
      </c>
      <c r="C534" s="7">
        <v>22075681</v>
      </c>
      <c r="D534" s="7">
        <v>23049965</v>
      </c>
      <c r="E534" s="8">
        <v>4.41</v>
      </c>
      <c r="F534" s="7">
        <v>12747084</v>
      </c>
      <c r="G534" s="7">
        <v>13121918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12747084</v>
      </c>
      <c r="O534" s="7">
        <v>13121918</v>
      </c>
      <c r="P534" s="8">
        <v>2.94</v>
      </c>
      <c r="Q534" s="7">
        <v>422840</v>
      </c>
      <c r="R534" s="7">
        <v>523473</v>
      </c>
      <c r="S534" s="7">
        <v>12324244</v>
      </c>
      <c r="T534" s="7">
        <v>12614446</v>
      </c>
      <c r="U534" s="7">
        <v>12324244</v>
      </c>
      <c r="V534" s="7">
        <v>12598445</v>
      </c>
      <c r="W534" s="7">
        <v>0</v>
      </c>
      <c r="X534" s="7">
        <v>16001</v>
      </c>
      <c r="Y534" s="7">
        <v>911</v>
      </c>
      <c r="Z534" s="7">
        <v>890</v>
      </c>
      <c r="AA534" s="8">
        <v>-2.31</v>
      </c>
      <c r="AB534" s="7">
        <v>3390971</v>
      </c>
      <c r="AC534" s="7">
        <v>3370248</v>
      </c>
      <c r="AD534" s="7">
        <v>1000000</v>
      </c>
      <c r="AE534" s="7">
        <v>750000</v>
      </c>
      <c r="AF534" s="7">
        <v>883027</v>
      </c>
      <c r="AG534" s="7">
        <v>921998</v>
      </c>
      <c r="AH534" s="8">
        <v>4</v>
      </c>
      <c r="AI534" s="8">
        <v>4</v>
      </c>
    </row>
    <row r="535" spans="1:35" x14ac:dyDescent="0.25">
      <c r="A535" s="6" t="str">
        <f>"541201"</f>
        <v>541201</v>
      </c>
      <c r="B535" s="6" t="s">
        <v>570</v>
      </c>
      <c r="C535" s="7">
        <v>22887057</v>
      </c>
      <c r="D535" s="7">
        <v>23415819</v>
      </c>
      <c r="E535" s="8">
        <v>2.31</v>
      </c>
      <c r="F535" s="7">
        <v>8352708</v>
      </c>
      <c r="G535" s="7">
        <v>8337204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8352708</v>
      </c>
      <c r="O535" s="7">
        <v>8337204</v>
      </c>
      <c r="P535" s="8">
        <v>-0.19</v>
      </c>
      <c r="Q535" s="7">
        <v>330941</v>
      </c>
      <c r="R535" s="7">
        <v>344482</v>
      </c>
      <c r="S535" s="7">
        <v>8021767</v>
      </c>
      <c r="T535" s="7">
        <v>7992722</v>
      </c>
      <c r="U535" s="7">
        <v>8021767</v>
      </c>
      <c r="V535" s="7">
        <v>7992722</v>
      </c>
      <c r="W535" s="7">
        <v>0</v>
      </c>
      <c r="X535" s="7">
        <v>0</v>
      </c>
      <c r="Y535" s="7">
        <v>865</v>
      </c>
      <c r="Z535" s="7">
        <v>865</v>
      </c>
      <c r="AA535" s="8">
        <v>0</v>
      </c>
      <c r="AB535" s="7">
        <v>3778170</v>
      </c>
      <c r="AC535" s="7">
        <v>1870000</v>
      </c>
      <c r="AD535" s="7">
        <v>1824108</v>
      </c>
      <c r="AE535" s="7">
        <v>1825000</v>
      </c>
      <c r="AF535" s="7">
        <v>1499046</v>
      </c>
      <c r="AG535" s="7">
        <v>936631</v>
      </c>
      <c r="AH535" s="8">
        <v>6.55</v>
      </c>
      <c r="AI535" s="8">
        <v>4</v>
      </c>
    </row>
    <row r="536" spans="1:35" x14ac:dyDescent="0.25">
      <c r="A536" s="6" t="str">
        <f>"151401"</f>
        <v>151401</v>
      </c>
      <c r="B536" s="6" t="s">
        <v>571</v>
      </c>
      <c r="C536" s="7">
        <v>7873597</v>
      </c>
      <c r="D536" s="7">
        <v>7792747</v>
      </c>
      <c r="E536" s="8">
        <v>-1.03</v>
      </c>
      <c r="F536" s="7">
        <v>6343680</v>
      </c>
      <c r="G536" s="7">
        <v>6396165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6343680</v>
      </c>
      <c r="O536" s="7">
        <v>6396165</v>
      </c>
      <c r="P536" s="8">
        <v>0.83</v>
      </c>
      <c r="Q536" s="7">
        <v>978986</v>
      </c>
      <c r="R536" s="7">
        <v>930752</v>
      </c>
      <c r="S536" s="7">
        <v>5364694</v>
      </c>
      <c r="T536" s="7">
        <v>5465413</v>
      </c>
      <c r="U536" s="7">
        <v>5364694</v>
      </c>
      <c r="V536" s="7">
        <v>5465413</v>
      </c>
      <c r="W536" s="7">
        <v>0</v>
      </c>
      <c r="X536" s="7">
        <v>0</v>
      </c>
      <c r="Y536" s="7">
        <v>226</v>
      </c>
      <c r="Z536" s="7">
        <v>226</v>
      </c>
      <c r="AA536" s="8">
        <v>0</v>
      </c>
      <c r="AB536" s="7">
        <v>1682269</v>
      </c>
      <c r="AC536" s="7">
        <v>1631380</v>
      </c>
      <c r="AD536" s="7">
        <v>404785</v>
      </c>
      <c r="AE536" s="7">
        <v>278949</v>
      </c>
      <c r="AF536" s="7">
        <v>1780230</v>
      </c>
      <c r="AG536" s="7">
        <v>901281</v>
      </c>
      <c r="AH536" s="8">
        <v>22.61</v>
      </c>
      <c r="AI536" s="8">
        <v>11.57</v>
      </c>
    </row>
    <row r="537" spans="1:35" x14ac:dyDescent="0.25">
      <c r="A537" s="6" t="str">
        <f>"521701"</f>
        <v>521701</v>
      </c>
      <c r="B537" s="6" t="s">
        <v>572</v>
      </c>
      <c r="C537" s="7">
        <v>34131860</v>
      </c>
      <c r="D537" s="7">
        <v>34849537</v>
      </c>
      <c r="E537" s="8">
        <v>2.1</v>
      </c>
      <c r="F537" s="7">
        <v>16971587</v>
      </c>
      <c r="G537" s="7">
        <v>16971587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16971587</v>
      </c>
      <c r="O537" s="7">
        <v>16971587</v>
      </c>
      <c r="P537" s="8">
        <v>0</v>
      </c>
      <c r="Q537" s="7">
        <v>404243</v>
      </c>
      <c r="R537" s="7">
        <v>584709</v>
      </c>
      <c r="S537" s="7">
        <v>16587224</v>
      </c>
      <c r="T537" s="7">
        <v>16549805</v>
      </c>
      <c r="U537" s="7">
        <v>16567344</v>
      </c>
      <c r="V537" s="7">
        <v>16386878</v>
      </c>
      <c r="W537" s="7">
        <v>19880</v>
      </c>
      <c r="X537" s="7">
        <v>162927</v>
      </c>
      <c r="Y537" s="7">
        <v>1687</v>
      </c>
      <c r="Z537" s="7">
        <v>1611</v>
      </c>
      <c r="AA537" s="8">
        <v>-4.51</v>
      </c>
      <c r="AB537" s="7">
        <v>4740865</v>
      </c>
      <c r="AC537" s="7">
        <v>4505865</v>
      </c>
      <c r="AD537" s="7">
        <v>1230490</v>
      </c>
      <c r="AE537" s="7">
        <v>1497300</v>
      </c>
      <c r="AF537" s="7">
        <v>2415802</v>
      </c>
      <c r="AG537" s="7">
        <v>2180802</v>
      </c>
      <c r="AH537" s="8">
        <v>7.08</v>
      </c>
      <c r="AI537" s="8">
        <v>6.26</v>
      </c>
    </row>
    <row r="538" spans="1:35" x14ac:dyDescent="0.25">
      <c r="A538" s="6" t="str">
        <f>"022401"</f>
        <v>022401</v>
      </c>
      <c r="B538" s="6" t="s">
        <v>573</v>
      </c>
      <c r="C538" s="7">
        <v>10256159</v>
      </c>
      <c r="D538" s="7">
        <v>10409730</v>
      </c>
      <c r="E538" s="8">
        <v>1.5</v>
      </c>
      <c r="F538" s="7">
        <v>2018029</v>
      </c>
      <c r="G538" s="7">
        <v>2057381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2018029</v>
      </c>
      <c r="O538" s="7">
        <v>2057381</v>
      </c>
      <c r="P538" s="8">
        <v>1.95</v>
      </c>
      <c r="Q538" s="7">
        <v>24358</v>
      </c>
      <c r="R538" s="7">
        <v>52196</v>
      </c>
      <c r="S538" s="7">
        <v>1994176</v>
      </c>
      <c r="T538" s="7">
        <v>2020017</v>
      </c>
      <c r="U538" s="7">
        <v>1993671</v>
      </c>
      <c r="V538" s="7">
        <v>2005185</v>
      </c>
      <c r="W538" s="7">
        <v>505</v>
      </c>
      <c r="X538" s="7">
        <v>14832</v>
      </c>
      <c r="Y538" s="7">
        <v>331</v>
      </c>
      <c r="Z538" s="7">
        <v>336</v>
      </c>
      <c r="AA538" s="8">
        <v>1.51</v>
      </c>
      <c r="AB538" s="7">
        <v>687293</v>
      </c>
      <c r="AC538" s="7">
        <v>615270</v>
      </c>
      <c r="AD538" s="7">
        <v>421216</v>
      </c>
      <c r="AE538" s="7">
        <v>416658</v>
      </c>
      <c r="AF538" s="7">
        <v>158821</v>
      </c>
      <c r="AG538" s="7">
        <v>140917</v>
      </c>
      <c r="AH538" s="8">
        <v>1.55</v>
      </c>
      <c r="AI538" s="8">
        <v>1.35</v>
      </c>
    </row>
    <row r="539" spans="1:35" x14ac:dyDescent="0.25">
      <c r="A539" s="6" t="str">
        <f>"530202"</f>
        <v>530202</v>
      </c>
      <c r="B539" s="6" t="s">
        <v>574</v>
      </c>
      <c r="C539" s="7">
        <v>52048547</v>
      </c>
      <c r="D539" s="7">
        <v>53406966</v>
      </c>
      <c r="E539" s="8">
        <v>2.61</v>
      </c>
      <c r="F539" s="7">
        <v>27502352</v>
      </c>
      <c r="G539" s="7">
        <v>28494964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27502352</v>
      </c>
      <c r="O539" s="7">
        <v>28494964</v>
      </c>
      <c r="P539" s="8">
        <v>3.61</v>
      </c>
      <c r="Q539" s="7">
        <v>425534</v>
      </c>
      <c r="R539" s="7">
        <v>826556</v>
      </c>
      <c r="S539" s="7">
        <v>27474272</v>
      </c>
      <c r="T539" s="7">
        <v>27682498</v>
      </c>
      <c r="U539" s="7">
        <v>27076818</v>
      </c>
      <c r="V539" s="7">
        <v>27668408</v>
      </c>
      <c r="W539" s="7">
        <v>397454</v>
      </c>
      <c r="X539" s="7">
        <v>14090</v>
      </c>
      <c r="Y539" s="7">
        <v>2650</v>
      </c>
      <c r="Z539" s="7">
        <v>2600</v>
      </c>
      <c r="AA539" s="8">
        <v>-1.89</v>
      </c>
      <c r="AB539" s="7">
        <v>2391000</v>
      </c>
      <c r="AC539" s="7">
        <v>2391000</v>
      </c>
      <c r="AD539" s="7">
        <v>3535000</v>
      </c>
      <c r="AE539" s="7">
        <v>3435000</v>
      </c>
      <c r="AF539" s="7">
        <v>1422000</v>
      </c>
      <c r="AG539" s="7">
        <v>1422000</v>
      </c>
      <c r="AH539" s="8">
        <v>2.73</v>
      </c>
      <c r="AI539" s="8">
        <v>2.66</v>
      </c>
    </row>
    <row r="540" spans="1:35" x14ac:dyDescent="0.25">
      <c r="A540" s="6" t="str">
        <f>"280206"</f>
        <v>280206</v>
      </c>
      <c r="B540" s="6" t="s">
        <v>575</v>
      </c>
      <c r="C540" s="7">
        <v>65310448</v>
      </c>
      <c r="D540" s="7">
        <v>66540814</v>
      </c>
      <c r="E540" s="8">
        <v>1.88</v>
      </c>
      <c r="F540" s="7">
        <v>49256116</v>
      </c>
      <c r="G540" s="7">
        <v>50104002</v>
      </c>
      <c r="H540" s="7">
        <v>0</v>
      </c>
      <c r="I540" s="7">
        <v>0</v>
      </c>
      <c r="J540" s="7">
        <v>0</v>
      </c>
      <c r="K540" s="7">
        <v>148556</v>
      </c>
      <c r="L540" s="7">
        <v>0</v>
      </c>
      <c r="M540" s="7">
        <v>0</v>
      </c>
      <c r="N540" s="7">
        <v>49256116</v>
      </c>
      <c r="O540" s="7">
        <v>50252558</v>
      </c>
      <c r="P540" s="8">
        <v>2.02</v>
      </c>
      <c r="Q540" s="7">
        <v>1066821</v>
      </c>
      <c r="R540" s="7">
        <v>1110663</v>
      </c>
      <c r="S540" s="7">
        <v>48189295</v>
      </c>
      <c r="T540" s="7">
        <v>49141895</v>
      </c>
      <c r="U540" s="7">
        <v>48189295</v>
      </c>
      <c r="V540" s="7">
        <v>49141895</v>
      </c>
      <c r="W540" s="7">
        <v>0</v>
      </c>
      <c r="X540" s="7">
        <v>0</v>
      </c>
      <c r="Y540" s="7">
        <v>2236</v>
      </c>
      <c r="Z540" s="7">
        <v>2262</v>
      </c>
      <c r="AA540" s="8">
        <v>1.1599999999999999</v>
      </c>
      <c r="AB540" s="7">
        <v>9158135</v>
      </c>
      <c r="AC540" s="7">
        <v>9758135</v>
      </c>
      <c r="AD540" s="7">
        <v>732737</v>
      </c>
      <c r="AE540" s="7">
        <v>1300000</v>
      </c>
      <c r="AF540" s="7">
        <v>2612418</v>
      </c>
      <c r="AG540" s="7">
        <v>2661633</v>
      </c>
      <c r="AH540" s="8">
        <v>4</v>
      </c>
      <c r="AI540" s="8">
        <v>4</v>
      </c>
    </row>
    <row r="541" spans="1:35" x14ac:dyDescent="0.25">
      <c r="A541" s="6" t="str">
        <f>"560701"</f>
        <v>560701</v>
      </c>
      <c r="B541" s="6" t="s">
        <v>576</v>
      </c>
      <c r="C541" s="7">
        <v>28201887</v>
      </c>
      <c r="D541" s="7">
        <v>28828997</v>
      </c>
      <c r="E541" s="8">
        <v>2.2200000000000002</v>
      </c>
      <c r="F541" s="7">
        <v>12543536</v>
      </c>
      <c r="G541" s="7">
        <v>12712810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12543536</v>
      </c>
      <c r="O541" s="7">
        <v>12712810</v>
      </c>
      <c r="P541" s="8">
        <v>1.35</v>
      </c>
      <c r="Q541" s="7">
        <v>0</v>
      </c>
      <c r="R541" s="7">
        <v>0</v>
      </c>
      <c r="S541" s="7">
        <v>12206248</v>
      </c>
      <c r="T541" s="7">
        <v>12721089</v>
      </c>
      <c r="U541" s="7">
        <v>12543536</v>
      </c>
      <c r="V541" s="7">
        <v>12712810</v>
      </c>
      <c r="W541" s="7">
        <v>-337288</v>
      </c>
      <c r="X541" s="7">
        <v>8279</v>
      </c>
      <c r="Y541" s="7">
        <v>1261</v>
      </c>
      <c r="Z541" s="7">
        <v>1269</v>
      </c>
      <c r="AA541" s="8">
        <v>0.63</v>
      </c>
      <c r="AB541" s="7">
        <v>4781840</v>
      </c>
      <c r="AC541" s="7">
        <v>4111654</v>
      </c>
      <c r="AD541" s="7">
        <v>200000</v>
      </c>
      <c r="AE541" s="7">
        <v>440000</v>
      </c>
      <c r="AF541" s="7">
        <v>1128075</v>
      </c>
      <c r="AG541" s="7">
        <v>1153160</v>
      </c>
      <c r="AH541" s="8">
        <v>4</v>
      </c>
      <c r="AI541" s="8">
        <v>4</v>
      </c>
    </row>
    <row r="542" spans="1:35" x14ac:dyDescent="0.25">
      <c r="A542" s="6" t="str">
        <f>"280252"</f>
        <v>280252</v>
      </c>
      <c r="B542" s="6" t="s">
        <v>577</v>
      </c>
      <c r="C542" s="7">
        <v>184143004</v>
      </c>
      <c r="D542" s="7">
        <v>193070535</v>
      </c>
      <c r="E542" s="8">
        <v>4.8499999999999996</v>
      </c>
      <c r="F542" s="7">
        <v>136213244</v>
      </c>
      <c r="G542" s="7">
        <v>142757183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136213244</v>
      </c>
      <c r="O542" s="7">
        <v>142757183</v>
      </c>
      <c r="P542" s="8">
        <v>4.8</v>
      </c>
      <c r="Q542" s="7">
        <v>32994</v>
      </c>
      <c r="R542" s="7">
        <v>4741258</v>
      </c>
      <c r="S542" s="7">
        <v>136180250</v>
      </c>
      <c r="T542" s="7">
        <v>138015925</v>
      </c>
      <c r="U542" s="7">
        <v>136180250</v>
      </c>
      <c r="V542" s="7">
        <v>138015925</v>
      </c>
      <c r="W542" s="7">
        <v>0</v>
      </c>
      <c r="X542" s="7">
        <v>0</v>
      </c>
      <c r="Y542" s="7">
        <v>8283</v>
      </c>
      <c r="Z542" s="7">
        <v>8217</v>
      </c>
      <c r="AA542" s="8">
        <v>-0.8</v>
      </c>
      <c r="AB542" s="7">
        <v>17138700</v>
      </c>
      <c r="AC542" s="7">
        <v>18500000</v>
      </c>
      <c r="AD542" s="7">
        <v>5500000</v>
      </c>
      <c r="AE542" s="7">
        <v>5500000</v>
      </c>
      <c r="AF542" s="7">
        <v>7253517</v>
      </c>
      <c r="AG542" s="7">
        <v>7600000</v>
      </c>
      <c r="AH542" s="8">
        <v>3.94</v>
      </c>
      <c r="AI542" s="8">
        <v>3.94</v>
      </c>
    </row>
    <row r="543" spans="1:35" x14ac:dyDescent="0.25">
      <c r="A543" s="6" t="str">
        <f>"541401"</f>
        <v>541401</v>
      </c>
      <c r="B543" s="6" t="s">
        <v>578</v>
      </c>
      <c r="C543" s="7">
        <v>9166585</v>
      </c>
      <c r="D543" s="7">
        <v>9306453</v>
      </c>
      <c r="E543" s="8">
        <v>1.53</v>
      </c>
      <c r="F543" s="7">
        <v>2322634</v>
      </c>
      <c r="G543" s="7">
        <v>2323263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2322634</v>
      </c>
      <c r="O543" s="7">
        <v>2323263</v>
      </c>
      <c r="P543" s="8">
        <v>0.03</v>
      </c>
      <c r="Q543" s="7">
        <v>55677</v>
      </c>
      <c r="R543" s="7">
        <v>63264</v>
      </c>
      <c r="S543" s="7">
        <v>2322634</v>
      </c>
      <c r="T543" s="7">
        <v>2323623</v>
      </c>
      <c r="U543" s="7">
        <v>2266957</v>
      </c>
      <c r="V543" s="7">
        <v>2259999</v>
      </c>
      <c r="W543" s="7">
        <v>55677</v>
      </c>
      <c r="X543" s="7">
        <v>63624</v>
      </c>
      <c r="Y543" s="7">
        <v>291</v>
      </c>
      <c r="Z543" s="7">
        <v>301</v>
      </c>
      <c r="AA543" s="8">
        <v>3.44</v>
      </c>
      <c r="AB543" s="7">
        <v>1108667</v>
      </c>
      <c r="AC543" s="7">
        <v>1108667</v>
      </c>
      <c r="AD543" s="7">
        <v>1052762</v>
      </c>
      <c r="AE543" s="7">
        <v>1121726</v>
      </c>
      <c r="AF543" s="7">
        <v>365329</v>
      </c>
      <c r="AG543" s="7">
        <v>372258</v>
      </c>
      <c r="AH543" s="8">
        <v>3.99</v>
      </c>
      <c r="AI543" s="8">
        <v>4</v>
      </c>
    </row>
    <row r="544" spans="1:35" x14ac:dyDescent="0.25">
      <c r="A544" s="6" t="str">
        <f>"580701"</f>
        <v>580701</v>
      </c>
      <c r="B544" s="6" t="s">
        <v>579</v>
      </c>
      <c r="C544" s="7">
        <v>10966854</v>
      </c>
      <c r="D544" s="7">
        <v>11327228</v>
      </c>
      <c r="E544" s="8">
        <v>3.29</v>
      </c>
      <c r="F544" s="7">
        <v>10000816</v>
      </c>
      <c r="G544" s="7">
        <v>10131788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10000816</v>
      </c>
      <c r="O544" s="7">
        <v>10131788</v>
      </c>
      <c r="P544" s="8">
        <v>1.31</v>
      </c>
      <c r="Q544" s="7">
        <v>403708</v>
      </c>
      <c r="R544" s="7">
        <v>406668</v>
      </c>
      <c r="S544" s="7">
        <v>9241548</v>
      </c>
      <c r="T544" s="7">
        <v>9725120</v>
      </c>
      <c r="U544" s="7">
        <v>9597108</v>
      </c>
      <c r="V544" s="7">
        <v>9725120</v>
      </c>
      <c r="W544" s="7">
        <v>-355560</v>
      </c>
      <c r="X544" s="7">
        <v>0</v>
      </c>
      <c r="Y544" s="7">
        <v>224</v>
      </c>
      <c r="Z544" s="7">
        <v>227</v>
      </c>
      <c r="AA544" s="8">
        <v>1.34</v>
      </c>
      <c r="AB544" s="7">
        <v>647758</v>
      </c>
      <c r="AC544" s="7">
        <v>647758</v>
      </c>
      <c r="AD544" s="7">
        <v>350000</v>
      </c>
      <c r="AE544" s="7">
        <v>605440</v>
      </c>
      <c r="AF544" s="7">
        <v>1096207</v>
      </c>
      <c r="AG544" s="7">
        <v>734060</v>
      </c>
      <c r="AH544" s="8">
        <v>10</v>
      </c>
      <c r="AI544" s="8">
        <v>6.48</v>
      </c>
    </row>
    <row r="545" spans="1:35" x14ac:dyDescent="0.25">
      <c r="A545" s="6" t="str">
        <f>"520302"</f>
        <v>520302</v>
      </c>
      <c r="B545" s="6" t="s">
        <v>580</v>
      </c>
      <c r="C545" s="7">
        <v>166308680</v>
      </c>
      <c r="D545" s="7">
        <v>169957065</v>
      </c>
      <c r="E545" s="8">
        <v>2.19</v>
      </c>
      <c r="F545" s="7">
        <v>116093517</v>
      </c>
      <c r="G545" s="7">
        <v>118866272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116093517</v>
      </c>
      <c r="O545" s="7">
        <v>118866272</v>
      </c>
      <c r="P545" s="8">
        <v>2.39</v>
      </c>
      <c r="Q545" s="7">
        <v>2842698</v>
      </c>
      <c r="R545" s="7">
        <v>3342408</v>
      </c>
      <c r="S545" s="7">
        <v>113294429</v>
      </c>
      <c r="T545" s="7">
        <v>116204555</v>
      </c>
      <c r="U545" s="7">
        <v>113250819</v>
      </c>
      <c r="V545" s="7">
        <v>115523864</v>
      </c>
      <c r="W545" s="7">
        <v>43610</v>
      </c>
      <c r="X545" s="7">
        <v>680691</v>
      </c>
      <c r="Y545" s="7">
        <v>9782</v>
      </c>
      <c r="Z545" s="7">
        <v>9803</v>
      </c>
      <c r="AA545" s="8">
        <v>0.21</v>
      </c>
      <c r="AB545" s="7">
        <v>20846367</v>
      </c>
      <c r="AC545" s="7">
        <v>25846367</v>
      </c>
      <c r="AD545" s="7">
        <v>3790174</v>
      </c>
      <c r="AE545" s="7">
        <v>1500000</v>
      </c>
      <c r="AF545" s="7">
        <v>6418111</v>
      </c>
      <c r="AG545" s="7">
        <v>6244113</v>
      </c>
      <c r="AH545" s="8">
        <v>3.86</v>
      </c>
      <c r="AI545" s="8">
        <v>3.67</v>
      </c>
    </row>
    <row r="546" spans="1:35" x14ac:dyDescent="0.25">
      <c r="A546" s="6" t="str">
        <f>"082001"</f>
        <v>082001</v>
      </c>
      <c r="B546" s="6" t="s">
        <v>581</v>
      </c>
      <c r="C546" s="7">
        <v>33187405</v>
      </c>
      <c r="D546" s="7">
        <v>34300657</v>
      </c>
      <c r="E546" s="8">
        <v>3.35</v>
      </c>
      <c r="F546" s="7">
        <v>6953787</v>
      </c>
      <c r="G546" s="7">
        <v>6953787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6953787</v>
      </c>
      <c r="O546" s="7">
        <v>6953787</v>
      </c>
      <c r="P546" s="8">
        <v>0</v>
      </c>
      <c r="Q546" s="7">
        <v>1714047</v>
      </c>
      <c r="R546" s="7">
        <v>1678454</v>
      </c>
      <c r="S546" s="7">
        <v>5239740</v>
      </c>
      <c r="T546" s="7">
        <v>5318094</v>
      </c>
      <c r="U546" s="7">
        <v>5239740</v>
      </c>
      <c r="V546" s="7">
        <v>5275333</v>
      </c>
      <c r="W546" s="7">
        <v>0</v>
      </c>
      <c r="X546" s="7">
        <v>42761</v>
      </c>
      <c r="Y546" s="7">
        <v>1293</v>
      </c>
      <c r="Z546" s="7">
        <v>1268</v>
      </c>
      <c r="AA546" s="8">
        <v>-1.93</v>
      </c>
      <c r="AB546" s="7">
        <v>2219773</v>
      </c>
      <c r="AC546" s="7">
        <v>1919773</v>
      </c>
      <c r="AD546" s="7">
        <v>1300000</v>
      </c>
      <c r="AE546" s="7">
        <v>1250000</v>
      </c>
      <c r="AF546" s="7">
        <v>2394563</v>
      </c>
      <c r="AG546" s="7">
        <v>2353299</v>
      </c>
      <c r="AH546" s="8">
        <v>7.22</v>
      </c>
      <c r="AI546" s="8">
        <v>6.86</v>
      </c>
    </row>
    <row r="547" spans="1:35" x14ac:dyDescent="0.25">
      <c r="A547" s="6" t="str">
        <f>"062601"</f>
        <v>062601</v>
      </c>
      <c r="B547" s="6" t="s">
        <v>582</v>
      </c>
      <c r="C547" s="7">
        <v>9616703</v>
      </c>
      <c r="D547" s="7">
        <v>9998333</v>
      </c>
      <c r="E547" s="8">
        <v>3.97</v>
      </c>
      <c r="F547" s="7">
        <v>2555479</v>
      </c>
      <c r="G547" s="7">
        <v>2605400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2555479</v>
      </c>
      <c r="O547" s="7">
        <v>2605400</v>
      </c>
      <c r="P547" s="8">
        <v>1.95</v>
      </c>
      <c r="Q547" s="7">
        <v>124605</v>
      </c>
      <c r="R547" s="7">
        <v>208409</v>
      </c>
      <c r="S547" s="7">
        <v>2430874</v>
      </c>
      <c r="T547" s="7">
        <v>2396991</v>
      </c>
      <c r="U547" s="7">
        <v>2430874</v>
      </c>
      <c r="V547" s="7">
        <v>2396991</v>
      </c>
      <c r="W547" s="7">
        <v>0</v>
      </c>
      <c r="X547" s="7">
        <v>0</v>
      </c>
      <c r="Y547" s="7">
        <v>422</v>
      </c>
      <c r="Z547" s="7">
        <v>425</v>
      </c>
      <c r="AA547" s="8">
        <v>0.71</v>
      </c>
      <c r="AB547" s="7">
        <v>533773</v>
      </c>
      <c r="AC547" s="7">
        <v>556880</v>
      </c>
      <c r="AD547" s="7">
        <v>331302</v>
      </c>
      <c r="AE547" s="7">
        <v>333805</v>
      </c>
      <c r="AF547" s="7">
        <v>911738</v>
      </c>
      <c r="AG547" s="7">
        <v>854789</v>
      </c>
      <c r="AH547" s="8">
        <v>9.48</v>
      </c>
      <c r="AI547" s="8">
        <v>8.5500000000000007</v>
      </c>
    </row>
    <row r="548" spans="1:35" x14ac:dyDescent="0.25">
      <c r="A548" s="6" t="str">
        <f>"412000"</f>
        <v>412000</v>
      </c>
      <c r="B548" s="6" t="s">
        <v>583</v>
      </c>
      <c r="C548" s="7">
        <v>35600738</v>
      </c>
      <c r="D548" s="7">
        <v>36583007</v>
      </c>
      <c r="E548" s="8">
        <v>2.76</v>
      </c>
      <c r="F548" s="7">
        <v>13361403</v>
      </c>
      <c r="G548" s="7">
        <v>13625958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13361403</v>
      </c>
      <c r="O548" s="7">
        <v>13625958</v>
      </c>
      <c r="P548" s="8">
        <v>1.98</v>
      </c>
      <c r="Q548" s="7">
        <v>420998</v>
      </c>
      <c r="R548" s="7">
        <v>404848</v>
      </c>
      <c r="S548" s="7">
        <v>13052606</v>
      </c>
      <c r="T548" s="7">
        <v>13262443</v>
      </c>
      <c r="U548" s="7">
        <v>12940405</v>
      </c>
      <c r="V548" s="7">
        <v>13221110</v>
      </c>
      <c r="W548" s="7">
        <v>112201</v>
      </c>
      <c r="X548" s="7">
        <v>41333</v>
      </c>
      <c r="Y548" s="7">
        <v>1970</v>
      </c>
      <c r="Z548" s="7">
        <v>1951</v>
      </c>
      <c r="AA548" s="8">
        <v>-0.96</v>
      </c>
      <c r="AB548" s="7">
        <v>10903682</v>
      </c>
      <c r="AC548" s="7">
        <v>10523686</v>
      </c>
      <c r="AD548" s="7">
        <v>909705</v>
      </c>
      <c r="AE548" s="7">
        <v>1257777</v>
      </c>
      <c r="AF548" s="7">
        <v>1157024</v>
      </c>
      <c r="AG548" s="7">
        <v>1188948</v>
      </c>
      <c r="AH548" s="8">
        <v>3.25</v>
      </c>
      <c r="AI548" s="8">
        <v>3.25</v>
      </c>
    </row>
    <row r="549" spans="1:35" x14ac:dyDescent="0.25">
      <c r="A549" s="6" t="str">
        <f>"580601"</f>
        <v>580601</v>
      </c>
      <c r="B549" s="6" t="s">
        <v>584</v>
      </c>
      <c r="C549" s="7">
        <v>72664934</v>
      </c>
      <c r="D549" s="7">
        <v>74842792</v>
      </c>
      <c r="E549" s="8">
        <v>3</v>
      </c>
      <c r="F549" s="7">
        <v>52542274</v>
      </c>
      <c r="G549" s="7">
        <v>55009210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52542274</v>
      </c>
      <c r="O549" s="7">
        <v>55009210</v>
      </c>
      <c r="P549" s="8">
        <v>4.7</v>
      </c>
      <c r="Q549" s="7">
        <v>3218719</v>
      </c>
      <c r="R549" s="7">
        <v>3702059</v>
      </c>
      <c r="S549" s="7">
        <v>49323555</v>
      </c>
      <c r="T549" s="7">
        <v>51307151</v>
      </c>
      <c r="U549" s="7">
        <v>49323555</v>
      </c>
      <c r="V549" s="7">
        <v>51307151</v>
      </c>
      <c r="W549" s="7">
        <v>0</v>
      </c>
      <c r="X549" s="7">
        <v>0</v>
      </c>
      <c r="Y549" s="7">
        <v>2261</v>
      </c>
      <c r="Z549" s="7">
        <v>2153</v>
      </c>
      <c r="AA549" s="8">
        <v>-4.78</v>
      </c>
      <c r="AB549" s="7">
        <v>15418375</v>
      </c>
      <c r="AC549" s="7">
        <v>17896702</v>
      </c>
      <c r="AD549" s="7">
        <v>4869685</v>
      </c>
      <c r="AE549" s="7">
        <v>4737647</v>
      </c>
      <c r="AF549" s="7">
        <v>2906597</v>
      </c>
      <c r="AG549" s="7">
        <v>2993712</v>
      </c>
      <c r="AH549" s="8">
        <v>4</v>
      </c>
      <c r="AI549" s="8">
        <v>4</v>
      </c>
    </row>
    <row r="550" spans="1:35" x14ac:dyDescent="0.25">
      <c r="A550" s="6" t="str">
        <f>"121601"</f>
        <v>121601</v>
      </c>
      <c r="B550" s="6" t="s">
        <v>585</v>
      </c>
      <c r="C550" s="7">
        <v>26131252</v>
      </c>
      <c r="D550" s="7">
        <v>26778081</v>
      </c>
      <c r="E550" s="8">
        <v>2.48</v>
      </c>
      <c r="F550" s="7">
        <v>6075250</v>
      </c>
      <c r="G550" s="7">
        <v>5991960</v>
      </c>
      <c r="H550" s="7">
        <v>519727</v>
      </c>
      <c r="I550" s="7">
        <v>525540</v>
      </c>
      <c r="J550" s="7">
        <v>0</v>
      </c>
      <c r="K550" s="7">
        <v>0</v>
      </c>
      <c r="L550" s="7">
        <v>0</v>
      </c>
      <c r="M550" s="7">
        <v>0</v>
      </c>
      <c r="N550" s="7">
        <v>6594977</v>
      </c>
      <c r="O550" s="7">
        <v>6517500</v>
      </c>
      <c r="P550" s="8">
        <v>-1.17</v>
      </c>
      <c r="Q550" s="7">
        <v>0</v>
      </c>
      <c r="R550" s="7">
        <v>0</v>
      </c>
      <c r="S550" s="7">
        <v>6174053</v>
      </c>
      <c r="T550" s="7">
        <v>6235405</v>
      </c>
      <c r="U550" s="7">
        <v>6075250</v>
      </c>
      <c r="V550" s="7">
        <v>5991960</v>
      </c>
      <c r="W550" s="7">
        <v>98803</v>
      </c>
      <c r="X550" s="7">
        <v>243445</v>
      </c>
      <c r="Y550" s="7">
        <v>1093</v>
      </c>
      <c r="Z550" s="7">
        <v>1093</v>
      </c>
      <c r="AA550" s="8">
        <v>0</v>
      </c>
      <c r="AB550" s="7">
        <v>4862267</v>
      </c>
      <c r="AC550" s="7">
        <v>5262000</v>
      </c>
      <c r="AD550" s="7">
        <v>911354</v>
      </c>
      <c r="AE550" s="7">
        <v>1235463</v>
      </c>
      <c r="AF550" s="7">
        <v>1189370</v>
      </c>
      <c r="AG550" s="7">
        <v>1250000</v>
      </c>
      <c r="AH550" s="8">
        <v>4.55</v>
      </c>
      <c r="AI550" s="8">
        <v>4.67</v>
      </c>
    </row>
    <row r="551" spans="1:35" x14ac:dyDescent="0.25">
      <c r="A551" s="6" t="str">
        <f>"061501"</f>
        <v>061501</v>
      </c>
      <c r="B551" s="6" t="s">
        <v>586</v>
      </c>
      <c r="C551" s="7">
        <v>23914583</v>
      </c>
      <c r="D551" s="7">
        <v>23143821</v>
      </c>
      <c r="E551" s="8">
        <v>-3.22</v>
      </c>
      <c r="F551" s="7">
        <v>5975199</v>
      </c>
      <c r="G551" s="7">
        <v>6034951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5975199</v>
      </c>
      <c r="O551" s="7">
        <v>6034951</v>
      </c>
      <c r="P551" s="8">
        <v>1</v>
      </c>
      <c r="Q551" s="7">
        <v>0</v>
      </c>
      <c r="R551" s="7">
        <v>0</v>
      </c>
      <c r="S551" s="7">
        <v>5975199</v>
      </c>
      <c r="T551" s="7">
        <v>6063494</v>
      </c>
      <c r="U551" s="7">
        <v>5975199</v>
      </c>
      <c r="V551" s="7">
        <v>6034951</v>
      </c>
      <c r="W551" s="7">
        <v>0</v>
      </c>
      <c r="X551" s="7">
        <v>28543</v>
      </c>
      <c r="Y551" s="7">
        <v>1086</v>
      </c>
      <c r="Z551" s="7">
        <v>1076</v>
      </c>
      <c r="AA551" s="8">
        <v>-0.92</v>
      </c>
      <c r="AB551" s="7">
        <v>5827104</v>
      </c>
      <c r="AC551" s="7">
        <v>6820202</v>
      </c>
      <c r="AD551" s="7">
        <v>1408506</v>
      </c>
      <c r="AE551" s="7">
        <v>958393</v>
      </c>
      <c r="AF551" s="7">
        <v>2830818</v>
      </c>
      <c r="AG551" s="7">
        <v>2288984</v>
      </c>
      <c r="AH551" s="8">
        <v>11.84</v>
      </c>
      <c r="AI551" s="8">
        <v>9.89</v>
      </c>
    </row>
    <row r="552" spans="1:35" x14ac:dyDescent="0.25">
      <c r="A552" s="6" t="str">
        <f>"421601"</f>
        <v>421601</v>
      </c>
      <c r="B552" s="6" t="s">
        <v>587</v>
      </c>
      <c r="C552" s="7">
        <v>31821194</v>
      </c>
      <c r="D552" s="7">
        <v>32456761</v>
      </c>
      <c r="E552" s="8">
        <v>2</v>
      </c>
      <c r="F552" s="7">
        <v>23627380</v>
      </c>
      <c r="G552" s="7">
        <v>24010144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23627380</v>
      </c>
      <c r="O552" s="7">
        <v>24010144</v>
      </c>
      <c r="P552" s="8">
        <v>1.62</v>
      </c>
      <c r="Q552" s="7">
        <v>1726222</v>
      </c>
      <c r="R552" s="7">
        <v>1737640</v>
      </c>
      <c r="S552" s="7">
        <v>21901158</v>
      </c>
      <c r="T552" s="7">
        <v>22452794</v>
      </c>
      <c r="U552" s="7">
        <v>21901158</v>
      </c>
      <c r="V552" s="7">
        <v>22272504</v>
      </c>
      <c r="W552" s="7">
        <v>0</v>
      </c>
      <c r="X552" s="7">
        <v>180290</v>
      </c>
      <c r="Y552" s="7">
        <v>1371</v>
      </c>
      <c r="Z552" s="7">
        <v>1317</v>
      </c>
      <c r="AA552" s="8">
        <v>-3.94</v>
      </c>
      <c r="AB552" s="7">
        <v>5533772</v>
      </c>
      <c r="AC552" s="7">
        <v>5433772</v>
      </c>
      <c r="AD552" s="7">
        <v>90000</v>
      </c>
      <c r="AE552" s="7">
        <v>0</v>
      </c>
      <c r="AF552" s="7">
        <v>1272847</v>
      </c>
      <c r="AG552" s="7">
        <v>1298270</v>
      </c>
      <c r="AH552" s="8">
        <v>4</v>
      </c>
      <c r="AI552" s="8">
        <v>4</v>
      </c>
    </row>
    <row r="553" spans="1:35" x14ac:dyDescent="0.25">
      <c r="A553" s="6" t="str">
        <f>"580801"</f>
        <v>580801</v>
      </c>
      <c r="B553" s="6" t="s">
        <v>588</v>
      </c>
      <c r="C553" s="7">
        <v>236027619</v>
      </c>
      <c r="D553" s="7">
        <v>239367205</v>
      </c>
      <c r="E553" s="8">
        <v>1.41</v>
      </c>
      <c r="F553" s="7">
        <v>183981742</v>
      </c>
      <c r="G553" s="7">
        <v>187169883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183981742</v>
      </c>
      <c r="O553" s="7">
        <v>187169883</v>
      </c>
      <c r="P553" s="8">
        <v>1.73</v>
      </c>
      <c r="Q553" s="7">
        <v>4272751</v>
      </c>
      <c r="R553" s="7">
        <v>4146571</v>
      </c>
      <c r="S553" s="7">
        <v>179708991</v>
      </c>
      <c r="T553" s="7">
        <v>183023312</v>
      </c>
      <c r="U553" s="7">
        <v>179708991</v>
      </c>
      <c r="V553" s="7">
        <v>183023312</v>
      </c>
      <c r="W553" s="7">
        <v>0</v>
      </c>
      <c r="X553" s="7">
        <v>0</v>
      </c>
      <c r="Y553" s="7">
        <v>9241</v>
      </c>
      <c r="Z553" s="7">
        <v>8880</v>
      </c>
      <c r="AA553" s="8">
        <v>-3.91</v>
      </c>
      <c r="AB553" s="7">
        <v>29936566</v>
      </c>
      <c r="AC553" s="7">
        <v>34236566</v>
      </c>
      <c r="AD553" s="7">
        <v>1500000</v>
      </c>
      <c r="AE553" s="7">
        <v>1352873</v>
      </c>
      <c r="AF553" s="7">
        <v>9440179</v>
      </c>
      <c r="AG553" s="7">
        <v>9574688</v>
      </c>
      <c r="AH553" s="8">
        <v>4</v>
      </c>
      <c r="AI553" s="8">
        <v>4</v>
      </c>
    </row>
    <row r="554" spans="1:35" x14ac:dyDescent="0.25">
      <c r="A554" s="6" t="str">
        <f>"651201"</f>
        <v>651201</v>
      </c>
      <c r="B554" s="6" t="s">
        <v>589</v>
      </c>
      <c r="C554" s="7">
        <v>27547454</v>
      </c>
      <c r="D554" s="7">
        <v>27898421</v>
      </c>
      <c r="E554" s="8">
        <v>1.27</v>
      </c>
      <c r="F554" s="7">
        <v>8737376</v>
      </c>
      <c r="G554" s="7">
        <v>8802907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8737376</v>
      </c>
      <c r="O554" s="7">
        <v>8802907</v>
      </c>
      <c r="P554" s="8">
        <v>0.75</v>
      </c>
      <c r="Q554" s="7">
        <v>0</v>
      </c>
      <c r="R554" s="7">
        <v>0</v>
      </c>
      <c r="S554" s="7">
        <v>8796499</v>
      </c>
      <c r="T554" s="7">
        <v>8925170</v>
      </c>
      <c r="U554" s="7">
        <v>8737376</v>
      </c>
      <c r="V554" s="7">
        <v>8802907</v>
      </c>
      <c r="W554" s="7">
        <v>59123</v>
      </c>
      <c r="X554" s="7">
        <v>122263</v>
      </c>
      <c r="Y554" s="7">
        <v>1058</v>
      </c>
      <c r="Z554" s="7">
        <v>1094</v>
      </c>
      <c r="AA554" s="8">
        <v>3.4</v>
      </c>
      <c r="AB554" s="7">
        <v>3200948</v>
      </c>
      <c r="AC554" s="7">
        <v>3100000</v>
      </c>
      <c r="AD554" s="7">
        <v>485000</v>
      </c>
      <c r="AE554" s="7">
        <v>485000</v>
      </c>
      <c r="AF554" s="7">
        <v>1151880</v>
      </c>
      <c r="AG554" s="7">
        <v>1100000</v>
      </c>
      <c r="AH554" s="8">
        <v>4.18</v>
      </c>
      <c r="AI554" s="8">
        <v>3.94</v>
      </c>
    </row>
    <row r="555" spans="1:35" x14ac:dyDescent="0.25">
      <c r="A555" s="6" t="str">
        <f>"420702"</f>
        <v>420702</v>
      </c>
      <c r="B555" s="6" t="s">
        <v>590</v>
      </c>
      <c r="C555" s="7">
        <v>32413000</v>
      </c>
      <c r="D555" s="7">
        <v>33427500</v>
      </c>
      <c r="E555" s="8">
        <v>3.13</v>
      </c>
      <c r="F555" s="7">
        <v>14492450</v>
      </c>
      <c r="G555" s="7">
        <v>14690000</v>
      </c>
      <c r="H555" s="7">
        <v>0</v>
      </c>
      <c r="I555" s="7">
        <v>0</v>
      </c>
      <c r="J555" s="7">
        <v>0</v>
      </c>
      <c r="K555" s="7">
        <v>0</v>
      </c>
      <c r="L555" s="7">
        <v>1291</v>
      </c>
      <c r="M555" s="7">
        <v>0</v>
      </c>
      <c r="N555" s="7">
        <v>14491159</v>
      </c>
      <c r="O555" s="7">
        <v>14690000</v>
      </c>
      <c r="P555" s="8">
        <v>1.37</v>
      </c>
      <c r="Q555" s="7">
        <v>715571</v>
      </c>
      <c r="R555" s="7">
        <v>729228</v>
      </c>
      <c r="S555" s="7">
        <v>13778187</v>
      </c>
      <c r="T555" s="7">
        <v>13966812</v>
      </c>
      <c r="U555" s="7">
        <v>13776879</v>
      </c>
      <c r="V555" s="7">
        <v>13960772</v>
      </c>
      <c r="W555" s="7">
        <v>1308</v>
      </c>
      <c r="X555" s="7">
        <v>6040</v>
      </c>
      <c r="Y555" s="7">
        <v>1493</v>
      </c>
      <c r="Z555" s="7">
        <v>1489</v>
      </c>
      <c r="AA555" s="8">
        <v>-0.27</v>
      </c>
      <c r="AB555" s="7">
        <v>4564480</v>
      </c>
      <c r="AC555" s="7">
        <v>4563190</v>
      </c>
      <c r="AD555" s="7">
        <v>1588783</v>
      </c>
      <c r="AE555" s="7">
        <v>1250000</v>
      </c>
      <c r="AF555" s="7">
        <v>2178248</v>
      </c>
      <c r="AG555" s="7">
        <v>1528248</v>
      </c>
      <c r="AH555" s="8">
        <v>6.72</v>
      </c>
      <c r="AI555" s="8">
        <v>4.57</v>
      </c>
    </row>
    <row r="556" spans="1:35" x14ac:dyDescent="0.25">
      <c r="A556" s="6" t="str">
        <f>"662101"</f>
        <v>662101</v>
      </c>
      <c r="B556" s="6" t="s">
        <v>591</v>
      </c>
      <c r="C556" s="7">
        <v>86901751</v>
      </c>
      <c r="D556" s="7">
        <v>88330309</v>
      </c>
      <c r="E556" s="8">
        <v>1.64</v>
      </c>
      <c r="F556" s="7">
        <v>74673878</v>
      </c>
      <c r="G556" s="7">
        <v>75992382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74673878</v>
      </c>
      <c r="O556" s="7">
        <v>75992382</v>
      </c>
      <c r="P556" s="8">
        <v>1.77</v>
      </c>
      <c r="Q556" s="12">
        <v>3107826</v>
      </c>
      <c r="R556" s="12">
        <v>3276122</v>
      </c>
      <c r="S556" s="7">
        <v>71566052</v>
      </c>
      <c r="T556" s="7">
        <v>72716260</v>
      </c>
      <c r="U556" s="7">
        <v>71566052</v>
      </c>
      <c r="V556" s="7">
        <v>72716260</v>
      </c>
      <c r="W556" s="6">
        <v>0</v>
      </c>
      <c r="X556" s="6">
        <v>0</v>
      </c>
      <c r="Y556" s="7">
        <v>3046</v>
      </c>
      <c r="Z556" s="7">
        <v>2986</v>
      </c>
      <c r="AA556" s="8">
        <v>-1.97</v>
      </c>
      <c r="AB556" s="7">
        <v>6524458</v>
      </c>
      <c r="AC556" s="7">
        <v>9323866</v>
      </c>
      <c r="AD556" s="7">
        <v>100000</v>
      </c>
      <c r="AE556" s="7">
        <v>25000</v>
      </c>
      <c r="AF556" s="7">
        <v>3450300</v>
      </c>
      <c r="AG556" s="7">
        <v>3533212</v>
      </c>
      <c r="AH556" s="8">
        <v>3.97</v>
      </c>
      <c r="AI556" s="8">
        <v>4</v>
      </c>
    </row>
    <row r="557" spans="1:35" x14ac:dyDescent="0.25">
      <c r="A557" s="6" t="str">
        <f>"010601"</f>
        <v>010601</v>
      </c>
      <c r="B557" s="6" t="s">
        <v>592</v>
      </c>
      <c r="C557" s="7">
        <v>98659699</v>
      </c>
      <c r="D557" s="7">
        <v>99457249</v>
      </c>
      <c r="E557" s="8">
        <v>0.81</v>
      </c>
      <c r="F557" s="7">
        <v>70400000</v>
      </c>
      <c r="G557" s="7">
        <v>71456000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70400000</v>
      </c>
      <c r="O557" s="7">
        <v>71456000</v>
      </c>
      <c r="P557" s="8">
        <v>1.5</v>
      </c>
      <c r="Q557" s="7">
        <v>2397894</v>
      </c>
      <c r="R557" s="7">
        <v>2494586</v>
      </c>
      <c r="S557" s="7">
        <v>68470480</v>
      </c>
      <c r="T557" s="7">
        <v>69188008</v>
      </c>
      <c r="U557" s="7">
        <v>68002106</v>
      </c>
      <c r="V557" s="7">
        <v>68961414</v>
      </c>
      <c r="W557" s="7">
        <v>468374</v>
      </c>
      <c r="X557" s="7">
        <v>226594</v>
      </c>
      <c r="Y557" s="7">
        <v>4803</v>
      </c>
      <c r="Z557" s="7">
        <v>4791</v>
      </c>
      <c r="AA557" s="8">
        <v>-0.25</v>
      </c>
      <c r="AB557" s="7">
        <v>7316655</v>
      </c>
      <c r="AC557" s="7">
        <v>7250000</v>
      </c>
      <c r="AD557" s="7">
        <v>2560000</v>
      </c>
      <c r="AE557" s="7">
        <v>2020336</v>
      </c>
      <c r="AF557" s="7">
        <v>3911698</v>
      </c>
      <c r="AG557" s="7">
        <v>3978289</v>
      </c>
      <c r="AH557" s="8">
        <v>3.96</v>
      </c>
      <c r="AI557" s="8">
        <v>4</v>
      </c>
    </row>
    <row r="558" spans="1:35" x14ac:dyDescent="0.25">
      <c r="A558" s="6" t="str">
        <f>"580235"</f>
        <v>580235</v>
      </c>
      <c r="B558" s="6" t="s">
        <v>593</v>
      </c>
      <c r="C558" s="7">
        <v>126296440</v>
      </c>
      <c r="D558" s="7">
        <v>129595729</v>
      </c>
      <c r="E558" s="8">
        <v>2.61</v>
      </c>
      <c r="F558" s="7">
        <v>57852321</v>
      </c>
      <c r="G558" s="7">
        <v>59032115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57852321</v>
      </c>
      <c r="O558" s="7">
        <v>59032115</v>
      </c>
      <c r="P558" s="8">
        <v>2.04</v>
      </c>
      <c r="Q558" s="7">
        <v>0</v>
      </c>
      <c r="R558" s="7">
        <v>0</v>
      </c>
      <c r="S558" s="7">
        <v>57852321</v>
      </c>
      <c r="T558" s="7">
        <v>59032115</v>
      </c>
      <c r="U558" s="7">
        <v>57852321</v>
      </c>
      <c r="V558" s="7">
        <v>59032115</v>
      </c>
      <c r="W558" s="7">
        <v>0</v>
      </c>
      <c r="X558" s="7">
        <v>0</v>
      </c>
      <c r="Y558" s="7">
        <v>4428</v>
      </c>
      <c r="Z558" s="7">
        <v>4438</v>
      </c>
      <c r="AA558" s="8">
        <v>0.23</v>
      </c>
      <c r="AB558" s="7">
        <v>14034586</v>
      </c>
      <c r="AC558" s="7">
        <v>14455623</v>
      </c>
      <c r="AD558" s="7">
        <v>4500000</v>
      </c>
      <c r="AE558" s="7">
        <v>4175244</v>
      </c>
      <c r="AF558" s="7">
        <v>5051857</v>
      </c>
      <c r="AG558" s="7">
        <v>5183829</v>
      </c>
      <c r="AH558" s="8">
        <v>4</v>
      </c>
      <c r="AI558" s="8">
        <v>4</v>
      </c>
    </row>
    <row r="559" spans="1:35" x14ac:dyDescent="0.25">
      <c r="A559" s="6" t="str">
        <f>"521401"</f>
        <v>521401</v>
      </c>
      <c r="B559" s="6" t="s">
        <v>594</v>
      </c>
      <c r="C559" s="7">
        <v>56590273</v>
      </c>
      <c r="D559" s="7">
        <v>57842074</v>
      </c>
      <c r="E559" s="8">
        <v>2.21</v>
      </c>
      <c r="F559" s="7">
        <v>28155032</v>
      </c>
      <c r="G559" s="7">
        <v>28957450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28155032</v>
      </c>
      <c r="O559" s="7">
        <v>28957450</v>
      </c>
      <c r="P559" s="8">
        <v>2.85</v>
      </c>
      <c r="Q559" s="7">
        <v>567180</v>
      </c>
      <c r="R559" s="7">
        <v>742958</v>
      </c>
      <c r="S559" s="7">
        <v>27594601</v>
      </c>
      <c r="T559" s="7">
        <v>28215854</v>
      </c>
      <c r="U559" s="7">
        <v>27587852</v>
      </c>
      <c r="V559" s="7">
        <v>28214492</v>
      </c>
      <c r="W559" s="7">
        <v>6749</v>
      </c>
      <c r="X559" s="7">
        <v>1362</v>
      </c>
      <c r="Y559" s="7">
        <v>3178</v>
      </c>
      <c r="Z559" s="7">
        <v>3180</v>
      </c>
      <c r="AA559" s="8">
        <v>0.06</v>
      </c>
      <c r="AB559" s="7">
        <v>7996443</v>
      </c>
      <c r="AC559" s="7">
        <v>6900000</v>
      </c>
      <c r="AD559" s="7">
        <v>1951000</v>
      </c>
      <c r="AE559" s="7">
        <v>1950000</v>
      </c>
      <c r="AF559" s="7">
        <v>1319580</v>
      </c>
      <c r="AG559" s="7">
        <v>1700000</v>
      </c>
      <c r="AH559" s="8">
        <v>2.33</v>
      </c>
      <c r="AI559" s="8">
        <v>2.94</v>
      </c>
    </row>
    <row r="560" spans="1:35" x14ac:dyDescent="0.25">
      <c r="A560" s="6" t="str">
        <f>"580413"</f>
        <v>580413</v>
      </c>
      <c r="B560" s="6" t="s">
        <v>595</v>
      </c>
      <c r="C560" s="7">
        <v>159004073</v>
      </c>
      <c r="D560" s="7">
        <v>162794840</v>
      </c>
      <c r="E560" s="8">
        <v>2.38</v>
      </c>
      <c r="F560" s="7">
        <v>110621172</v>
      </c>
      <c r="G560" s="7">
        <v>112183534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110621172</v>
      </c>
      <c r="O560" s="7">
        <v>112183534</v>
      </c>
      <c r="P560" s="8">
        <v>1.41</v>
      </c>
      <c r="Q560" s="7">
        <v>2911507</v>
      </c>
      <c r="R560" s="7">
        <v>2948705</v>
      </c>
      <c r="S560" s="7">
        <v>107709665</v>
      </c>
      <c r="T560" s="7">
        <v>109234829</v>
      </c>
      <c r="U560" s="7">
        <v>107709665</v>
      </c>
      <c r="V560" s="7">
        <v>109234829</v>
      </c>
      <c r="W560" s="7">
        <v>0</v>
      </c>
      <c r="X560" s="7">
        <v>0</v>
      </c>
      <c r="Y560" s="7">
        <v>5999</v>
      </c>
      <c r="Z560" s="7">
        <v>6034</v>
      </c>
      <c r="AA560" s="8">
        <v>0.57999999999999996</v>
      </c>
      <c r="AB560" s="7">
        <v>19893605</v>
      </c>
      <c r="AC560" s="7">
        <v>18893605</v>
      </c>
      <c r="AD560" s="7">
        <v>7960810</v>
      </c>
      <c r="AE560" s="7">
        <v>7033034</v>
      </c>
      <c r="AF560" s="7">
        <v>6360163</v>
      </c>
      <c r="AG560" s="7">
        <v>6511794</v>
      </c>
      <c r="AH560" s="8">
        <v>4</v>
      </c>
      <c r="AI560" s="8">
        <v>4</v>
      </c>
    </row>
    <row r="561" spans="1:35" x14ac:dyDescent="0.25">
      <c r="A561" s="6" t="str">
        <f>"220101"</f>
        <v>220101</v>
      </c>
      <c r="B561" s="6" t="s">
        <v>596</v>
      </c>
      <c r="C561" s="7">
        <v>32565591</v>
      </c>
      <c r="D561" s="7">
        <v>33326369</v>
      </c>
      <c r="E561" s="8">
        <v>2.34</v>
      </c>
      <c r="F561" s="7">
        <v>7343394</v>
      </c>
      <c r="G561" s="7">
        <v>7441625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7343394</v>
      </c>
      <c r="O561" s="7">
        <v>7441625</v>
      </c>
      <c r="P561" s="8">
        <v>1.34</v>
      </c>
      <c r="Q561" s="7">
        <v>135813</v>
      </c>
      <c r="R561" s="7">
        <v>81057</v>
      </c>
      <c r="S561" s="7">
        <v>7207581</v>
      </c>
      <c r="T561" s="7">
        <v>7360568</v>
      </c>
      <c r="U561" s="7">
        <v>7207581</v>
      </c>
      <c r="V561" s="7">
        <v>7360568</v>
      </c>
      <c r="W561" s="7">
        <v>0</v>
      </c>
      <c r="X561" s="7">
        <v>0</v>
      </c>
      <c r="Y561" s="7">
        <v>2039</v>
      </c>
      <c r="Z561" s="7">
        <v>2039</v>
      </c>
      <c r="AA561" s="8">
        <v>0</v>
      </c>
      <c r="AB561" s="7">
        <v>60671</v>
      </c>
      <c r="AC561" s="7">
        <v>60671</v>
      </c>
      <c r="AD561" s="7">
        <v>2243808</v>
      </c>
      <c r="AE561" s="7">
        <v>2043571</v>
      </c>
      <c r="AF561" s="7">
        <v>1171764</v>
      </c>
      <c r="AG561" s="7">
        <v>1088296</v>
      </c>
      <c r="AH561" s="8">
        <v>3.6</v>
      </c>
      <c r="AI561" s="8">
        <v>3.27</v>
      </c>
    </row>
    <row r="562" spans="1:35" x14ac:dyDescent="0.25">
      <c r="A562" s="6" t="str">
        <f>"121702"</f>
        <v>121702</v>
      </c>
      <c r="B562" s="6" t="s">
        <v>597</v>
      </c>
      <c r="C562" s="7">
        <v>9252225</v>
      </c>
      <c r="D562" s="7">
        <v>9288252</v>
      </c>
      <c r="E562" s="8">
        <v>0.39</v>
      </c>
      <c r="F562" s="7">
        <v>4384047</v>
      </c>
      <c r="G562" s="7">
        <v>4473912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4384047</v>
      </c>
      <c r="O562" s="7">
        <v>4473912</v>
      </c>
      <c r="P562" s="8">
        <v>2.0499999999999998</v>
      </c>
      <c r="Q562" s="7">
        <v>0</v>
      </c>
      <c r="R562" s="7">
        <v>0</v>
      </c>
      <c r="S562" s="7">
        <v>4282705</v>
      </c>
      <c r="T562" s="7">
        <v>4473912</v>
      </c>
      <c r="U562" s="7">
        <v>4384047</v>
      </c>
      <c r="V562" s="7">
        <v>4473912</v>
      </c>
      <c r="W562" s="7">
        <v>-101342</v>
      </c>
      <c r="X562" s="7">
        <v>0</v>
      </c>
      <c r="Y562" s="7">
        <v>385</v>
      </c>
      <c r="Z562" s="7">
        <v>381</v>
      </c>
      <c r="AA562" s="8">
        <v>-1.04</v>
      </c>
      <c r="AB562" s="7">
        <v>1165612</v>
      </c>
      <c r="AC562" s="7">
        <v>1165612</v>
      </c>
      <c r="AD562" s="7">
        <v>378000</v>
      </c>
      <c r="AE562" s="7">
        <v>340000</v>
      </c>
      <c r="AF562" s="7">
        <v>200000</v>
      </c>
      <c r="AG562" s="7">
        <v>200000</v>
      </c>
      <c r="AH562" s="8">
        <v>2.16</v>
      </c>
      <c r="AI562" s="8">
        <v>2.15</v>
      </c>
    </row>
    <row r="563" spans="1:35" x14ac:dyDescent="0.25">
      <c r="A563" s="6" t="str">
        <f>"231101"</f>
        <v>231101</v>
      </c>
      <c r="B563" s="6" t="s">
        <v>598</v>
      </c>
      <c r="C563" s="7">
        <v>24773105</v>
      </c>
      <c r="D563" s="7">
        <v>25185830</v>
      </c>
      <c r="E563" s="8">
        <v>1.67</v>
      </c>
      <c r="F563" s="7">
        <v>8303849</v>
      </c>
      <c r="G563" s="7">
        <v>8426897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8303849</v>
      </c>
      <c r="O563" s="7">
        <v>8426897</v>
      </c>
      <c r="P563" s="8">
        <v>1.48</v>
      </c>
      <c r="Q563" s="7">
        <v>240158</v>
      </c>
      <c r="R563" s="7">
        <v>166573</v>
      </c>
      <c r="S563" s="7">
        <v>8072739</v>
      </c>
      <c r="T563" s="7">
        <v>8308755</v>
      </c>
      <c r="U563" s="7">
        <v>8063691</v>
      </c>
      <c r="V563" s="7">
        <v>8260324</v>
      </c>
      <c r="W563" s="7">
        <v>9048</v>
      </c>
      <c r="X563" s="7">
        <v>48431</v>
      </c>
      <c r="Y563" s="7">
        <v>1027</v>
      </c>
      <c r="Z563" s="7">
        <v>1026</v>
      </c>
      <c r="AA563" s="8">
        <v>-0.1</v>
      </c>
      <c r="AB563" s="7">
        <v>516927</v>
      </c>
      <c r="AC563" s="7">
        <v>530000</v>
      </c>
      <c r="AD563" s="7">
        <v>1405214</v>
      </c>
      <c r="AE563" s="7">
        <v>1425000</v>
      </c>
      <c r="AF563" s="7">
        <v>2101629</v>
      </c>
      <c r="AG563" s="7">
        <v>1900000</v>
      </c>
      <c r="AH563" s="8">
        <v>8.48</v>
      </c>
      <c r="AI563" s="8">
        <v>7.54</v>
      </c>
    </row>
    <row r="564" spans="1:35" x14ac:dyDescent="0.25">
      <c r="A564" s="6" t="str">
        <f>"500301"</f>
        <v>500301</v>
      </c>
      <c r="B564" s="6" t="s">
        <v>599</v>
      </c>
      <c r="C564" s="7">
        <v>86653782</v>
      </c>
      <c r="D564" s="7">
        <v>88966619</v>
      </c>
      <c r="E564" s="8">
        <v>2.67</v>
      </c>
      <c r="F564" s="7">
        <v>74292605</v>
      </c>
      <c r="G564" s="7">
        <v>75590290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74292605</v>
      </c>
      <c r="O564" s="7">
        <v>75590290</v>
      </c>
      <c r="P564" s="8">
        <v>1.75</v>
      </c>
      <c r="Q564" s="7">
        <v>624407</v>
      </c>
      <c r="R564" s="7">
        <v>678810</v>
      </c>
      <c r="S564" s="7">
        <v>73668198</v>
      </c>
      <c r="T564" s="7">
        <v>74911480</v>
      </c>
      <c r="U564" s="7">
        <v>73668198</v>
      </c>
      <c r="V564" s="7">
        <v>74911480</v>
      </c>
      <c r="W564" s="7">
        <v>0</v>
      </c>
      <c r="X564" s="7">
        <v>0</v>
      </c>
      <c r="Y564" s="7">
        <v>3104</v>
      </c>
      <c r="Z564" s="7">
        <v>3036</v>
      </c>
      <c r="AA564" s="8">
        <v>-2.19</v>
      </c>
      <c r="AB564" s="7">
        <v>14303271</v>
      </c>
      <c r="AC564" s="7">
        <v>18376950</v>
      </c>
      <c r="AD564" s="7">
        <v>763668</v>
      </c>
      <c r="AE564" s="7">
        <v>15000</v>
      </c>
      <c r="AF564" s="7">
        <v>3466151</v>
      </c>
      <c r="AG564" s="7">
        <v>3562735</v>
      </c>
      <c r="AH564" s="8">
        <v>4</v>
      </c>
      <c r="AI564" s="8">
        <v>4</v>
      </c>
    </row>
    <row r="565" spans="1:35" x14ac:dyDescent="0.25">
      <c r="A565" s="6" t="str">
        <f>"560501"</f>
        <v>560501</v>
      </c>
      <c r="B565" s="6" t="s">
        <v>600</v>
      </c>
      <c r="C565" s="7">
        <v>24005550</v>
      </c>
      <c r="D565" s="7">
        <v>23785405</v>
      </c>
      <c r="E565" s="8">
        <v>-0.92</v>
      </c>
      <c r="F565" s="7">
        <v>7907015</v>
      </c>
      <c r="G565" s="7">
        <v>7915377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7907015</v>
      </c>
      <c r="O565" s="7">
        <v>7915377</v>
      </c>
      <c r="P565" s="8">
        <v>0.11</v>
      </c>
      <c r="Q565" s="7">
        <v>727440</v>
      </c>
      <c r="R565" s="7">
        <v>604658</v>
      </c>
      <c r="S565" s="7">
        <v>7179576</v>
      </c>
      <c r="T565" s="7">
        <v>7310719</v>
      </c>
      <c r="U565" s="7">
        <v>7179575</v>
      </c>
      <c r="V565" s="7">
        <v>7310719</v>
      </c>
      <c r="W565" s="7">
        <v>1</v>
      </c>
      <c r="X565" s="7">
        <v>0</v>
      </c>
      <c r="Y565" s="7">
        <v>709</v>
      </c>
      <c r="Z565" s="7">
        <v>710</v>
      </c>
      <c r="AA565" s="8">
        <v>0.14000000000000001</v>
      </c>
      <c r="AB565" s="7">
        <v>5419933</v>
      </c>
      <c r="AC565" s="7">
        <v>5019933</v>
      </c>
      <c r="AD565" s="7">
        <v>250000</v>
      </c>
      <c r="AE565" s="7">
        <v>250000</v>
      </c>
      <c r="AF565" s="7">
        <v>928792</v>
      </c>
      <c r="AG565" s="7">
        <v>951416</v>
      </c>
      <c r="AH565" s="8">
        <v>3.87</v>
      </c>
      <c r="AI565" s="8">
        <v>4</v>
      </c>
    </row>
    <row r="566" spans="1:35" x14ac:dyDescent="0.25">
      <c r="A566" s="6" t="str">
        <f>"580906"</f>
        <v>580906</v>
      </c>
      <c r="B566" s="6" t="s">
        <v>601</v>
      </c>
      <c r="C566" s="7">
        <v>67731464</v>
      </c>
      <c r="D566" s="7">
        <v>68847113</v>
      </c>
      <c r="E566" s="8">
        <v>1.65</v>
      </c>
      <c r="F566" s="7">
        <v>53676683</v>
      </c>
      <c r="G566" s="7">
        <v>55541498</v>
      </c>
      <c r="H566" s="7">
        <v>0</v>
      </c>
      <c r="I566" s="7">
        <v>0</v>
      </c>
      <c r="J566" s="7">
        <v>0</v>
      </c>
      <c r="K566" s="7">
        <v>0</v>
      </c>
      <c r="L566" s="7">
        <v>58123</v>
      </c>
      <c r="M566" s="7">
        <v>0</v>
      </c>
      <c r="N566" s="7">
        <v>53618560</v>
      </c>
      <c r="O566" s="7">
        <v>55541498</v>
      </c>
      <c r="P566" s="8">
        <v>3.59</v>
      </c>
      <c r="Q566" s="7">
        <v>3647631</v>
      </c>
      <c r="R566" s="7">
        <v>3400526</v>
      </c>
      <c r="S566" s="7">
        <v>50029052</v>
      </c>
      <c r="T566" s="7">
        <v>52396472</v>
      </c>
      <c r="U566" s="7">
        <v>50029052</v>
      </c>
      <c r="V566" s="7">
        <v>52140972</v>
      </c>
      <c r="W566" s="7">
        <v>0</v>
      </c>
      <c r="X566" s="7">
        <v>255500</v>
      </c>
      <c r="Y566" s="7">
        <v>1645</v>
      </c>
      <c r="Z566" s="7">
        <v>1658</v>
      </c>
      <c r="AA566" s="8">
        <v>0.79</v>
      </c>
      <c r="AB566" s="7">
        <v>23462300</v>
      </c>
      <c r="AC566" s="7">
        <v>25550000</v>
      </c>
      <c r="AD566" s="7">
        <v>500000</v>
      </c>
      <c r="AE566" s="7">
        <v>500000</v>
      </c>
      <c r="AF566" s="7">
        <v>2709258</v>
      </c>
      <c r="AG566" s="7">
        <v>2753885</v>
      </c>
      <c r="AH566" s="8">
        <v>4</v>
      </c>
      <c r="AI566" s="8">
        <v>4</v>
      </c>
    </row>
    <row r="567" spans="1:35" x14ac:dyDescent="0.25">
      <c r="A567" s="6" t="str">
        <f>"050701"</f>
        <v>050701</v>
      </c>
      <c r="B567" s="6" t="s">
        <v>602</v>
      </c>
      <c r="C567" s="7">
        <v>17141854</v>
      </c>
      <c r="D567" s="7">
        <v>17295862</v>
      </c>
      <c r="E567" s="8">
        <v>0.9</v>
      </c>
      <c r="F567" s="7">
        <v>7874126</v>
      </c>
      <c r="G567" s="7">
        <v>7913497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7874126</v>
      </c>
      <c r="O567" s="7">
        <v>7913497</v>
      </c>
      <c r="P567" s="8">
        <v>0.5</v>
      </c>
      <c r="Q567" s="7">
        <v>532569</v>
      </c>
      <c r="R567" s="7">
        <v>571050</v>
      </c>
      <c r="S567" s="7">
        <v>7366671</v>
      </c>
      <c r="T567" s="7">
        <v>7468659</v>
      </c>
      <c r="U567" s="7">
        <v>7341557</v>
      </c>
      <c r="V567" s="7">
        <v>7342447</v>
      </c>
      <c r="W567" s="7">
        <v>25114</v>
      </c>
      <c r="X567" s="7">
        <v>126212</v>
      </c>
      <c r="Y567" s="7">
        <v>692</v>
      </c>
      <c r="Z567" s="7">
        <v>690</v>
      </c>
      <c r="AA567" s="8">
        <v>-0.28999999999999998</v>
      </c>
      <c r="AB567" s="7">
        <v>1683065</v>
      </c>
      <c r="AC567" s="7">
        <v>1883065</v>
      </c>
      <c r="AD567" s="7">
        <v>357368</v>
      </c>
      <c r="AE567" s="7">
        <v>357368</v>
      </c>
      <c r="AF567" s="7">
        <v>1010492</v>
      </c>
      <c r="AG567" s="7">
        <v>1010492</v>
      </c>
      <c r="AH567" s="8">
        <v>5.89</v>
      </c>
      <c r="AI567" s="8">
        <v>5.84</v>
      </c>
    </row>
    <row r="568" spans="1:35" x14ac:dyDescent="0.25">
      <c r="A568" s="6" t="str">
        <f>"581005"</f>
        <v>581005</v>
      </c>
      <c r="B568" s="6" t="s">
        <v>603</v>
      </c>
      <c r="C568" s="7">
        <v>29008500</v>
      </c>
      <c r="D568" s="7">
        <v>29440000</v>
      </c>
      <c r="E568" s="8">
        <v>1.49</v>
      </c>
      <c r="F568" s="7">
        <v>25604343</v>
      </c>
      <c r="G568" s="7">
        <v>25994058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25604343</v>
      </c>
      <c r="O568" s="7">
        <v>25994058</v>
      </c>
      <c r="P568" s="8">
        <v>1.52</v>
      </c>
      <c r="Q568" s="7">
        <v>1171075</v>
      </c>
      <c r="R568" s="7">
        <v>1144673</v>
      </c>
      <c r="S568" s="7">
        <v>24436978</v>
      </c>
      <c r="T568" s="7">
        <v>24870434</v>
      </c>
      <c r="U568" s="7">
        <v>24433268</v>
      </c>
      <c r="V568" s="7">
        <v>24849385</v>
      </c>
      <c r="W568" s="7">
        <v>3710</v>
      </c>
      <c r="X568" s="7">
        <v>21049</v>
      </c>
      <c r="Y568" s="7">
        <v>782</v>
      </c>
      <c r="Z568" s="7">
        <v>782</v>
      </c>
      <c r="AA568" s="8">
        <v>0</v>
      </c>
      <c r="AB568" s="7">
        <v>6568425</v>
      </c>
      <c r="AC568" s="7">
        <v>7418425</v>
      </c>
      <c r="AD568" s="7">
        <v>653384</v>
      </c>
      <c r="AE568" s="7">
        <v>600000</v>
      </c>
      <c r="AF568" s="7">
        <v>1157377</v>
      </c>
      <c r="AG568" s="7">
        <v>1177000</v>
      </c>
      <c r="AH568" s="8">
        <v>3.99</v>
      </c>
      <c r="AI568" s="8">
        <v>4</v>
      </c>
    </row>
    <row r="569" spans="1:35" x14ac:dyDescent="0.25">
      <c r="A569" s="6" t="str">
        <f>"060201"</f>
        <v>060201</v>
      </c>
      <c r="B569" s="6" t="s">
        <v>604</v>
      </c>
      <c r="C569" s="7">
        <v>26592758</v>
      </c>
      <c r="D569" s="7">
        <v>27366108</v>
      </c>
      <c r="E569" s="8">
        <v>2.91</v>
      </c>
      <c r="F569" s="7">
        <v>12644068</v>
      </c>
      <c r="G569" s="7">
        <v>12707289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12644068</v>
      </c>
      <c r="O569" s="7">
        <v>12707289</v>
      </c>
      <c r="P569" s="8">
        <v>0.5</v>
      </c>
      <c r="Q569" s="7">
        <v>231857</v>
      </c>
      <c r="R569" s="7">
        <v>393585</v>
      </c>
      <c r="S569" s="7">
        <v>12590299</v>
      </c>
      <c r="T569" s="7">
        <v>12570076</v>
      </c>
      <c r="U569" s="7">
        <v>12412211</v>
      </c>
      <c r="V569" s="7">
        <v>12313704</v>
      </c>
      <c r="W569" s="7">
        <v>178088</v>
      </c>
      <c r="X569" s="7">
        <v>256372</v>
      </c>
      <c r="Y569" s="7">
        <v>1342</v>
      </c>
      <c r="Z569" s="7">
        <v>1336</v>
      </c>
      <c r="AA569" s="8">
        <v>-0.45</v>
      </c>
      <c r="AB569" s="7">
        <v>1930839</v>
      </c>
      <c r="AC569" s="7">
        <v>1825839</v>
      </c>
      <c r="AD569" s="7">
        <v>550000</v>
      </c>
      <c r="AE569" s="7">
        <v>550000</v>
      </c>
      <c r="AF569" s="7">
        <v>1552299</v>
      </c>
      <c r="AG569" s="7">
        <v>1090000</v>
      </c>
      <c r="AH569" s="8">
        <v>5.84</v>
      </c>
      <c r="AI569" s="8">
        <v>3.98</v>
      </c>
    </row>
    <row r="570" spans="1:35" x14ac:dyDescent="0.25">
      <c r="A570" s="6" t="str">
        <f>"131602"</f>
        <v>131602</v>
      </c>
      <c r="B570" s="6" t="s">
        <v>605</v>
      </c>
      <c r="C570" s="7">
        <v>44390592</v>
      </c>
      <c r="D570" s="7">
        <v>45215920</v>
      </c>
      <c r="E570" s="8">
        <v>1.86</v>
      </c>
      <c r="F570" s="7">
        <v>28515111</v>
      </c>
      <c r="G570" s="7">
        <v>28930648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28515111</v>
      </c>
      <c r="O570" s="7">
        <v>28930648</v>
      </c>
      <c r="P570" s="8">
        <v>1.46</v>
      </c>
      <c r="Q570" s="7">
        <v>469882</v>
      </c>
      <c r="R570" s="7">
        <v>490401</v>
      </c>
      <c r="S570" s="7">
        <v>28051229</v>
      </c>
      <c r="T570" s="7">
        <v>28453012</v>
      </c>
      <c r="U570" s="7">
        <v>28045229</v>
      </c>
      <c r="V570" s="7">
        <v>28440247</v>
      </c>
      <c r="W570" s="7">
        <v>6000</v>
      </c>
      <c r="X570" s="7">
        <v>12765</v>
      </c>
      <c r="Y570" s="7">
        <v>1482</v>
      </c>
      <c r="Z570" s="7">
        <v>1456</v>
      </c>
      <c r="AA570" s="8">
        <v>-1.75</v>
      </c>
      <c r="AB570" s="7">
        <v>7100000</v>
      </c>
      <c r="AC570" s="7">
        <v>6950000</v>
      </c>
      <c r="AD570" s="7">
        <v>259174</v>
      </c>
      <c r="AE570" s="7">
        <v>1912000</v>
      </c>
      <c r="AF570" s="7">
        <v>1775624</v>
      </c>
      <c r="AG570" s="7">
        <v>1808637</v>
      </c>
      <c r="AH570" s="8">
        <v>4</v>
      </c>
      <c r="AI570" s="8">
        <v>4</v>
      </c>
    </row>
    <row r="571" spans="1:35" x14ac:dyDescent="0.25">
      <c r="A571" s="6" t="str">
        <f>"261001"</f>
        <v>261001</v>
      </c>
      <c r="B571" s="6" t="s">
        <v>606</v>
      </c>
      <c r="C571" s="7">
        <v>77130717</v>
      </c>
      <c r="D571" s="7">
        <v>79032905</v>
      </c>
      <c r="E571" s="8">
        <v>2.4700000000000002</v>
      </c>
      <c r="F571" s="7">
        <v>35605560</v>
      </c>
      <c r="G571" s="7">
        <v>36310634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35605560</v>
      </c>
      <c r="O571" s="7">
        <v>36310634</v>
      </c>
      <c r="P571" s="8">
        <v>1.98</v>
      </c>
      <c r="Q571" s="7">
        <v>130959</v>
      </c>
      <c r="R571" s="7">
        <v>191323</v>
      </c>
      <c r="S571" s="7">
        <v>35562193</v>
      </c>
      <c r="T571" s="7">
        <v>36143327</v>
      </c>
      <c r="U571" s="7">
        <v>35474601</v>
      </c>
      <c r="V571" s="7">
        <v>36119311</v>
      </c>
      <c r="W571" s="7">
        <v>87592</v>
      </c>
      <c r="X571" s="7">
        <v>24016</v>
      </c>
      <c r="Y571" s="7">
        <v>3601</v>
      </c>
      <c r="Z571" s="7">
        <v>3589</v>
      </c>
      <c r="AA571" s="8">
        <v>-0.33</v>
      </c>
      <c r="AB571" s="7">
        <v>15743203</v>
      </c>
      <c r="AC571" s="7">
        <v>12489875</v>
      </c>
      <c r="AD571" s="7">
        <v>157125</v>
      </c>
      <c r="AE571" s="7">
        <v>150000</v>
      </c>
      <c r="AF571" s="7">
        <v>3085230</v>
      </c>
      <c r="AG571" s="7">
        <v>3161316</v>
      </c>
      <c r="AH571" s="8">
        <v>4</v>
      </c>
      <c r="AI571" s="8">
        <v>4</v>
      </c>
    </row>
    <row r="572" spans="1:35" x14ac:dyDescent="0.25">
      <c r="A572" s="6" t="str">
        <f>"600801"</f>
        <v>600801</v>
      </c>
      <c r="B572" s="6" t="s">
        <v>607</v>
      </c>
      <c r="C572" s="7">
        <v>21730689</v>
      </c>
      <c r="D572" s="7">
        <v>22552424</v>
      </c>
      <c r="E572" s="8">
        <v>3.78</v>
      </c>
      <c r="F572" s="7">
        <v>6591309</v>
      </c>
      <c r="G572" s="7">
        <v>6644446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6591309</v>
      </c>
      <c r="O572" s="7">
        <v>6644446</v>
      </c>
      <c r="P572" s="8">
        <v>0.81</v>
      </c>
      <c r="Q572" s="7">
        <v>67647</v>
      </c>
      <c r="R572" s="7">
        <v>0</v>
      </c>
      <c r="S572" s="7">
        <v>6523662</v>
      </c>
      <c r="T572" s="7">
        <v>6644446</v>
      </c>
      <c r="U572" s="7">
        <v>6523662</v>
      </c>
      <c r="V572" s="7">
        <v>6644446</v>
      </c>
      <c r="W572" s="7">
        <v>0</v>
      </c>
      <c r="X572" s="7">
        <v>0</v>
      </c>
      <c r="Y572" s="7">
        <v>893</v>
      </c>
      <c r="Z572" s="7">
        <v>903</v>
      </c>
      <c r="AA572" s="8">
        <v>1.1200000000000001</v>
      </c>
      <c r="AB572" s="7">
        <v>2752711</v>
      </c>
      <c r="AC572" s="7">
        <v>2362680</v>
      </c>
      <c r="AD572" s="7">
        <v>315844</v>
      </c>
      <c r="AE572" s="7">
        <v>243440</v>
      </c>
      <c r="AF572" s="7">
        <v>1017876</v>
      </c>
      <c r="AG572" s="7">
        <v>902096</v>
      </c>
      <c r="AH572" s="8">
        <v>4.68</v>
      </c>
      <c r="AI572" s="8">
        <v>4</v>
      </c>
    </row>
    <row r="573" spans="1:35" x14ac:dyDescent="0.25">
      <c r="A573" s="6" t="str">
        <f>"580304"</f>
        <v>580304</v>
      </c>
      <c r="B573" s="6" t="s">
        <v>608</v>
      </c>
      <c r="C573" s="7">
        <v>27630067</v>
      </c>
      <c r="D573" s="7">
        <v>28113085</v>
      </c>
      <c r="E573" s="8">
        <v>1.75</v>
      </c>
      <c r="F573" s="7">
        <v>24485698</v>
      </c>
      <c r="G573" s="7">
        <v>25012770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24485698</v>
      </c>
      <c r="O573" s="7">
        <v>25012770</v>
      </c>
      <c r="P573" s="8">
        <v>2.15</v>
      </c>
      <c r="Q573" s="7">
        <v>177513</v>
      </c>
      <c r="R573" s="7">
        <v>199045</v>
      </c>
      <c r="S573" s="7">
        <v>24308257</v>
      </c>
      <c r="T573" s="7">
        <v>24834483</v>
      </c>
      <c r="U573" s="7">
        <v>24308185</v>
      </c>
      <c r="V573" s="7">
        <v>24813725</v>
      </c>
      <c r="W573" s="7">
        <v>72</v>
      </c>
      <c r="X573" s="7">
        <v>20758</v>
      </c>
      <c r="Y573" s="7">
        <v>1103</v>
      </c>
      <c r="Z573" s="7">
        <v>1136</v>
      </c>
      <c r="AA573" s="8">
        <v>2.99</v>
      </c>
      <c r="AB573" s="7">
        <v>7354850</v>
      </c>
      <c r="AC573" s="7">
        <v>7297100</v>
      </c>
      <c r="AD573" s="7">
        <v>1070022</v>
      </c>
      <c r="AE573" s="7">
        <v>870022</v>
      </c>
      <c r="AF573" s="7">
        <v>1105203</v>
      </c>
      <c r="AG573" s="7">
        <v>1124500</v>
      </c>
      <c r="AH573" s="8">
        <v>4</v>
      </c>
      <c r="AI573" s="8">
        <v>4</v>
      </c>
    </row>
    <row r="574" spans="1:35" x14ac:dyDescent="0.25">
      <c r="A574" s="6" t="str">
        <f>"141101"</f>
        <v>141101</v>
      </c>
      <c r="B574" s="6" t="s">
        <v>609</v>
      </c>
      <c r="C574" s="7">
        <v>37723340</v>
      </c>
      <c r="D574" s="7">
        <v>36841911</v>
      </c>
      <c r="E574" s="8">
        <v>-2.34</v>
      </c>
      <c r="F574" s="7">
        <v>15500961</v>
      </c>
      <c r="G574" s="7">
        <v>15894853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15500961</v>
      </c>
      <c r="O574" s="7">
        <v>15894853</v>
      </c>
      <c r="P574" s="8">
        <v>2.54</v>
      </c>
      <c r="Q574" s="7">
        <v>604997</v>
      </c>
      <c r="R574" s="7">
        <v>718013</v>
      </c>
      <c r="S574" s="7">
        <v>14895964</v>
      </c>
      <c r="T574" s="7">
        <v>15176840</v>
      </c>
      <c r="U574" s="7">
        <v>14895964</v>
      </c>
      <c r="V574" s="7">
        <v>15176840</v>
      </c>
      <c r="W574" s="7">
        <v>0</v>
      </c>
      <c r="X574" s="7">
        <v>0</v>
      </c>
      <c r="Y574" s="7">
        <v>1738</v>
      </c>
      <c r="Z574" s="7">
        <v>1777</v>
      </c>
      <c r="AA574" s="8">
        <v>2.2400000000000002</v>
      </c>
      <c r="AB574" s="7">
        <v>3539565</v>
      </c>
      <c r="AC574" s="7">
        <v>3095951</v>
      </c>
      <c r="AD574" s="7">
        <v>350000</v>
      </c>
      <c r="AE574" s="7">
        <v>850000</v>
      </c>
      <c r="AF574" s="7">
        <v>1697550</v>
      </c>
      <c r="AG574" s="7">
        <v>1473676</v>
      </c>
      <c r="AH574" s="8">
        <v>4.5</v>
      </c>
      <c r="AI574" s="8">
        <v>4</v>
      </c>
    </row>
    <row r="575" spans="1:35" x14ac:dyDescent="0.25">
      <c r="A575" s="6" t="str">
        <f>"161801"</f>
        <v>161801</v>
      </c>
      <c r="B575" s="6" t="s">
        <v>610</v>
      </c>
      <c r="C575" s="7">
        <v>8249053</v>
      </c>
      <c r="D575" s="7">
        <v>8179134</v>
      </c>
      <c r="E575" s="8">
        <v>-0.85</v>
      </c>
      <c r="F575" s="7">
        <v>2704763</v>
      </c>
      <c r="G575" s="7">
        <v>2748404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2704763</v>
      </c>
      <c r="O575" s="7">
        <v>2748404</v>
      </c>
      <c r="P575" s="8">
        <v>1.61</v>
      </c>
      <c r="Q575" s="7">
        <v>0</v>
      </c>
      <c r="R575" s="7">
        <v>0</v>
      </c>
      <c r="S575" s="7">
        <v>2704763</v>
      </c>
      <c r="T575" s="7">
        <v>2751333</v>
      </c>
      <c r="U575" s="7">
        <v>2704763</v>
      </c>
      <c r="V575" s="7">
        <v>2748404</v>
      </c>
      <c r="W575" s="7">
        <v>0</v>
      </c>
      <c r="X575" s="7">
        <v>2929</v>
      </c>
      <c r="Y575" s="7">
        <v>268</v>
      </c>
      <c r="Z575" s="7">
        <v>272</v>
      </c>
      <c r="AA575" s="8">
        <v>1.49</v>
      </c>
      <c r="AB575" s="7">
        <v>252453</v>
      </c>
      <c r="AC575" s="7">
        <v>2435523</v>
      </c>
      <c r="AD575" s="7">
        <v>1279193</v>
      </c>
      <c r="AE575" s="7">
        <v>185295</v>
      </c>
      <c r="AF575" s="7">
        <v>1551655</v>
      </c>
      <c r="AG575" s="7">
        <v>746100</v>
      </c>
      <c r="AH575" s="8">
        <v>18.809999999999999</v>
      </c>
      <c r="AI575" s="8">
        <v>9.1199999999999992</v>
      </c>
    </row>
    <row r="576" spans="1:35" x14ac:dyDescent="0.25">
      <c r="A576" s="6" t="str">
        <f>"121701"</f>
        <v>121701</v>
      </c>
      <c r="B576" s="6" t="s">
        <v>611</v>
      </c>
      <c r="C576" s="7">
        <v>9424168</v>
      </c>
      <c r="D576" s="7">
        <v>9367985</v>
      </c>
      <c r="E576" s="8">
        <v>-0.6</v>
      </c>
      <c r="F576" s="7">
        <v>3457494</v>
      </c>
      <c r="G576" s="7">
        <v>3509287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3457494</v>
      </c>
      <c r="O576" s="7">
        <v>3509287</v>
      </c>
      <c r="P576" s="8">
        <v>1.5</v>
      </c>
      <c r="Q576" s="7">
        <v>0</v>
      </c>
      <c r="R576" s="7">
        <v>0</v>
      </c>
      <c r="S576" s="7">
        <v>3457494</v>
      </c>
      <c r="T576" s="7">
        <v>3509423</v>
      </c>
      <c r="U576" s="7">
        <v>3457494</v>
      </c>
      <c r="V576" s="7">
        <v>3509287</v>
      </c>
      <c r="W576" s="7">
        <v>0</v>
      </c>
      <c r="X576" s="7">
        <v>136</v>
      </c>
      <c r="Y576" s="7">
        <v>308</v>
      </c>
      <c r="Z576" s="7">
        <v>308</v>
      </c>
      <c r="AA576" s="8">
        <v>0</v>
      </c>
      <c r="AB576" s="7">
        <v>3965621</v>
      </c>
      <c r="AC576" s="7">
        <v>4383441</v>
      </c>
      <c r="AD576" s="7">
        <v>484095</v>
      </c>
      <c r="AE576" s="7">
        <v>333618</v>
      </c>
      <c r="AF576" s="7">
        <v>376900</v>
      </c>
      <c r="AG576" s="7">
        <v>374719</v>
      </c>
      <c r="AH576" s="8">
        <v>4</v>
      </c>
      <c r="AI576" s="8">
        <v>4</v>
      </c>
    </row>
    <row r="577" spans="1:35" x14ac:dyDescent="0.25">
      <c r="A577" s="6" t="str">
        <f>"401001"</f>
        <v>401001</v>
      </c>
      <c r="B577" s="6" t="s">
        <v>612</v>
      </c>
      <c r="C577" s="7">
        <v>50650164</v>
      </c>
      <c r="D577" s="7">
        <v>53948983</v>
      </c>
      <c r="E577" s="8">
        <v>6.51</v>
      </c>
      <c r="F577" s="7">
        <v>27738250</v>
      </c>
      <c r="G577" s="7">
        <v>28319504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27738250</v>
      </c>
      <c r="O577" s="7">
        <v>28319504</v>
      </c>
      <c r="P577" s="8">
        <v>2.1</v>
      </c>
      <c r="Q577" s="7">
        <v>441481</v>
      </c>
      <c r="R577" s="7">
        <v>473141</v>
      </c>
      <c r="S577" s="7">
        <v>27763809</v>
      </c>
      <c r="T577" s="7">
        <v>28052077</v>
      </c>
      <c r="U577" s="7">
        <v>27296769</v>
      </c>
      <c r="V577" s="7">
        <v>27846363</v>
      </c>
      <c r="W577" s="7">
        <v>467040</v>
      </c>
      <c r="X577" s="7">
        <v>205714</v>
      </c>
      <c r="Y577" s="7">
        <v>2669</v>
      </c>
      <c r="Z577" s="7">
        <v>2699</v>
      </c>
      <c r="AA577" s="8">
        <v>1.1200000000000001</v>
      </c>
      <c r="AB577" s="7">
        <v>9415763</v>
      </c>
      <c r="AC577" s="7">
        <v>9421909</v>
      </c>
      <c r="AD577" s="7">
        <v>1900000</v>
      </c>
      <c r="AE577" s="7">
        <v>2800000</v>
      </c>
      <c r="AF577" s="7">
        <v>2025893</v>
      </c>
      <c r="AG577" s="7">
        <v>2077870</v>
      </c>
      <c r="AH577" s="8">
        <v>4</v>
      </c>
      <c r="AI577" s="8">
        <v>3.85</v>
      </c>
    </row>
    <row r="578" spans="1:35" x14ac:dyDescent="0.25">
      <c r="A578" s="6" t="str">
        <f>"522001"</f>
        <v>522001</v>
      </c>
      <c r="B578" s="6" t="s">
        <v>613</v>
      </c>
      <c r="C578" s="7">
        <v>23989459</v>
      </c>
      <c r="D578" s="7">
        <v>24529950</v>
      </c>
      <c r="E578" s="8">
        <v>2.25</v>
      </c>
      <c r="F578" s="7">
        <v>9798828</v>
      </c>
      <c r="G578" s="7">
        <v>10313266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9798828</v>
      </c>
      <c r="O578" s="7">
        <v>10313266</v>
      </c>
      <c r="P578" s="8">
        <v>5.25</v>
      </c>
      <c r="Q578" s="7">
        <v>445770</v>
      </c>
      <c r="R578" s="7">
        <v>485213</v>
      </c>
      <c r="S578" s="7">
        <v>9441997</v>
      </c>
      <c r="T578" s="7">
        <v>10026575</v>
      </c>
      <c r="U578" s="7">
        <v>9353058</v>
      </c>
      <c r="V578" s="7">
        <v>9828053</v>
      </c>
      <c r="W578" s="7">
        <v>88939</v>
      </c>
      <c r="X578" s="7">
        <v>198522</v>
      </c>
      <c r="Y578" s="7">
        <v>1050</v>
      </c>
      <c r="Z578" s="7">
        <v>1050</v>
      </c>
      <c r="AA578" s="8">
        <v>0</v>
      </c>
      <c r="AB578" s="7">
        <v>2945628</v>
      </c>
      <c r="AC578" s="7">
        <v>3445628</v>
      </c>
      <c r="AD578" s="7">
        <v>1095118</v>
      </c>
      <c r="AE578" s="7">
        <v>750000</v>
      </c>
      <c r="AF578" s="7">
        <v>1058746</v>
      </c>
      <c r="AG578" s="7">
        <v>981198</v>
      </c>
      <c r="AH578" s="8">
        <v>4.41</v>
      </c>
      <c r="AI578" s="8">
        <v>4</v>
      </c>
    </row>
    <row r="579" spans="1:35" x14ac:dyDescent="0.25">
      <c r="A579" s="6" t="str">
        <f>"251501"</f>
        <v>251501</v>
      </c>
      <c r="B579" s="6" t="s">
        <v>614</v>
      </c>
      <c r="C579" s="7">
        <v>10209192</v>
      </c>
      <c r="D579" s="7">
        <v>10252068</v>
      </c>
      <c r="E579" s="8">
        <v>0.42</v>
      </c>
      <c r="F579" s="7">
        <v>2206388</v>
      </c>
      <c r="G579" s="7">
        <v>2239875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2206388</v>
      </c>
      <c r="O579" s="7">
        <v>2239875</v>
      </c>
      <c r="P579" s="8">
        <v>1.52</v>
      </c>
      <c r="Q579" s="7">
        <v>0</v>
      </c>
      <c r="R579" s="7">
        <v>0</v>
      </c>
      <c r="S579" s="7">
        <v>2206388</v>
      </c>
      <c r="T579" s="7">
        <v>2239913</v>
      </c>
      <c r="U579" s="7">
        <v>2206388</v>
      </c>
      <c r="V579" s="7">
        <v>2239875</v>
      </c>
      <c r="W579" s="7">
        <v>0</v>
      </c>
      <c r="X579" s="7">
        <v>38</v>
      </c>
      <c r="Y579" s="7">
        <v>490</v>
      </c>
      <c r="Z579" s="7">
        <v>475</v>
      </c>
      <c r="AA579" s="8">
        <v>-3.06</v>
      </c>
      <c r="AB579" s="7">
        <v>2382452</v>
      </c>
      <c r="AC579" s="7">
        <v>2178027</v>
      </c>
      <c r="AD579" s="7">
        <v>540000</v>
      </c>
      <c r="AE579" s="7">
        <v>535000</v>
      </c>
      <c r="AF579" s="7">
        <v>400546</v>
      </c>
      <c r="AG579" s="7">
        <v>410083</v>
      </c>
      <c r="AH579" s="8">
        <v>3.92</v>
      </c>
      <c r="AI579" s="8">
        <v>4</v>
      </c>
    </row>
    <row r="580" spans="1:35" x14ac:dyDescent="0.25">
      <c r="A580" s="6" t="str">
        <f>"591502"</f>
        <v>591502</v>
      </c>
      <c r="B580" s="6" t="s">
        <v>615</v>
      </c>
      <c r="C580" s="7">
        <v>36350468</v>
      </c>
      <c r="D580" s="7">
        <v>36924793</v>
      </c>
      <c r="E580" s="8">
        <v>1.58</v>
      </c>
      <c r="F580" s="7">
        <v>16908287</v>
      </c>
      <c r="G580" s="7">
        <v>17244762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16908287</v>
      </c>
      <c r="O580" s="7">
        <v>17244762</v>
      </c>
      <c r="P580" s="8">
        <v>1.99</v>
      </c>
      <c r="Q580" s="7">
        <v>472566</v>
      </c>
      <c r="R580" s="7">
        <v>690827</v>
      </c>
      <c r="S580" s="7">
        <v>16435721</v>
      </c>
      <c r="T580" s="7">
        <v>16553935</v>
      </c>
      <c r="U580" s="7">
        <v>16435721</v>
      </c>
      <c r="V580" s="7">
        <v>16553935</v>
      </c>
      <c r="W580" s="7">
        <v>0</v>
      </c>
      <c r="X580" s="7">
        <v>0</v>
      </c>
      <c r="Y580" s="7">
        <v>1007</v>
      </c>
      <c r="Z580" s="7">
        <v>1008</v>
      </c>
      <c r="AA580" s="8">
        <v>0.1</v>
      </c>
      <c r="AB580" s="7">
        <v>9344949</v>
      </c>
      <c r="AC580" s="7">
        <v>9500000</v>
      </c>
      <c r="AD580" s="7">
        <v>2407885</v>
      </c>
      <c r="AE580" s="7">
        <v>2407000</v>
      </c>
      <c r="AF580" s="7">
        <v>1453765</v>
      </c>
      <c r="AG580" s="7">
        <v>1476992</v>
      </c>
      <c r="AH580" s="8">
        <v>4</v>
      </c>
      <c r="AI580" s="8">
        <v>4</v>
      </c>
    </row>
    <row r="581" spans="1:35" x14ac:dyDescent="0.25">
      <c r="A581" s="6" t="str">
        <f>"030601"</f>
        <v>030601</v>
      </c>
      <c r="B581" s="6" t="s">
        <v>616</v>
      </c>
      <c r="C581" s="7">
        <v>37281079</v>
      </c>
      <c r="D581" s="7">
        <v>38584919</v>
      </c>
      <c r="E581" s="8">
        <v>3.5</v>
      </c>
      <c r="F581" s="7">
        <v>16262294</v>
      </c>
      <c r="G581" s="7">
        <v>16499583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16262294</v>
      </c>
      <c r="O581" s="7">
        <v>16499583</v>
      </c>
      <c r="P581" s="8">
        <v>1.46</v>
      </c>
      <c r="Q581" s="7">
        <v>524088</v>
      </c>
      <c r="R581" s="7">
        <v>461853</v>
      </c>
      <c r="S581" s="7">
        <v>15738206</v>
      </c>
      <c r="T581" s="7">
        <v>16037730</v>
      </c>
      <c r="U581" s="7">
        <v>15738206</v>
      </c>
      <c r="V581" s="7">
        <v>16037730</v>
      </c>
      <c r="W581" s="7">
        <v>0</v>
      </c>
      <c r="X581" s="7">
        <v>0</v>
      </c>
      <c r="Y581" s="7">
        <v>1517</v>
      </c>
      <c r="Z581" s="7">
        <v>1517</v>
      </c>
      <c r="AA581" s="8">
        <v>0</v>
      </c>
      <c r="AB581" s="7">
        <v>5424324</v>
      </c>
      <c r="AC581" s="7">
        <v>3498657</v>
      </c>
      <c r="AD581" s="7">
        <v>500000</v>
      </c>
      <c r="AE581" s="7">
        <v>800000</v>
      </c>
      <c r="AF581" s="7">
        <v>1366205</v>
      </c>
      <c r="AG581" s="7">
        <v>1430144</v>
      </c>
      <c r="AH581" s="8">
        <v>3.66</v>
      </c>
      <c r="AI581" s="8">
        <v>3.71</v>
      </c>
    </row>
    <row r="582" spans="1:35" x14ac:dyDescent="0.25">
      <c r="A582" s="6" t="str">
        <f>"140207"</f>
        <v>140207</v>
      </c>
      <c r="B582" s="6" t="s">
        <v>617</v>
      </c>
      <c r="C582" s="7">
        <v>75885288</v>
      </c>
      <c r="D582" s="7">
        <v>77117599</v>
      </c>
      <c r="E582" s="8">
        <v>1.62</v>
      </c>
      <c r="F582" s="7">
        <v>44033641</v>
      </c>
      <c r="G582" s="7">
        <v>45433699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44033641</v>
      </c>
      <c r="O582" s="7">
        <v>45433699</v>
      </c>
      <c r="P582" s="8">
        <v>3.18</v>
      </c>
      <c r="Q582" s="7">
        <v>2069468</v>
      </c>
      <c r="R582" s="7">
        <v>2090325</v>
      </c>
      <c r="S582" s="7">
        <v>41964173</v>
      </c>
      <c r="T582" s="7">
        <v>43343374</v>
      </c>
      <c r="U582" s="7">
        <v>41964173</v>
      </c>
      <c r="V582" s="7">
        <v>43343374</v>
      </c>
      <c r="W582" s="7">
        <v>0</v>
      </c>
      <c r="X582" s="7">
        <v>0</v>
      </c>
      <c r="Y582" s="7">
        <v>3272</v>
      </c>
      <c r="Z582" s="7">
        <v>3274</v>
      </c>
      <c r="AA582" s="8">
        <v>0.06</v>
      </c>
      <c r="AB582" s="7">
        <v>9252829</v>
      </c>
      <c r="AC582" s="7">
        <v>9700000</v>
      </c>
      <c r="AD582" s="7">
        <v>2420000</v>
      </c>
      <c r="AE582" s="7">
        <v>2420000</v>
      </c>
      <c r="AF582" s="7">
        <v>3017060</v>
      </c>
      <c r="AG582" s="7">
        <v>3075000</v>
      </c>
      <c r="AH582" s="8">
        <v>3.98</v>
      </c>
      <c r="AI582" s="8">
        <v>3.99</v>
      </c>
    </row>
    <row r="583" spans="1:35" x14ac:dyDescent="0.25">
      <c r="A583" s="6" t="str">
        <f>"280502"</f>
        <v>280502</v>
      </c>
      <c r="B583" s="6" t="s">
        <v>618</v>
      </c>
      <c r="C583" s="7">
        <v>219860188</v>
      </c>
      <c r="D583" s="7">
        <v>223702174</v>
      </c>
      <c r="E583" s="8">
        <v>1.75</v>
      </c>
      <c r="F583" s="7">
        <v>187650187</v>
      </c>
      <c r="G583" s="7">
        <v>191622402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187650187</v>
      </c>
      <c r="O583" s="7">
        <v>191622402</v>
      </c>
      <c r="P583" s="8">
        <v>2.12</v>
      </c>
      <c r="Q583" s="7">
        <v>2731879</v>
      </c>
      <c r="R583" s="7">
        <v>2146655</v>
      </c>
      <c r="S583" s="7">
        <v>185222679</v>
      </c>
      <c r="T583" s="7">
        <v>189712517</v>
      </c>
      <c r="U583" s="7">
        <v>184918308</v>
      </c>
      <c r="V583" s="7">
        <v>189475747</v>
      </c>
      <c r="W583" s="7">
        <v>304371</v>
      </c>
      <c r="X583" s="7">
        <v>236770</v>
      </c>
      <c r="Y583" s="7">
        <v>6276</v>
      </c>
      <c r="Z583" s="7">
        <v>6409</v>
      </c>
      <c r="AA583" s="8">
        <v>2.12</v>
      </c>
      <c r="AB583" s="7">
        <v>43354705</v>
      </c>
      <c r="AC583" s="7">
        <v>45000000</v>
      </c>
      <c r="AD583" s="7">
        <v>5015000</v>
      </c>
      <c r="AE583" s="7">
        <v>3742577</v>
      </c>
      <c r="AF583" s="7">
        <v>8765467</v>
      </c>
      <c r="AG583" s="7">
        <v>8948087</v>
      </c>
      <c r="AH583" s="8">
        <v>3.99</v>
      </c>
      <c r="AI583" s="8">
        <v>4</v>
      </c>
    </row>
    <row r="584" spans="1:35" x14ac:dyDescent="0.25">
      <c r="A584" s="6" t="str">
        <f>"100501"</f>
        <v>100501</v>
      </c>
      <c r="B584" s="6" t="s">
        <v>619</v>
      </c>
      <c r="C584" s="7">
        <v>37151596</v>
      </c>
      <c r="D584" s="7">
        <v>37453541</v>
      </c>
      <c r="E584" s="8">
        <v>0.81</v>
      </c>
      <c r="F584" s="7">
        <v>22929600</v>
      </c>
      <c r="G584" s="7">
        <v>23250614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22929600</v>
      </c>
      <c r="O584" s="7">
        <v>23250614</v>
      </c>
      <c r="P584" s="8">
        <v>1.4</v>
      </c>
      <c r="Q584" s="7">
        <v>0</v>
      </c>
      <c r="R584" s="7">
        <v>0</v>
      </c>
      <c r="S584" s="7">
        <v>22929600</v>
      </c>
      <c r="T584" s="7">
        <v>23250614</v>
      </c>
      <c r="U584" s="7">
        <v>22929600</v>
      </c>
      <c r="V584" s="7">
        <v>23250614</v>
      </c>
      <c r="W584" s="7">
        <v>0</v>
      </c>
      <c r="X584" s="7">
        <v>0</v>
      </c>
      <c r="Y584" s="7">
        <v>1380</v>
      </c>
      <c r="Z584" s="7">
        <v>1383</v>
      </c>
      <c r="AA584" s="8">
        <v>0.22</v>
      </c>
      <c r="AB584" s="7">
        <v>6618613</v>
      </c>
      <c r="AC584" s="7">
        <v>6521769</v>
      </c>
      <c r="AD584" s="7">
        <v>1485714</v>
      </c>
      <c r="AE584" s="7">
        <v>702116</v>
      </c>
      <c r="AF584" s="7">
        <v>7965475</v>
      </c>
      <c r="AG584" s="7">
        <v>5965785</v>
      </c>
      <c r="AH584" s="8">
        <v>21.44</v>
      </c>
      <c r="AI584" s="8">
        <v>15.93</v>
      </c>
    </row>
    <row r="585" spans="1:35" x14ac:dyDescent="0.25">
      <c r="A585" s="6" t="str">
        <f>"220701"</f>
        <v>220701</v>
      </c>
      <c r="B585" s="6" t="s">
        <v>620</v>
      </c>
      <c r="C585" s="7">
        <v>22953594</v>
      </c>
      <c r="D585" s="7">
        <v>23037360</v>
      </c>
      <c r="E585" s="8">
        <v>0.36</v>
      </c>
      <c r="F585" s="7">
        <v>11657365</v>
      </c>
      <c r="G585" s="7">
        <v>11822499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11657365</v>
      </c>
      <c r="O585" s="7">
        <v>11822499</v>
      </c>
      <c r="P585" s="8">
        <v>1.42</v>
      </c>
      <c r="Q585" s="7">
        <v>729667</v>
      </c>
      <c r="R585" s="7">
        <v>755000</v>
      </c>
      <c r="S585" s="7">
        <v>11394967</v>
      </c>
      <c r="T585" s="7">
        <v>11158974</v>
      </c>
      <c r="U585" s="7">
        <v>10927698</v>
      </c>
      <c r="V585" s="7">
        <v>11067499</v>
      </c>
      <c r="W585" s="7">
        <v>467269</v>
      </c>
      <c r="X585" s="7">
        <v>91475</v>
      </c>
      <c r="Y585" s="7">
        <v>951</v>
      </c>
      <c r="Z585" s="7">
        <v>936</v>
      </c>
      <c r="AA585" s="8">
        <v>-1.58</v>
      </c>
      <c r="AB585" s="7">
        <v>5561596</v>
      </c>
      <c r="AC585" s="7">
        <v>2367269</v>
      </c>
      <c r="AD585" s="7">
        <v>1181356</v>
      </c>
      <c r="AE585" s="7">
        <v>1181356</v>
      </c>
      <c r="AF585" s="7">
        <v>857881</v>
      </c>
      <c r="AG585" s="7">
        <v>917960</v>
      </c>
      <c r="AH585" s="8">
        <v>3.74</v>
      </c>
      <c r="AI585" s="8">
        <v>3.98</v>
      </c>
    </row>
    <row r="586" spans="1:35" x14ac:dyDescent="0.25">
      <c r="A586" s="6" t="str">
        <f>"580201"</f>
        <v>580201</v>
      </c>
      <c r="B586" s="6" t="s">
        <v>621</v>
      </c>
      <c r="C586" s="7">
        <v>198779935</v>
      </c>
      <c r="D586" s="7">
        <v>204444527</v>
      </c>
      <c r="E586" s="8">
        <v>2.85</v>
      </c>
      <c r="F586" s="7">
        <v>146831010</v>
      </c>
      <c r="G586" s="7">
        <v>151992599</v>
      </c>
      <c r="H586" s="7">
        <v>0</v>
      </c>
      <c r="I586" s="7">
        <v>0</v>
      </c>
      <c r="J586" s="7">
        <v>160000</v>
      </c>
      <c r="K586" s="7">
        <v>0</v>
      </c>
      <c r="L586" s="7">
        <v>0</v>
      </c>
      <c r="M586" s="7">
        <v>0</v>
      </c>
      <c r="N586" s="7">
        <v>146991010</v>
      </c>
      <c r="O586" s="7">
        <v>151992599</v>
      </c>
      <c r="P586" s="8">
        <v>3.4</v>
      </c>
      <c r="Q586" s="7">
        <v>5609353</v>
      </c>
      <c r="R586" s="7">
        <v>8521389</v>
      </c>
      <c r="S586" s="7">
        <v>141381657</v>
      </c>
      <c r="T586" s="7">
        <v>143471210</v>
      </c>
      <c r="U586" s="7">
        <v>141381657</v>
      </c>
      <c r="V586" s="7">
        <v>143471210</v>
      </c>
      <c r="W586" s="7">
        <v>0</v>
      </c>
      <c r="X586" s="7">
        <v>0</v>
      </c>
      <c r="Y586" s="7">
        <v>6480</v>
      </c>
      <c r="Z586" s="7">
        <v>6277</v>
      </c>
      <c r="AA586" s="8">
        <v>-3.13</v>
      </c>
      <c r="AB586" s="7">
        <v>19034274</v>
      </c>
      <c r="AC586" s="7">
        <v>20000000</v>
      </c>
      <c r="AD586" s="7">
        <v>1000000</v>
      </c>
      <c r="AE586" s="7">
        <v>1000000</v>
      </c>
      <c r="AF586" s="7">
        <v>7957598</v>
      </c>
      <c r="AG586" s="7">
        <v>8177000</v>
      </c>
      <c r="AH586" s="8">
        <v>4</v>
      </c>
      <c r="AI586" s="8">
        <v>4</v>
      </c>
    </row>
    <row r="587" spans="1:35" x14ac:dyDescent="0.25">
      <c r="A587" s="6" t="str">
        <f>"151501"</f>
        <v>151501</v>
      </c>
      <c r="B587" s="6" t="s">
        <v>622</v>
      </c>
      <c r="C587" s="7">
        <v>20114290</v>
      </c>
      <c r="D587" s="7">
        <v>20749999</v>
      </c>
      <c r="E587" s="8">
        <v>3.16</v>
      </c>
      <c r="F587" s="7">
        <v>11270068</v>
      </c>
      <c r="G587" s="7">
        <v>11350566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11270068</v>
      </c>
      <c r="O587" s="7">
        <v>11350566</v>
      </c>
      <c r="P587" s="8">
        <v>0.71</v>
      </c>
      <c r="Q587" s="7">
        <v>1577125</v>
      </c>
      <c r="R587" s="7">
        <v>1421244</v>
      </c>
      <c r="S587" s="7">
        <v>9692943</v>
      </c>
      <c r="T587" s="7">
        <v>9929322</v>
      </c>
      <c r="U587" s="7">
        <v>9692943</v>
      </c>
      <c r="V587" s="7">
        <v>9929322</v>
      </c>
      <c r="W587" s="7">
        <v>0</v>
      </c>
      <c r="X587" s="7">
        <v>0</v>
      </c>
      <c r="Y587" s="7">
        <v>808</v>
      </c>
      <c r="Z587" s="7">
        <v>811</v>
      </c>
      <c r="AA587" s="8">
        <v>0.37</v>
      </c>
      <c r="AB587" s="7">
        <v>10000</v>
      </c>
      <c r="AC587" s="7">
        <v>10000</v>
      </c>
      <c r="AD587" s="7">
        <v>471398</v>
      </c>
      <c r="AE587" s="7">
        <v>580180</v>
      </c>
      <c r="AF587" s="7">
        <v>1494843</v>
      </c>
      <c r="AG587" s="7">
        <v>1043725</v>
      </c>
      <c r="AH587" s="8">
        <v>7.43</v>
      </c>
      <c r="AI587" s="8">
        <v>5.03</v>
      </c>
    </row>
    <row r="588" spans="1:35" x14ac:dyDescent="0.25">
      <c r="A588" s="6" t="str">
        <f>"600903"</f>
        <v>600903</v>
      </c>
      <c r="B588" s="6" t="s">
        <v>623</v>
      </c>
      <c r="C588" s="7">
        <v>18186327</v>
      </c>
      <c r="D588" s="7">
        <v>18510864</v>
      </c>
      <c r="E588" s="8">
        <v>1.78</v>
      </c>
      <c r="F588" s="7">
        <v>3796335</v>
      </c>
      <c r="G588" s="7">
        <v>3802209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3796335</v>
      </c>
      <c r="O588" s="7">
        <v>3802209</v>
      </c>
      <c r="P588" s="8">
        <v>0.15</v>
      </c>
      <c r="Q588" s="7">
        <v>261271</v>
      </c>
      <c r="R588" s="7">
        <v>210777</v>
      </c>
      <c r="S588" s="7">
        <v>3535064</v>
      </c>
      <c r="T588" s="7">
        <v>3591432</v>
      </c>
      <c r="U588" s="7">
        <v>3535064</v>
      </c>
      <c r="V588" s="7">
        <v>3591432</v>
      </c>
      <c r="W588" s="7">
        <v>0</v>
      </c>
      <c r="X588" s="7">
        <v>0</v>
      </c>
      <c r="Y588" s="7">
        <v>1038</v>
      </c>
      <c r="Z588" s="7">
        <v>1019</v>
      </c>
      <c r="AA588" s="8">
        <v>-1.83</v>
      </c>
      <c r="AB588" s="7">
        <v>1650925</v>
      </c>
      <c r="AC588" s="7">
        <v>1419089</v>
      </c>
      <c r="AD588" s="7">
        <v>200000</v>
      </c>
      <c r="AE588" s="7">
        <v>500000</v>
      </c>
      <c r="AF588" s="7">
        <v>700607</v>
      </c>
      <c r="AG588" s="7">
        <v>740434</v>
      </c>
      <c r="AH588" s="8">
        <v>3.85</v>
      </c>
      <c r="AI588" s="8">
        <v>4</v>
      </c>
    </row>
    <row r="589" spans="1:35" x14ac:dyDescent="0.25">
      <c r="A589" s="6" t="str">
        <f>"142500"</f>
        <v>142500</v>
      </c>
      <c r="B589" s="6" t="s">
        <v>624</v>
      </c>
      <c r="C589" s="7">
        <v>31812474</v>
      </c>
      <c r="D589" s="7">
        <v>33686341</v>
      </c>
      <c r="E589" s="8">
        <v>5.89</v>
      </c>
      <c r="F589" s="7">
        <v>11449561</v>
      </c>
      <c r="G589" s="7">
        <v>11815947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11449561</v>
      </c>
      <c r="O589" s="7">
        <v>11815947</v>
      </c>
      <c r="P589" s="8">
        <v>3.2</v>
      </c>
      <c r="Q589" s="7">
        <v>181635</v>
      </c>
      <c r="R589" s="7">
        <v>397062</v>
      </c>
      <c r="S589" s="7">
        <v>11267926</v>
      </c>
      <c r="T589" s="7">
        <v>11420406</v>
      </c>
      <c r="U589" s="7">
        <v>11267926</v>
      </c>
      <c r="V589" s="7">
        <v>11418885</v>
      </c>
      <c r="W589" s="7">
        <v>0</v>
      </c>
      <c r="X589" s="7">
        <v>1521</v>
      </c>
      <c r="Y589" s="7">
        <v>1824</v>
      </c>
      <c r="Z589" s="7">
        <v>1836</v>
      </c>
      <c r="AA589" s="8">
        <v>0.66</v>
      </c>
      <c r="AB589" s="7">
        <v>1850000</v>
      </c>
      <c r="AC589" s="7">
        <v>3433064</v>
      </c>
      <c r="AD589" s="7">
        <v>1440644</v>
      </c>
      <c r="AE589" s="7">
        <v>1400000</v>
      </c>
      <c r="AF589" s="7">
        <v>1905189</v>
      </c>
      <c r="AG589" s="7">
        <v>1347454</v>
      </c>
      <c r="AH589" s="8">
        <v>5.99</v>
      </c>
      <c r="AI589" s="8">
        <v>4</v>
      </c>
    </row>
    <row r="590" spans="1:35" x14ac:dyDescent="0.25">
      <c r="A590" s="6" t="str">
        <f>"211901"</f>
        <v>211901</v>
      </c>
      <c r="B590" s="6" t="s">
        <v>625</v>
      </c>
      <c r="C590" s="7">
        <v>8769490</v>
      </c>
      <c r="D590" s="7">
        <v>8828260</v>
      </c>
      <c r="E590" s="8">
        <v>0.67</v>
      </c>
      <c r="F590" s="7">
        <v>5920000</v>
      </c>
      <c r="G590" s="7">
        <v>6019900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5920000</v>
      </c>
      <c r="O590" s="7">
        <v>6019900</v>
      </c>
      <c r="P590" s="8">
        <v>1.69</v>
      </c>
      <c r="Q590" s="7">
        <v>192586</v>
      </c>
      <c r="R590" s="7">
        <v>191554</v>
      </c>
      <c r="S590" s="7">
        <v>5729806</v>
      </c>
      <c r="T590" s="7">
        <v>5828353</v>
      </c>
      <c r="U590" s="7">
        <v>5727414</v>
      </c>
      <c r="V590" s="7">
        <v>5828346</v>
      </c>
      <c r="W590" s="7">
        <v>2392</v>
      </c>
      <c r="X590" s="7">
        <v>7</v>
      </c>
      <c r="Y590" s="7">
        <v>243</v>
      </c>
      <c r="Z590" s="7">
        <v>233</v>
      </c>
      <c r="AA590" s="8">
        <v>-4.12</v>
      </c>
      <c r="AB590" s="7">
        <v>1010932</v>
      </c>
      <c r="AC590" s="7">
        <v>1251342</v>
      </c>
      <c r="AD590" s="7">
        <v>1191404</v>
      </c>
      <c r="AE590" s="7">
        <v>1230453</v>
      </c>
      <c r="AF590" s="7">
        <v>904515</v>
      </c>
      <c r="AG590" s="7">
        <v>353122</v>
      </c>
      <c r="AH590" s="8">
        <v>10.31</v>
      </c>
      <c r="AI590" s="8">
        <v>4</v>
      </c>
    </row>
    <row r="591" spans="1:35" x14ac:dyDescent="0.25">
      <c r="A591" s="6" t="str">
        <f>"591201"</f>
        <v>591201</v>
      </c>
      <c r="B591" s="6" t="s">
        <v>626</v>
      </c>
      <c r="C591" s="7">
        <v>31894801</v>
      </c>
      <c r="D591" s="7">
        <v>32440026</v>
      </c>
      <c r="E591" s="8">
        <v>1.71</v>
      </c>
      <c r="F591" s="7">
        <v>20048608</v>
      </c>
      <c r="G591" s="7">
        <v>20332734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20048608</v>
      </c>
      <c r="O591" s="7">
        <v>20332734</v>
      </c>
      <c r="P591" s="8">
        <v>1.42</v>
      </c>
      <c r="Q591" s="7">
        <v>497803</v>
      </c>
      <c r="R591" s="7">
        <v>496887</v>
      </c>
      <c r="S591" s="7">
        <v>19550805</v>
      </c>
      <c r="T591" s="7">
        <v>19835847</v>
      </c>
      <c r="U591" s="7">
        <v>19550805</v>
      </c>
      <c r="V591" s="7">
        <v>19835847</v>
      </c>
      <c r="W591" s="7">
        <v>0</v>
      </c>
      <c r="X591" s="7">
        <v>0</v>
      </c>
      <c r="Y591" s="7">
        <v>1057</v>
      </c>
      <c r="Z591" s="7">
        <v>1047</v>
      </c>
      <c r="AA591" s="8">
        <v>-0.95</v>
      </c>
      <c r="AB591" s="7">
        <v>12700213</v>
      </c>
      <c r="AC591" s="7">
        <v>12713150</v>
      </c>
      <c r="AD591" s="7">
        <v>2115191</v>
      </c>
      <c r="AE591" s="7">
        <v>1903018</v>
      </c>
      <c r="AF591" s="7">
        <v>1212935</v>
      </c>
      <c r="AG591" s="7">
        <v>1292085</v>
      </c>
      <c r="AH591" s="8">
        <v>3.8</v>
      </c>
      <c r="AI591" s="8">
        <v>3.98</v>
      </c>
    </row>
    <row r="592" spans="1:35" x14ac:dyDescent="0.25">
      <c r="A592" s="6" t="str">
        <f>"491700"</f>
        <v>491700</v>
      </c>
      <c r="B592" s="6" t="s">
        <v>627</v>
      </c>
      <c r="C592" s="7">
        <v>112909509</v>
      </c>
      <c r="D592" s="7">
        <v>112018797</v>
      </c>
      <c r="E592" s="8">
        <v>-0.79</v>
      </c>
      <c r="F592" s="7">
        <v>36109217</v>
      </c>
      <c r="G592" s="7">
        <v>36273420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36109217</v>
      </c>
      <c r="O592" s="7">
        <v>36273420</v>
      </c>
      <c r="P592" s="8">
        <v>0.45</v>
      </c>
      <c r="Q592" s="7">
        <v>1035555</v>
      </c>
      <c r="R592" s="7">
        <v>1018015</v>
      </c>
      <c r="S592" s="7">
        <v>35120391</v>
      </c>
      <c r="T592" s="7">
        <v>35255405</v>
      </c>
      <c r="U592" s="7">
        <v>35073662</v>
      </c>
      <c r="V592" s="7">
        <v>35255405</v>
      </c>
      <c r="W592" s="7">
        <v>46729</v>
      </c>
      <c r="X592" s="7">
        <v>0</v>
      </c>
      <c r="Y592" s="7">
        <v>4666</v>
      </c>
      <c r="Z592" s="7">
        <v>4726</v>
      </c>
      <c r="AA592" s="8">
        <v>1.29</v>
      </c>
      <c r="AB592" s="7">
        <v>3866803</v>
      </c>
      <c r="AC592" s="7">
        <v>4757740</v>
      </c>
      <c r="AD592" s="7">
        <v>12425000</v>
      </c>
      <c r="AE592" s="7">
        <v>9250000</v>
      </c>
      <c r="AF592" s="7">
        <v>4516380</v>
      </c>
      <c r="AG592" s="7">
        <v>4480752</v>
      </c>
      <c r="AH592" s="8">
        <v>4</v>
      </c>
      <c r="AI592" s="8">
        <v>4</v>
      </c>
    </row>
    <row r="593" spans="1:35" x14ac:dyDescent="0.25">
      <c r="A593" s="6" t="str">
        <f>"611001"</f>
        <v>611001</v>
      </c>
      <c r="B593" s="6" t="s">
        <v>628</v>
      </c>
      <c r="C593" s="7">
        <v>24821750</v>
      </c>
      <c r="D593" s="7">
        <v>24808744</v>
      </c>
      <c r="E593" s="8">
        <v>-0.05</v>
      </c>
      <c r="F593" s="7">
        <v>10641188</v>
      </c>
      <c r="G593" s="7">
        <v>10808880</v>
      </c>
      <c r="H593" s="7">
        <v>110370</v>
      </c>
      <c r="I593" s="7">
        <v>114931</v>
      </c>
      <c r="J593" s="7">
        <v>0</v>
      </c>
      <c r="K593" s="7">
        <v>0</v>
      </c>
      <c r="L593" s="7">
        <v>0</v>
      </c>
      <c r="M593" s="7">
        <v>0</v>
      </c>
      <c r="N593" s="7">
        <v>10751558</v>
      </c>
      <c r="O593" s="7">
        <v>10923811</v>
      </c>
      <c r="P593" s="8">
        <v>1.6</v>
      </c>
      <c r="Q593" s="7">
        <v>0</v>
      </c>
      <c r="R593" s="7">
        <v>0</v>
      </c>
      <c r="S593" s="7">
        <v>10641188</v>
      </c>
      <c r="T593" s="7">
        <v>10908880</v>
      </c>
      <c r="U593" s="7">
        <v>10641188</v>
      </c>
      <c r="V593" s="7">
        <v>10808880</v>
      </c>
      <c r="W593" s="7">
        <v>0</v>
      </c>
      <c r="X593" s="7">
        <v>100000</v>
      </c>
      <c r="Y593" s="7">
        <v>1003</v>
      </c>
      <c r="Z593" s="7">
        <v>1037</v>
      </c>
      <c r="AA593" s="8">
        <v>3.39</v>
      </c>
      <c r="AB593" s="7">
        <v>798053</v>
      </c>
      <c r="AC593" s="7">
        <v>465638</v>
      </c>
      <c r="AD593" s="7">
        <v>344701</v>
      </c>
      <c r="AE593" s="7">
        <v>289723</v>
      </c>
      <c r="AF593" s="7">
        <v>1442937</v>
      </c>
      <c r="AG593" s="7">
        <v>1366219</v>
      </c>
      <c r="AH593" s="8">
        <v>5.81</v>
      </c>
      <c r="AI593" s="8">
        <v>5.51</v>
      </c>
    </row>
    <row r="594" spans="1:35" x14ac:dyDescent="0.25">
      <c r="A594" s="6" t="str">
        <f>"580913"</f>
        <v>580913</v>
      </c>
      <c r="B594" s="6" t="s">
        <v>629</v>
      </c>
      <c r="C594" s="7">
        <v>19161893</v>
      </c>
      <c r="D594" s="7">
        <v>20167600</v>
      </c>
      <c r="E594" s="8">
        <v>5.25</v>
      </c>
      <c r="F594" s="7">
        <v>17451407</v>
      </c>
      <c r="G594" s="7">
        <v>18197831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17451407</v>
      </c>
      <c r="O594" s="7">
        <v>18197831</v>
      </c>
      <c r="P594" s="8">
        <v>4.28</v>
      </c>
      <c r="Q594" s="7">
        <v>0</v>
      </c>
      <c r="R594" s="7">
        <v>0</v>
      </c>
      <c r="S594" s="7">
        <v>17451407</v>
      </c>
      <c r="T594" s="7">
        <v>18197831</v>
      </c>
      <c r="U594" s="7">
        <v>17451407</v>
      </c>
      <c r="V594" s="7">
        <v>18197831</v>
      </c>
      <c r="W594" s="7">
        <v>0</v>
      </c>
      <c r="X594" s="7">
        <v>0</v>
      </c>
      <c r="Y594" s="7">
        <v>566</v>
      </c>
      <c r="Z594" s="7">
        <v>549</v>
      </c>
      <c r="AA594" s="8">
        <v>-3</v>
      </c>
      <c r="AB594" s="7">
        <v>3165123</v>
      </c>
      <c r="AC594" s="7">
        <v>3165123</v>
      </c>
      <c r="AD594" s="7">
        <v>583124</v>
      </c>
      <c r="AE594" s="7">
        <v>725753</v>
      </c>
      <c r="AF594" s="7">
        <v>766476</v>
      </c>
      <c r="AG594" s="7">
        <v>40723</v>
      </c>
      <c r="AH594" s="8">
        <v>4</v>
      </c>
      <c r="AI594" s="8">
        <v>0.2</v>
      </c>
    </row>
    <row r="595" spans="1:35" x14ac:dyDescent="0.25">
      <c r="A595" s="6" t="str">
        <f>"660302"</f>
        <v>660302</v>
      </c>
      <c r="B595" s="6" t="s">
        <v>630</v>
      </c>
      <c r="C595" s="7">
        <v>31912688</v>
      </c>
      <c r="D595" s="7">
        <v>32502899</v>
      </c>
      <c r="E595" s="8">
        <v>1.85</v>
      </c>
      <c r="F595" s="7">
        <v>26887065</v>
      </c>
      <c r="G595" s="7">
        <v>27102400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26887065</v>
      </c>
      <c r="O595" s="7">
        <v>27102400</v>
      </c>
      <c r="P595" s="8">
        <v>0.8</v>
      </c>
      <c r="Q595" s="7">
        <v>1290918</v>
      </c>
      <c r="R595" s="7">
        <v>1128842</v>
      </c>
      <c r="S595" s="7">
        <v>25596147</v>
      </c>
      <c r="T595" s="7">
        <v>25973576</v>
      </c>
      <c r="U595" s="7">
        <v>25596147</v>
      </c>
      <c r="V595" s="7">
        <v>25973558</v>
      </c>
      <c r="W595" s="7">
        <v>0</v>
      </c>
      <c r="X595" s="7">
        <v>18</v>
      </c>
      <c r="Y595" s="7">
        <v>1166</v>
      </c>
      <c r="Z595" s="7">
        <v>1176</v>
      </c>
      <c r="AA595" s="8">
        <v>0.86</v>
      </c>
      <c r="AB595" s="7">
        <v>3361087</v>
      </c>
      <c r="AC595" s="7">
        <v>2795183</v>
      </c>
      <c r="AD595" s="7">
        <v>559893</v>
      </c>
      <c r="AE595" s="7">
        <v>969820</v>
      </c>
      <c r="AF595" s="7">
        <v>1276507</v>
      </c>
      <c r="AG595" s="7">
        <v>1300116</v>
      </c>
      <c r="AH595" s="8">
        <v>4</v>
      </c>
      <c r="AI595" s="8">
        <v>4</v>
      </c>
    </row>
    <row r="596" spans="1:35" x14ac:dyDescent="0.25">
      <c r="A596" s="6" t="str">
        <f>"421902"</f>
        <v>421902</v>
      </c>
      <c r="B596" s="6" t="s">
        <v>631</v>
      </c>
      <c r="C596" s="7">
        <v>19830196</v>
      </c>
      <c r="D596" s="7">
        <v>19873421</v>
      </c>
      <c r="E596" s="8">
        <v>0.22</v>
      </c>
      <c r="F596" s="7">
        <v>9642851</v>
      </c>
      <c r="G596" s="7">
        <v>9758539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9642851</v>
      </c>
      <c r="O596" s="7">
        <v>9758539</v>
      </c>
      <c r="P596" s="8">
        <v>1.2</v>
      </c>
      <c r="Q596" s="7">
        <v>546995</v>
      </c>
      <c r="R596" s="7">
        <v>579552</v>
      </c>
      <c r="S596" s="7">
        <v>9098725</v>
      </c>
      <c r="T596" s="7">
        <v>9252450</v>
      </c>
      <c r="U596" s="7">
        <v>9095856</v>
      </c>
      <c r="V596" s="7">
        <v>9178987</v>
      </c>
      <c r="W596" s="7">
        <v>2869</v>
      </c>
      <c r="X596" s="7">
        <v>73463</v>
      </c>
      <c r="Y596" s="7">
        <v>850</v>
      </c>
      <c r="Z596" s="7">
        <v>820</v>
      </c>
      <c r="AA596" s="8">
        <v>-3.53</v>
      </c>
      <c r="AB596" s="7">
        <v>4638865</v>
      </c>
      <c r="AC596" s="7">
        <v>4316031</v>
      </c>
      <c r="AD596" s="7">
        <v>150000</v>
      </c>
      <c r="AE596" s="7">
        <v>150000</v>
      </c>
      <c r="AF596" s="7">
        <v>794100</v>
      </c>
      <c r="AG596" s="7">
        <v>795137</v>
      </c>
      <c r="AH596" s="8">
        <v>4</v>
      </c>
      <c r="AI596" s="8">
        <v>4</v>
      </c>
    </row>
    <row r="597" spans="1:35" x14ac:dyDescent="0.25">
      <c r="A597" s="6" t="str">
        <f>"160101"</f>
        <v>160101</v>
      </c>
      <c r="B597" s="6" t="s">
        <v>632</v>
      </c>
      <c r="C597" s="7">
        <v>17129046</v>
      </c>
      <c r="D597" s="7">
        <v>17809013</v>
      </c>
      <c r="E597" s="8">
        <v>3.97</v>
      </c>
      <c r="F597" s="7">
        <v>7808371</v>
      </c>
      <c r="G597" s="7">
        <v>7958731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7808371</v>
      </c>
      <c r="O597" s="7">
        <v>7958731</v>
      </c>
      <c r="P597" s="8">
        <v>1.93</v>
      </c>
      <c r="Q597" s="7">
        <v>207611</v>
      </c>
      <c r="R597" s="7">
        <v>204701</v>
      </c>
      <c r="S597" s="7">
        <v>7600760</v>
      </c>
      <c r="T597" s="7">
        <v>7754372</v>
      </c>
      <c r="U597" s="7">
        <v>7600760</v>
      </c>
      <c r="V597" s="7">
        <v>7754030</v>
      </c>
      <c r="W597" s="7">
        <v>0</v>
      </c>
      <c r="X597" s="7">
        <v>342</v>
      </c>
      <c r="Y597" s="7">
        <v>783</v>
      </c>
      <c r="Z597" s="7">
        <v>778</v>
      </c>
      <c r="AA597" s="8">
        <v>-0.64</v>
      </c>
      <c r="AB597" s="7">
        <v>100000</v>
      </c>
      <c r="AC597" s="7">
        <v>100000</v>
      </c>
      <c r="AD597" s="7">
        <v>410000</v>
      </c>
      <c r="AE597" s="7">
        <v>632000</v>
      </c>
      <c r="AF597" s="7">
        <v>890000</v>
      </c>
      <c r="AG597" s="7">
        <v>710000</v>
      </c>
      <c r="AH597" s="8">
        <v>5.2</v>
      </c>
      <c r="AI597" s="8">
        <v>3.99</v>
      </c>
    </row>
    <row r="598" spans="1:35" x14ac:dyDescent="0.25">
      <c r="A598" s="6" t="str">
        <f>"441903"</f>
        <v>441903</v>
      </c>
      <c r="B598" s="6" t="s">
        <v>633</v>
      </c>
      <c r="C598" s="7">
        <v>13497279</v>
      </c>
      <c r="D598" s="7">
        <v>13742849</v>
      </c>
      <c r="E598" s="8">
        <v>1.82</v>
      </c>
      <c r="F598" s="7">
        <v>11450415</v>
      </c>
      <c r="G598" s="7">
        <v>11568095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11450415</v>
      </c>
      <c r="O598" s="7">
        <v>11568095</v>
      </c>
      <c r="P598" s="8">
        <v>1.03</v>
      </c>
      <c r="Q598" s="7">
        <v>729049</v>
      </c>
      <c r="R598" s="7">
        <v>708375</v>
      </c>
      <c r="S598" s="7">
        <v>10563952</v>
      </c>
      <c r="T598" s="7">
        <v>10877110</v>
      </c>
      <c r="U598" s="7">
        <v>10721366</v>
      </c>
      <c r="V598" s="7">
        <v>10859720</v>
      </c>
      <c r="W598" s="7">
        <v>-157414</v>
      </c>
      <c r="X598" s="7">
        <v>17390</v>
      </c>
      <c r="Y598" s="7">
        <v>242</v>
      </c>
      <c r="Z598" s="7">
        <v>236</v>
      </c>
      <c r="AA598" s="8">
        <v>-2.48</v>
      </c>
      <c r="AB598" s="7">
        <v>774045</v>
      </c>
      <c r="AC598" s="7">
        <v>774045</v>
      </c>
      <c r="AD598" s="7">
        <v>939524</v>
      </c>
      <c r="AE598" s="7">
        <v>600000</v>
      </c>
      <c r="AF598" s="7">
        <v>914837</v>
      </c>
      <c r="AG598" s="7">
        <v>974010</v>
      </c>
      <c r="AH598" s="8">
        <v>6.78</v>
      </c>
      <c r="AI598" s="8">
        <v>7.09</v>
      </c>
    </row>
    <row r="599" spans="1:35" x14ac:dyDescent="0.25">
      <c r="A599" s="6" t="str">
        <f>"660401"</f>
        <v>660401</v>
      </c>
      <c r="B599" s="6" t="s">
        <v>634</v>
      </c>
      <c r="C599" s="7">
        <v>73153802</v>
      </c>
      <c r="D599" s="7">
        <v>75656831</v>
      </c>
      <c r="E599" s="8">
        <v>3.42</v>
      </c>
      <c r="F599" s="7">
        <v>55710017</v>
      </c>
      <c r="G599" s="7">
        <v>56814887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55710017</v>
      </c>
      <c r="O599" s="7">
        <v>56814887</v>
      </c>
      <c r="P599" s="8">
        <v>1.98</v>
      </c>
      <c r="Q599" s="7">
        <v>2215265</v>
      </c>
      <c r="R599" s="7">
        <v>2625132</v>
      </c>
      <c r="S599" s="7">
        <v>54146733</v>
      </c>
      <c r="T599" s="7">
        <v>54984481</v>
      </c>
      <c r="U599" s="7">
        <v>53494752</v>
      </c>
      <c r="V599" s="7">
        <v>54189755</v>
      </c>
      <c r="W599" s="7">
        <v>651981</v>
      </c>
      <c r="X599" s="7">
        <v>794726</v>
      </c>
      <c r="Y599" s="7">
        <v>2890</v>
      </c>
      <c r="Z599" s="7">
        <v>2899</v>
      </c>
      <c r="AA599" s="8">
        <v>0.31</v>
      </c>
      <c r="AB599" s="7">
        <v>9183409</v>
      </c>
      <c r="AC599" s="7">
        <v>6053976</v>
      </c>
      <c r="AD599" s="7">
        <v>800000</v>
      </c>
      <c r="AE599" s="7">
        <v>2460399</v>
      </c>
      <c r="AF599" s="7">
        <v>2926152</v>
      </c>
      <c r="AG599" s="7">
        <v>3026273</v>
      </c>
      <c r="AH599" s="8">
        <v>4</v>
      </c>
      <c r="AI599" s="8">
        <v>4</v>
      </c>
    </row>
    <row r="600" spans="1:35" x14ac:dyDescent="0.25">
      <c r="A600" s="6" t="str">
        <f>"081003"</f>
        <v>081003</v>
      </c>
      <c r="B600" s="6" t="s">
        <v>635</v>
      </c>
      <c r="C600" s="7">
        <v>19081276</v>
      </c>
      <c r="D600" s="7">
        <v>19309317</v>
      </c>
      <c r="E600" s="8">
        <v>1.2</v>
      </c>
      <c r="F600" s="7">
        <v>4198089</v>
      </c>
      <c r="G600" s="7">
        <v>4250743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4198089</v>
      </c>
      <c r="O600" s="7">
        <v>4250743</v>
      </c>
      <c r="P600" s="8">
        <v>1.25</v>
      </c>
      <c r="Q600" s="7">
        <v>0</v>
      </c>
      <c r="R600" s="7">
        <v>0</v>
      </c>
      <c r="S600" s="7">
        <v>4198089</v>
      </c>
      <c r="T600" s="7">
        <v>4250743</v>
      </c>
      <c r="U600" s="7">
        <v>4198089</v>
      </c>
      <c r="V600" s="7">
        <v>4250743</v>
      </c>
      <c r="W600" s="7">
        <v>0</v>
      </c>
      <c r="X600" s="7">
        <v>0</v>
      </c>
      <c r="Y600" s="7">
        <v>817</v>
      </c>
      <c r="Z600" s="7">
        <v>817</v>
      </c>
      <c r="AA600" s="8">
        <v>0</v>
      </c>
      <c r="AB600" s="7">
        <v>5423050</v>
      </c>
      <c r="AC600" s="7">
        <v>5024886</v>
      </c>
      <c r="AD600" s="7">
        <v>350000</v>
      </c>
      <c r="AE600" s="7">
        <v>350000</v>
      </c>
      <c r="AF600" s="7">
        <v>763249</v>
      </c>
      <c r="AG600" s="7">
        <v>772373</v>
      </c>
      <c r="AH600" s="8">
        <v>4</v>
      </c>
      <c r="AI600" s="8">
        <v>4</v>
      </c>
    </row>
    <row r="601" spans="1:35" x14ac:dyDescent="0.25">
      <c r="A601" s="6" t="str">
        <f>"051901"</f>
        <v>051901</v>
      </c>
      <c r="B601" s="6" t="s">
        <v>636</v>
      </c>
      <c r="C601" s="7">
        <v>18088080</v>
      </c>
      <c r="D601" s="7">
        <v>18088080</v>
      </c>
      <c r="E601" s="8">
        <v>0</v>
      </c>
      <c r="F601" s="7">
        <v>7537248</v>
      </c>
      <c r="G601" s="7">
        <v>7544753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7537248</v>
      </c>
      <c r="O601" s="7">
        <v>7544753</v>
      </c>
      <c r="P601" s="8">
        <v>0.1</v>
      </c>
      <c r="Q601" s="7">
        <v>51900</v>
      </c>
      <c r="R601" s="11">
        <v>36714</v>
      </c>
      <c r="S601" s="7">
        <v>7602312</v>
      </c>
      <c r="T601" s="7">
        <v>7694651</v>
      </c>
      <c r="U601" s="7">
        <v>7485348</v>
      </c>
      <c r="V601" s="11">
        <v>7508039</v>
      </c>
      <c r="W601" s="7">
        <v>116964</v>
      </c>
      <c r="X601" s="11">
        <v>186612</v>
      </c>
      <c r="Y601" s="7">
        <v>835</v>
      </c>
      <c r="Z601" s="7">
        <v>825</v>
      </c>
      <c r="AA601" s="8">
        <v>-1.2</v>
      </c>
      <c r="AB601" s="7">
        <v>4092000</v>
      </c>
      <c r="AC601" s="7">
        <v>3159183</v>
      </c>
      <c r="AD601" s="7">
        <v>715000</v>
      </c>
      <c r="AE601" s="7">
        <v>550000</v>
      </c>
      <c r="AF601" s="7">
        <v>723523</v>
      </c>
      <c r="AG601" s="7">
        <v>720000</v>
      </c>
      <c r="AH601" s="8">
        <v>4</v>
      </c>
      <c r="AI601" s="8">
        <v>3.98</v>
      </c>
    </row>
    <row r="602" spans="1:35" x14ac:dyDescent="0.25">
      <c r="A602" s="6" t="str">
        <f>"280202"</f>
        <v>280202</v>
      </c>
      <c r="B602" s="6" t="s">
        <v>637</v>
      </c>
      <c r="C602" s="7">
        <v>182800829</v>
      </c>
      <c r="D602" s="7">
        <v>187212721</v>
      </c>
      <c r="E602" s="8">
        <v>2.41</v>
      </c>
      <c r="F602" s="7">
        <v>119571457</v>
      </c>
      <c r="G602" s="7">
        <v>121096336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119571457</v>
      </c>
      <c r="O602" s="7">
        <v>121096336</v>
      </c>
      <c r="P602" s="8">
        <v>1.28</v>
      </c>
      <c r="Q602" s="7">
        <v>0</v>
      </c>
      <c r="R602" s="7">
        <v>0</v>
      </c>
      <c r="S602" s="7">
        <v>119571457</v>
      </c>
      <c r="T602" s="7">
        <v>121096336</v>
      </c>
      <c r="U602" s="7">
        <v>119571457</v>
      </c>
      <c r="V602" s="7">
        <v>121096336</v>
      </c>
      <c r="W602" s="7">
        <v>0</v>
      </c>
      <c r="X602" s="7">
        <v>0</v>
      </c>
      <c r="Y602" s="7">
        <v>7122</v>
      </c>
      <c r="Z602" s="7">
        <v>7222</v>
      </c>
      <c r="AA602" s="8">
        <v>1.4</v>
      </c>
      <c r="AB602" s="7">
        <v>16010246</v>
      </c>
      <c r="AC602" s="7">
        <v>16100000</v>
      </c>
      <c r="AD602" s="7">
        <v>6822616</v>
      </c>
      <c r="AE602" s="7">
        <v>6800000</v>
      </c>
      <c r="AF602" s="7">
        <v>4853426</v>
      </c>
      <c r="AG602" s="7">
        <v>2100000</v>
      </c>
      <c r="AH602" s="8">
        <v>2.66</v>
      </c>
      <c r="AI602" s="8">
        <v>1.1200000000000001</v>
      </c>
    </row>
    <row r="603" spans="1:35" x14ac:dyDescent="0.25">
      <c r="A603" s="6" t="str">
        <f>"031501"</f>
        <v>031501</v>
      </c>
      <c r="B603" s="6" t="s">
        <v>638</v>
      </c>
      <c r="C603" s="7">
        <v>79066593</v>
      </c>
      <c r="D603" s="7">
        <v>81345530</v>
      </c>
      <c r="E603" s="8">
        <v>2.88</v>
      </c>
      <c r="F603" s="7">
        <v>39677240</v>
      </c>
      <c r="G603" s="7">
        <v>40205813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39677240</v>
      </c>
      <c r="O603" s="7">
        <v>40205813</v>
      </c>
      <c r="P603" s="8">
        <v>1.33</v>
      </c>
      <c r="Q603" s="7">
        <v>331893</v>
      </c>
      <c r="R603" s="7">
        <v>300518</v>
      </c>
      <c r="S603" s="7">
        <v>39345347</v>
      </c>
      <c r="T603" s="7">
        <v>39905295</v>
      </c>
      <c r="U603" s="7">
        <v>39345347</v>
      </c>
      <c r="V603" s="7">
        <v>39905295</v>
      </c>
      <c r="W603" s="7">
        <v>0</v>
      </c>
      <c r="X603" s="7">
        <v>0</v>
      </c>
      <c r="Y603" s="7">
        <v>3845</v>
      </c>
      <c r="Z603" s="7">
        <v>3845</v>
      </c>
      <c r="AA603" s="8">
        <v>0</v>
      </c>
      <c r="AB603" s="7">
        <v>10220482</v>
      </c>
      <c r="AC603" s="7">
        <v>12110916</v>
      </c>
      <c r="AD603" s="7">
        <v>1775000</v>
      </c>
      <c r="AE603" s="7">
        <v>1500000</v>
      </c>
      <c r="AF603" s="7">
        <v>2891548</v>
      </c>
      <c r="AG603" s="7">
        <v>3022050</v>
      </c>
      <c r="AH603" s="8">
        <v>3.66</v>
      </c>
      <c r="AI603" s="8">
        <v>3.72</v>
      </c>
    </row>
    <row r="604" spans="1:35" x14ac:dyDescent="0.25">
      <c r="A604" s="6" t="str">
        <f>"412300"</f>
        <v>412300</v>
      </c>
      <c r="B604" s="6" t="s">
        <v>639</v>
      </c>
      <c r="C604" s="7">
        <v>166027878</v>
      </c>
      <c r="D604" s="7">
        <v>173177077</v>
      </c>
      <c r="E604" s="8">
        <v>4.3099999999999996</v>
      </c>
      <c r="F604" s="7">
        <v>30005865</v>
      </c>
      <c r="G604" s="7">
        <v>30005865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30005865</v>
      </c>
      <c r="O604" s="7">
        <v>30005865</v>
      </c>
      <c r="P604" s="8">
        <v>0</v>
      </c>
      <c r="Q604" s="7">
        <v>903806</v>
      </c>
      <c r="R604" s="7">
        <v>562942</v>
      </c>
      <c r="S604" s="7">
        <v>29751724</v>
      </c>
      <c r="T604" s="7">
        <v>29493274</v>
      </c>
      <c r="U604" s="7">
        <v>29102059</v>
      </c>
      <c r="V604" s="7">
        <v>29442923</v>
      </c>
      <c r="W604" s="7">
        <v>649665</v>
      </c>
      <c r="X604" s="7">
        <v>50351</v>
      </c>
      <c r="Y604" s="7">
        <v>10500</v>
      </c>
      <c r="Z604" s="7">
        <v>10750</v>
      </c>
      <c r="AA604" s="8">
        <v>2.38</v>
      </c>
      <c r="AB604" s="7">
        <v>1000000</v>
      </c>
      <c r="AC604" s="7">
        <v>1000000</v>
      </c>
      <c r="AD604" s="7">
        <v>643939</v>
      </c>
      <c r="AE604" s="7">
        <v>650000</v>
      </c>
      <c r="AF604" s="7">
        <v>2428791</v>
      </c>
      <c r="AG604" s="7">
        <v>2500000</v>
      </c>
      <c r="AH604" s="8">
        <v>1.46</v>
      </c>
      <c r="AI604" s="8">
        <v>1.44</v>
      </c>
    </row>
    <row r="605" spans="1:35" x14ac:dyDescent="0.25">
      <c r="A605" s="6" t="str">
        <f>"660805"</f>
        <v>660805</v>
      </c>
      <c r="B605" s="6" t="s">
        <v>640</v>
      </c>
      <c r="C605" s="7">
        <v>48413187</v>
      </c>
      <c r="D605" s="7">
        <v>48808005</v>
      </c>
      <c r="E605" s="8">
        <v>0.82</v>
      </c>
      <c r="F605" s="7">
        <v>40961643</v>
      </c>
      <c r="G605" s="7">
        <v>42139093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40961643</v>
      </c>
      <c r="O605" s="7">
        <v>42139093</v>
      </c>
      <c r="P605" s="8">
        <v>2.87</v>
      </c>
      <c r="Q605" s="7">
        <v>1717950</v>
      </c>
      <c r="R605" s="7">
        <v>1675458</v>
      </c>
      <c r="S605" s="7">
        <v>39243693</v>
      </c>
      <c r="T605" s="7">
        <v>40463635</v>
      </c>
      <c r="U605" s="7">
        <v>39243693</v>
      </c>
      <c r="V605" s="7">
        <v>40463635</v>
      </c>
      <c r="W605" s="7">
        <v>0</v>
      </c>
      <c r="X605" s="7">
        <v>0</v>
      </c>
      <c r="Y605" s="7">
        <v>1510</v>
      </c>
      <c r="Z605" s="7">
        <v>1487</v>
      </c>
      <c r="AA605" s="8">
        <v>-1.52</v>
      </c>
      <c r="AB605" s="7">
        <v>8254591</v>
      </c>
      <c r="AC605" s="7">
        <v>5954591</v>
      </c>
      <c r="AD605" s="7">
        <v>650000</v>
      </c>
      <c r="AE605" s="7">
        <v>650000</v>
      </c>
      <c r="AF605" s="7">
        <v>1936527</v>
      </c>
      <c r="AG605" s="7">
        <v>1947400</v>
      </c>
      <c r="AH605" s="8">
        <v>4</v>
      </c>
      <c r="AI605" s="8">
        <v>3.99</v>
      </c>
    </row>
    <row r="606" spans="1:35" x14ac:dyDescent="0.25">
      <c r="A606" s="6" t="str">
        <f>"441301"</f>
        <v>441301</v>
      </c>
      <c r="B606" s="6" t="s">
        <v>641</v>
      </c>
      <c r="C606" s="7">
        <v>98533456</v>
      </c>
      <c r="D606" s="7">
        <v>101247326</v>
      </c>
      <c r="E606" s="8">
        <v>2.75</v>
      </c>
      <c r="F606" s="7">
        <v>57610236</v>
      </c>
      <c r="G606" s="7">
        <v>59161047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57610236</v>
      </c>
      <c r="O606" s="7">
        <v>59161047</v>
      </c>
      <c r="P606" s="8">
        <v>2.69</v>
      </c>
      <c r="Q606" s="7">
        <v>612743</v>
      </c>
      <c r="R606" s="7">
        <v>776889</v>
      </c>
      <c r="S606" s="7">
        <v>56997493</v>
      </c>
      <c r="T606" s="7">
        <v>58384158</v>
      </c>
      <c r="U606" s="7">
        <v>56997493</v>
      </c>
      <c r="V606" s="7">
        <v>58384158</v>
      </c>
      <c r="W606" s="7">
        <v>0</v>
      </c>
      <c r="X606" s="7">
        <v>0</v>
      </c>
      <c r="Y606" s="7">
        <v>4352</v>
      </c>
      <c r="Z606" s="7">
        <v>4312</v>
      </c>
      <c r="AA606" s="8">
        <v>-0.92</v>
      </c>
      <c r="AB606" s="7">
        <v>9112500</v>
      </c>
      <c r="AC606" s="7">
        <v>9499898</v>
      </c>
      <c r="AD606" s="7">
        <v>2000000</v>
      </c>
      <c r="AE606" s="7">
        <v>2000000</v>
      </c>
      <c r="AF606" s="7">
        <v>3941338</v>
      </c>
      <c r="AG606" s="7">
        <v>4049893</v>
      </c>
      <c r="AH606" s="8">
        <v>4</v>
      </c>
      <c r="AI606" s="8">
        <v>4</v>
      </c>
    </row>
    <row r="607" spans="1:35" x14ac:dyDescent="0.25">
      <c r="A607" s="6" t="str">
        <f>"280213"</f>
        <v>280213</v>
      </c>
      <c r="B607" s="6" t="s">
        <v>642</v>
      </c>
      <c r="C607" s="7">
        <v>48246922</v>
      </c>
      <c r="D607" s="7">
        <v>49841963</v>
      </c>
      <c r="E607" s="8">
        <v>3.31</v>
      </c>
      <c r="F607" s="7">
        <v>34896345</v>
      </c>
      <c r="G607" s="7">
        <v>35479114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34896345</v>
      </c>
      <c r="O607" s="7">
        <v>35479114</v>
      </c>
      <c r="P607" s="8">
        <v>1.67</v>
      </c>
      <c r="Q607" s="7">
        <v>1040110</v>
      </c>
      <c r="R607" s="7">
        <v>914019</v>
      </c>
      <c r="S607" s="7">
        <v>33856235</v>
      </c>
      <c r="T607" s="7">
        <v>34565095</v>
      </c>
      <c r="U607" s="7">
        <v>33856235</v>
      </c>
      <c r="V607" s="7">
        <v>34565095</v>
      </c>
      <c r="W607" s="7">
        <v>0</v>
      </c>
      <c r="X607" s="7">
        <v>0</v>
      </c>
      <c r="Y607" s="7">
        <v>2056</v>
      </c>
      <c r="Z607" s="7">
        <v>2056</v>
      </c>
      <c r="AA607" s="8">
        <v>0</v>
      </c>
      <c r="AB607" s="7">
        <v>6000000</v>
      </c>
      <c r="AC607" s="7">
        <v>6000000</v>
      </c>
      <c r="AD607" s="7">
        <v>1875000</v>
      </c>
      <c r="AE607" s="7">
        <v>1875000</v>
      </c>
      <c r="AF607" s="7">
        <v>1929875</v>
      </c>
      <c r="AG607" s="7">
        <v>1989268</v>
      </c>
      <c r="AH607" s="8">
        <v>4</v>
      </c>
      <c r="AI607" s="8">
        <v>3.99</v>
      </c>
    </row>
    <row r="608" spans="1:35" x14ac:dyDescent="0.25">
      <c r="A608" s="6" t="str">
        <f>"280224"</f>
        <v>280224</v>
      </c>
      <c r="B608" s="6" t="s">
        <v>642</v>
      </c>
      <c r="C608" s="7">
        <v>27120787</v>
      </c>
      <c r="D608" s="7">
        <v>27653316</v>
      </c>
      <c r="E608" s="8">
        <v>1.96</v>
      </c>
      <c r="F608" s="7">
        <v>19965137</v>
      </c>
      <c r="G608" s="7">
        <v>20125513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19965137</v>
      </c>
      <c r="O608" s="7">
        <v>20125513</v>
      </c>
      <c r="P608" s="8">
        <v>0.8</v>
      </c>
      <c r="Q608" s="7">
        <v>240758</v>
      </c>
      <c r="R608" s="7">
        <v>205237</v>
      </c>
      <c r="S608" s="7">
        <v>19724379</v>
      </c>
      <c r="T608" s="7">
        <v>19920276</v>
      </c>
      <c r="U608" s="7">
        <v>19724379</v>
      </c>
      <c r="V608" s="7">
        <v>19920276</v>
      </c>
      <c r="W608" s="7">
        <v>0</v>
      </c>
      <c r="X608" s="7">
        <v>0</v>
      </c>
      <c r="Y608" s="7">
        <v>1111</v>
      </c>
      <c r="Z608" s="7">
        <v>1135</v>
      </c>
      <c r="AA608" s="8">
        <v>2.16</v>
      </c>
      <c r="AB608" s="7">
        <v>2500157</v>
      </c>
      <c r="AC608" s="7">
        <v>2883554</v>
      </c>
      <c r="AD608" s="7">
        <v>0</v>
      </c>
      <c r="AE608" s="7">
        <v>200000</v>
      </c>
      <c r="AF608" s="7">
        <v>1110966</v>
      </c>
      <c r="AG608" s="7">
        <v>1106132</v>
      </c>
      <c r="AH608" s="8">
        <v>4.0999999999999996</v>
      </c>
      <c r="AI608" s="8">
        <v>4</v>
      </c>
    </row>
    <row r="609" spans="1:35" x14ac:dyDescent="0.25">
      <c r="A609" s="6" t="str">
        <f>"280230"</f>
        <v>280230</v>
      </c>
      <c r="B609" s="6" t="s">
        <v>642</v>
      </c>
      <c r="C609" s="7">
        <v>34416060</v>
      </c>
      <c r="D609" s="7">
        <v>34823824</v>
      </c>
      <c r="E609" s="8">
        <v>1.18</v>
      </c>
      <c r="F609" s="7">
        <v>23054030</v>
      </c>
      <c r="G609" s="7">
        <v>19556827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23054030</v>
      </c>
      <c r="O609" s="7">
        <v>19556827</v>
      </c>
      <c r="P609" s="8">
        <v>-15.17</v>
      </c>
      <c r="Q609" s="7">
        <v>0</v>
      </c>
      <c r="R609" s="7">
        <v>0</v>
      </c>
      <c r="S609" s="7">
        <v>23460072</v>
      </c>
      <c r="T609" s="7">
        <v>19556827</v>
      </c>
      <c r="U609" s="7">
        <v>23054030</v>
      </c>
      <c r="V609" s="7">
        <v>19556827</v>
      </c>
      <c r="W609" s="7">
        <v>406042</v>
      </c>
      <c r="X609" s="7">
        <v>0</v>
      </c>
      <c r="Y609" s="7">
        <v>1553</v>
      </c>
      <c r="Z609" s="7">
        <v>1523</v>
      </c>
      <c r="AA609" s="8">
        <v>-1.93</v>
      </c>
      <c r="AB609" s="7">
        <v>13584963</v>
      </c>
      <c r="AC609" s="7">
        <v>10868093</v>
      </c>
      <c r="AD609" s="7">
        <v>0</v>
      </c>
      <c r="AE609" s="7">
        <v>0</v>
      </c>
      <c r="AF609" s="7">
        <v>1376642</v>
      </c>
      <c r="AG609" s="7">
        <v>1392952</v>
      </c>
      <c r="AH609" s="8">
        <v>4</v>
      </c>
      <c r="AI609" s="8">
        <v>4</v>
      </c>
    </row>
    <row r="610" spans="1:35" x14ac:dyDescent="0.25">
      <c r="A610" s="6" t="str">
        <f>"280251"</f>
        <v>280251</v>
      </c>
      <c r="B610" s="6" t="s">
        <v>642</v>
      </c>
      <c r="C610" s="7">
        <v>111211025</v>
      </c>
      <c r="D610" s="7">
        <v>113429221</v>
      </c>
      <c r="E610" s="8">
        <v>1.99</v>
      </c>
      <c r="F610" s="7">
        <v>80072185</v>
      </c>
      <c r="G610" s="7">
        <v>81168511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80072185</v>
      </c>
      <c r="O610" s="7">
        <v>81168511</v>
      </c>
      <c r="P610" s="8">
        <v>1.37</v>
      </c>
      <c r="Q610" s="7">
        <v>0</v>
      </c>
      <c r="R610" s="7">
        <v>861845</v>
      </c>
      <c r="S610" s="7">
        <v>80072185</v>
      </c>
      <c r="T610" s="7">
        <v>80306666</v>
      </c>
      <c r="U610" s="7">
        <v>80072185</v>
      </c>
      <c r="V610" s="7">
        <v>80306666</v>
      </c>
      <c r="W610" s="7">
        <v>0</v>
      </c>
      <c r="X610" s="7">
        <v>0</v>
      </c>
      <c r="Y610" s="7">
        <v>4506</v>
      </c>
      <c r="Z610" s="7">
        <v>4606</v>
      </c>
      <c r="AA610" s="8">
        <v>2.2200000000000002</v>
      </c>
      <c r="AB610" s="7">
        <v>20501133</v>
      </c>
      <c r="AC610" s="7">
        <v>19501133</v>
      </c>
      <c r="AD610" s="7">
        <v>3000000</v>
      </c>
      <c r="AE610" s="7">
        <v>1400000</v>
      </c>
      <c r="AF610" s="7">
        <v>4448442</v>
      </c>
      <c r="AG610" s="7">
        <v>4537169</v>
      </c>
      <c r="AH610" s="8">
        <v>4</v>
      </c>
      <c r="AI610" s="8">
        <v>4</v>
      </c>
    </row>
    <row r="611" spans="1:35" x14ac:dyDescent="0.25">
      <c r="A611" s="6" t="str">
        <f>"211701"</f>
        <v>211701</v>
      </c>
      <c r="B611" s="6" t="s">
        <v>643</v>
      </c>
      <c r="C611" s="7">
        <v>5286475</v>
      </c>
      <c r="D611" s="7">
        <v>5296685</v>
      </c>
      <c r="E611" s="8">
        <v>0.19</v>
      </c>
      <c r="F611" s="7">
        <v>1769200</v>
      </c>
      <c r="G611" s="7">
        <v>1802967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1769200</v>
      </c>
      <c r="O611" s="7">
        <v>1802967</v>
      </c>
      <c r="P611" s="8">
        <v>1.91</v>
      </c>
      <c r="Q611" s="7">
        <v>34229</v>
      </c>
      <c r="R611" s="7">
        <v>35519</v>
      </c>
      <c r="S611" s="7">
        <v>1740566</v>
      </c>
      <c r="T611" s="7">
        <v>1768476</v>
      </c>
      <c r="U611" s="7">
        <v>1734971</v>
      </c>
      <c r="V611" s="7">
        <v>1767448</v>
      </c>
      <c r="W611" s="7">
        <v>5595</v>
      </c>
      <c r="X611" s="7">
        <v>1028</v>
      </c>
      <c r="Y611" s="7">
        <v>191</v>
      </c>
      <c r="Z611" s="7">
        <v>200</v>
      </c>
      <c r="AA611" s="8">
        <v>4.71</v>
      </c>
      <c r="AB611" s="7">
        <v>684382</v>
      </c>
      <c r="AC611" s="7">
        <v>829382</v>
      </c>
      <c r="AD611" s="7">
        <v>170000</v>
      </c>
      <c r="AE611" s="7">
        <v>19000</v>
      </c>
      <c r="AF611" s="7">
        <v>1441098</v>
      </c>
      <c r="AG611" s="7">
        <v>1335197</v>
      </c>
      <c r="AH611" s="8">
        <v>27.26</v>
      </c>
      <c r="AI611" s="8">
        <v>25.21</v>
      </c>
    </row>
    <row r="612" spans="1:35" x14ac:dyDescent="0.25">
      <c r="A612" s="6" t="str">
        <f>"031601"</f>
        <v>031601</v>
      </c>
      <c r="B612" s="6" t="s">
        <v>644</v>
      </c>
      <c r="C612" s="7">
        <v>75434270</v>
      </c>
      <c r="D612" s="7">
        <v>76193466</v>
      </c>
      <c r="E612" s="8">
        <v>1.01</v>
      </c>
      <c r="F612" s="7">
        <v>46186290</v>
      </c>
      <c r="G612" s="7">
        <v>46898932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46186290</v>
      </c>
      <c r="O612" s="7">
        <v>46898932</v>
      </c>
      <c r="P612" s="8">
        <v>1.54</v>
      </c>
      <c r="Q612" s="7">
        <v>1329775</v>
      </c>
      <c r="R612" s="7">
        <v>1659939</v>
      </c>
      <c r="S612" s="7">
        <v>44856515</v>
      </c>
      <c r="T612" s="7">
        <v>45489625</v>
      </c>
      <c r="U612" s="7">
        <v>44856515</v>
      </c>
      <c r="V612" s="7">
        <v>45238993</v>
      </c>
      <c r="W612" s="7">
        <v>0</v>
      </c>
      <c r="X612" s="7">
        <v>250632</v>
      </c>
      <c r="Y612" s="7">
        <v>3344</v>
      </c>
      <c r="Z612" s="7">
        <v>3344</v>
      </c>
      <c r="AA612" s="8">
        <v>0</v>
      </c>
      <c r="AB612" s="7">
        <v>17549958</v>
      </c>
      <c r="AC612" s="7">
        <v>19623592</v>
      </c>
      <c r="AD612" s="7">
        <v>2163174</v>
      </c>
      <c r="AE612" s="7">
        <v>2163174</v>
      </c>
      <c r="AF612" s="7">
        <v>2841096</v>
      </c>
      <c r="AG612" s="7">
        <v>2891128</v>
      </c>
      <c r="AH612" s="8">
        <v>3.77</v>
      </c>
      <c r="AI612" s="8">
        <v>3.79</v>
      </c>
    </row>
    <row r="613" spans="1:35" x14ac:dyDescent="0.25">
      <c r="A613" s="6" t="str">
        <f>"431701"</f>
        <v>431701</v>
      </c>
      <c r="B613" s="6" t="s">
        <v>645</v>
      </c>
      <c r="C613" s="7">
        <v>65102872</v>
      </c>
      <c r="D613" s="7">
        <v>66352887</v>
      </c>
      <c r="E613" s="8">
        <v>1.92</v>
      </c>
      <c r="F613" s="7">
        <v>41107411</v>
      </c>
      <c r="G613" s="7">
        <v>41919371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41107411</v>
      </c>
      <c r="O613" s="7">
        <v>41919371</v>
      </c>
      <c r="P613" s="8">
        <v>1.98</v>
      </c>
      <c r="Q613" s="7">
        <v>1118474</v>
      </c>
      <c r="R613" s="7">
        <v>805836</v>
      </c>
      <c r="S613" s="7">
        <v>39176455</v>
      </c>
      <c r="T613" s="7">
        <v>41113535</v>
      </c>
      <c r="U613" s="7">
        <v>39988937</v>
      </c>
      <c r="V613" s="7">
        <v>41113535</v>
      </c>
      <c r="W613" s="7">
        <v>-812482</v>
      </c>
      <c r="X613" s="7">
        <v>0</v>
      </c>
      <c r="Y613" s="7">
        <v>4281</v>
      </c>
      <c r="Z613" s="7">
        <v>4289</v>
      </c>
      <c r="AA613" s="8">
        <v>0.19</v>
      </c>
      <c r="AB613" s="7">
        <v>5067447</v>
      </c>
      <c r="AC613" s="7">
        <v>4777766</v>
      </c>
      <c r="AD613" s="7">
        <v>529000</v>
      </c>
      <c r="AE613" s="7">
        <v>529000</v>
      </c>
      <c r="AF613" s="7">
        <v>2604114</v>
      </c>
      <c r="AG613" s="7">
        <v>2654115</v>
      </c>
      <c r="AH613" s="8">
        <v>4</v>
      </c>
      <c r="AI613" s="8">
        <v>4</v>
      </c>
    </row>
    <row r="614" spans="1:35" x14ac:dyDescent="0.25">
      <c r="A614" s="6" t="str">
        <f>"011003"</f>
        <v>011003</v>
      </c>
      <c r="B614" s="6" t="s">
        <v>646</v>
      </c>
      <c r="C614" s="7">
        <v>23796334</v>
      </c>
      <c r="D614" s="7">
        <v>24187523</v>
      </c>
      <c r="E614" s="8">
        <v>1.64</v>
      </c>
      <c r="F614" s="7">
        <v>16893493</v>
      </c>
      <c r="G614" s="7">
        <v>17231363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16893493</v>
      </c>
      <c r="O614" s="7">
        <v>17231363</v>
      </c>
      <c r="P614" s="8">
        <v>2</v>
      </c>
      <c r="Q614" s="7">
        <v>275585</v>
      </c>
      <c r="R614" s="7">
        <v>277000</v>
      </c>
      <c r="S614" s="7">
        <v>16619908</v>
      </c>
      <c r="T614" s="7">
        <v>17020603</v>
      </c>
      <c r="U614" s="7">
        <v>16617908</v>
      </c>
      <c r="V614" s="7">
        <v>16954363</v>
      </c>
      <c r="W614" s="7">
        <v>2000</v>
      </c>
      <c r="X614" s="7">
        <v>66240</v>
      </c>
      <c r="Y614" s="7">
        <v>1173</v>
      </c>
      <c r="Z614" s="7">
        <v>1183</v>
      </c>
      <c r="AA614" s="8">
        <v>0.85</v>
      </c>
      <c r="AB614" s="7">
        <v>1912972</v>
      </c>
      <c r="AC614" s="7">
        <v>2114103</v>
      </c>
      <c r="AD614" s="7">
        <v>325000</v>
      </c>
      <c r="AE614" s="7">
        <v>300000</v>
      </c>
      <c r="AF614" s="7">
        <v>1322189</v>
      </c>
      <c r="AG614" s="7">
        <v>755670</v>
      </c>
      <c r="AH614" s="8">
        <v>5.56</v>
      </c>
      <c r="AI614" s="8">
        <v>3.12</v>
      </c>
    </row>
    <row r="615" spans="1:35" x14ac:dyDescent="0.25">
      <c r="A615" s="6" t="str">
        <f>"621801"</f>
        <v>621801</v>
      </c>
      <c r="B615" s="6" t="s">
        <v>647</v>
      </c>
      <c r="C615" s="7">
        <v>71912252</v>
      </c>
      <c r="D615" s="7">
        <v>73687493</v>
      </c>
      <c r="E615" s="8">
        <v>2.4700000000000002</v>
      </c>
      <c r="F615" s="7">
        <v>39921252</v>
      </c>
      <c r="G615" s="7">
        <v>40715493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39921252</v>
      </c>
      <c r="O615" s="7">
        <v>40715493</v>
      </c>
      <c r="P615" s="8">
        <v>1.99</v>
      </c>
      <c r="Q615" s="7">
        <v>754358</v>
      </c>
      <c r="R615" s="7">
        <v>755973</v>
      </c>
      <c r="S615" s="7">
        <v>39525770</v>
      </c>
      <c r="T615" s="7">
        <v>39959520</v>
      </c>
      <c r="U615" s="7">
        <v>39166894</v>
      </c>
      <c r="V615" s="7">
        <v>39959520</v>
      </c>
      <c r="W615" s="7">
        <v>358876</v>
      </c>
      <c r="X615" s="7">
        <v>0</v>
      </c>
      <c r="Y615" s="7">
        <v>3050</v>
      </c>
      <c r="Z615" s="7">
        <v>3000</v>
      </c>
      <c r="AA615" s="8">
        <v>-1.64</v>
      </c>
      <c r="AB615" s="7">
        <v>17005637</v>
      </c>
      <c r="AC615" s="7">
        <v>19000000</v>
      </c>
      <c r="AD615" s="7">
        <v>2100000</v>
      </c>
      <c r="AE615" s="7">
        <v>1640000</v>
      </c>
      <c r="AF615" s="7">
        <v>2773034</v>
      </c>
      <c r="AG615" s="7">
        <v>2947500</v>
      </c>
      <c r="AH615" s="8">
        <v>3.86</v>
      </c>
      <c r="AI615" s="8">
        <v>4</v>
      </c>
    </row>
    <row r="616" spans="1:35" x14ac:dyDescent="0.25">
      <c r="A616" s="6" t="str">
        <f>"121901"</f>
        <v>121901</v>
      </c>
      <c r="B616" s="6" t="s">
        <v>648</v>
      </c>
      <c r="C616" s="7">
        <v>20133266</v>
      </c>
      <c r="D616" s="7">
        <v>20530797</v>
      </c>
      <c r="E616" s="8">
        <v>1.97</v>
      </c>
      <c r="F616" s="7">
        <v>6359859</v>
      </c>
      <c r="G616" s="7">
        <v>6447291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6359859</v>
      </c>
      <c r="O616" s="7">
        <v>6447291</v>
      </c>
      <c r="P616" s="8">
        <v>1.37</v>
      </c>
      <c r="Q616" s="7">
        <v>172178</v>
      </c>
      <c r="R616" s="7">
        <v>222343</v>
      </c>
      <c r="S616" s="7">
        <v>6373615</v>
      </c>
      <c r="T616" s="7">
        <v>6289948</v>
      </c>
      <c r="U616" s="7">
        <v>6187681</v>
      </c>
      <c r="V616" s="7">
        <v>6224948</v>
      </c>
      <c r="W616" s="7">
        <v>185934</v>
      </c>
      <c r="X616" s="7">
        <v>65000</v>
      </c>
      <c r="Y616" s="7">
        <v>961</v>
      </c>
      <c r="Z616" s="7">
        <v>978</v>
      </c>
      <c r="AA616" s="8">
        <v>1.77</v>
      </c>
      <c r="AB616" s="7">
        <v>298437</v>
      </c>
      <c r="AC616" s="7">
        <v>283437</v>
      </c>
      <c r="AD616" s="7">
        <v>567196</v>
      </c>
      <c r="AE616" s="7">
        <v>702767</v>
      </c>
      <c r="AF616" s="7">
        <v>841867</v>
      </c>
      <c r="AG616" s="7">
        <v>771312</v>
      </c>
      <c r="AH616" s="8">
        <v>4.18</v>
      </c>
      <c r="AI616" s="8">
        <v>3.76</v>
      </c>
    </row>
    <row r="617" spans="1:35" x14ac:dyDescent="0.25">
      <c r="A617" s="6" t="str">
        <f>"280223"</f>
        <v>280223</v>
      </c>
      <c r="B617" s="6" t="s">
        <v>649</v>
      </c>
      <c r="C617" s="7">
        <v>76204655</v>
      </c>
      <c r="D617" s="7">
        <v>76872623</v>
      </c>
      <c r="E617" s="8">
        <v>0.88</v>
      </c>
      <c r="F617" s="7">
        <v>55954095</v>
      </c>
      <c r="G617" s="7">
        <v>56177911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55954095</v>
      </c>
      <c r="O617" s="7">
        <v>56177911</v>
      </c>
      <c r="P617" s="8">
        <v>0.4</v>
      </c>
      <c r="Q617" s="7">
        <v>2012256</v>
      </c>
      <c r="R617" s="7">
        <v>1879815</v>
      </c>
      <c r="S617" s="7">
        <v>54697877</v>
      </c>
      <c r="T617" s="7">
        <v>54730969</v>
      </c>
      <c r="U617" s="7">
        <v>53941839</v>
      </c>
      <c r="V617" s="7">
        <v>54298096</v>
      </c>
      <c r="W617" s="7">
        <v>756038</v>
      </c>
      <c r="X617" s="7">
        <v>432873</v>
      </c>
      <c r="Y617" s="7">
        <v>2996</v>
      </c>
      <c r="Z617" s="7">
        <v>2953</v>
      </c>
      <c r="AA617" s="8">
        <v>-1.44</v>
      </c>
      <c r="AB617" s="7">
        <v>8190675</v>
      </c>
      <c r="AC617" s="7">
        <v>7969745</v>
      </c>
      <c r="AD617" s="7">
        <v>2580000</v>
      </c>
      <c r="AE617" s="7">
        <v>2048000</v>
      </c>
      <c r="AF617" s="7">
        <v>3048186</v>
      </c>
      <c r="AG617" s="7">
        <v>3074904</v>
      </c>
      <c r="AH617" s="8">
        <v>4</v>
      </c>
      <c r="AI617" s="8">
        <v>4</v>
      </c>
    </row>
    <row r="618" spans="1:35" x14ac:dyDescent="0.25">
      <c r="A618" s="6" t="str">
        <f>"132101"</f>
        <v>132101</v>
      </c>
      <c r="B618" s="6" t="s">
        <v>650</v>
      </c>
      <c r="C618" s="7">
        <v>221199261</v>
      </c>
      <c r="D618" s="7">
        <v>225181606</v>
      </c>
      <c r="E618" s="8">
        <v>1.8</v>
      </c>
      <c r="F618" s="7">
        <v>159426539</v>
      </c>
      <c r="G618" s="7">
        <v>160936353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159426539</v>
      </c>
      <c r="O618" s="7">
        <v>160936353</v>
      </c>
      <c r="P618" s="8">
        <v>0.95</v>
      </c>
      <c r="Q618" s="7">
        <v>4628384</v>
      </c>
      <c r="R618" s="7">
        <v>2916786</v>
      </c>
      <c r="S618" s="7">
        <v>154798155</v>
      </c>
      <c r="T618" s="7">
        <v>158019567</v>
      </c>
      <c r="U618" s="7">
        <v>154798155</v>
      </c>
      <c r="V618" s="7">
        <v>158019567</v>
      </c>
      <c r="W618" s="7">
        <v>0</v>
      </c>
      <c r="X618" s="7">
        <v>0</v>
      </c>
      <c r="Y618" s="7">
        <v>11012</v>
      </c>
      <c r="Z618" s="7">
        <v>10935</v>
      </c>
      <c r="AA618" s="8">
        <v>-0.7</v>
      </c>
      <c r="AB618" s="7">
        <v>84500</v>
      </c>
      <c r="AC618" s="7">
        <v>424000</v>
      </c>
      <c r="AD618" s="7">
        <v>5114885</v>
      </c>
      <c r="AE618" s="7">
        <v>5200000</v>
      </c>
      <c r="AF618" s="7">
        <v>8550000</v>
      </c>
      <c r="AG618" s="7">
        <v>8950000</v>
      </c>
      <c r="AH618" s="8">
        <v>3.87</v>
      </c>
      <c r="AI618" s="8">
        <v>3.97</v>
      </c>
    </row>
    <row r="619" spans="1:35" x14ac:dyDescent="0.25">
      <c r="A619" s="6" t="str">
        <f>"631201"</f>
        <v>631201</v>
      </c>
      <c r="B619" s="6" t="s">
        <v>651</v>
      </c>
      <c r="C619" s="7">
        <v>19866440</v>
      </c>
      <c r="D619" s="7">
        <v>19566440</v>
      </c>
      <c r="E619" s="8">
        <v>-1.51</v>
      </c>
      <c r="F619" s="7">
        <v>8291839</v>
      </c>
      <c r="G619" s="7">
        <v>7960165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8291839</v>
      </c>
      <c r="O619" s="7">
        <v>7960165</v>
      </c>
      <c r="P619" s="8">
        <v>-4</v>
      </c>
      <c r="Q619" s="7">
        <v>156256</v>
      </c>
      <c r="R619" s="7">
        <v>0</v>
      </c>
      <c r="S619" s="7">
        <v>8335965</v>
      </c>
      <c r="T619" s="7">
        <v>8363289</v>
      </c>
      <c r="U619" s="7">
        <v>8135583</v>
      </c>
      <c r="V619" s="7">
        <v>7960165</v>
      </c>
      <c r="W619" s="7">
        <v>200382</v>
      </c>
      <c r="X619" s="7">
        <v>403124</v>
      </c>
      <c r="Y619" s="7">
        <v>760</v>
      </c>
      <c r="Z619" s="7">
        <v>740</v>
      </c>
      <c r="AA619" s="8">
        <v>-2.63</v>
      </c>
      <c r="AB619" s="7">
        <v>4539403</v>
      </c>
      <c r="AC619" s="7">
        <v>2794749</v>
      </c>
      <c r="AD619" s="7">
        <v>546546</v>
      </c>
      <c r="AE619" s="7">
        <v>300000</v>
      </c>
      <c r="AF619" s="7">
        <v>787335</v>
      </c>
      <c r="AG619" s="7">
        <v>782658</v>
      </c>
      <c r="AH619" s="8">
        <v>3.96</v>
      </c>
      <c r="AI619" s="8">
        <v>4</v>
      </c>
    </row>
    <row r="620" spans="1:35" x14ac:dyDescent="0.25">
      <c r="A620" s="6" t="str">
        <f>"671501"</f>
        <v>671501</v>
      </c>
      <c r="B620" s="6" t="s">
        <v>652</v>
      </c>
      <c r="C620" s="7">
        <v>20059540</v>
      </c>
      <c r="D620" s="7">
        <v>20076450</v>
      </c>
      <c r="E620" s="8">
        <v>0.08</v>
      </c>
      <c r="F620" s="7">
        <v>7152614</v>
      </c>
      <c r="G620" s="7">
        <v>7186231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7152614</v>
      </c>
      <c r="O620" s="7">
        <v>7186231</v>
      </c>
      <c r="P620" s="8">
        <v>0.47</v>
      </c>
      <c r="Q620" s="7">
        <v>0</v>
      </c>
      <c r="R620" s="7">
        <v>12468</v>
      </c>
      <c r="S620" s="7">
        <v>7284511</v>
      </c>
      <c r="T620" s="7">
        <v>7426309</v>
      </c>
      <c r="U620" s="7">
        <v>7152614</v>
      </c>
      <c r="V620" s="7">
        <v>7173763</v>
      </c>
      <c r="W620" s="7">
        <v>131897</v>
      </c>
      <c r="X620" s="7">
        <v>252546</v>
      </c>
      <c r="Y620" s="7">
        <v>891</v>
      </c>
      <c r="Z620" s="7">
        <v>887</v>
      </c>
      <c r="AA620" s="8">
        <v>-0.45</v>
      </c>
      <c r="AB620" s="7">
        <v>9559044</v>
      </c>
      <c r="AC620" s="7">
        <v>8562179</v>
      </c>
      <c r="AD620" s="7">
        <v>309209</v>
      </c>
      <c r="AE620" s="7">
        <v>350775</v>
      </c>
      <c r="AF620" s="7">
        <v>802389</v>
      </c>
      <c r="AG620" s="7">
        <v>803058</v>
      </c>
      <c r="AH620" s="8">
        <v>4</v>
      </c>
      <c r="AI620" s="8">
        <v>4</v>
      </c>
    </row>
    <row r="621" spans="1:35" x14ac:dyDescent="0.25">
      <c r="A621" s="6" t="str">
        <f>"442101"</f>
        <v>442101</v>
      </c>
      <c r="B621" s="6" t="s">
        <v>653</v>
      </c>
      <c r="C621" s="7">
        <v>88202636</v>
      </c>
      <c r="D621" s="7">
        <v>90116888</v>
      </c>
      <c r="E621" s="8">
        <v>2.17</v>
      </c>
      <c r="F621" s="7">
        <v>57970526</v>
      </c>
      <c r="G621" s="7">
        <v>59106666</v>
      </c>
      <c r="H621" s="7">
        <v>509245</v>
      </c>
      <c r="I621" s="7">
        <v>424650</v>
      </c>
      <c r="J621" s="7">
        <v>0</v>
      </c>
      <c r="K621" s="7">
        <v>0</v>
      </c>
      <c r="L621" s="7">
        <v>0</v>
      </c>
      <c r="M621" s="7">
        <v>0</v>
      </c>
      <c r="N621" s="7">
        <v>58479771</v>
      </c>
      <c r="O621" s="7">
        <v>59531316</v>
      </c>
      <c r="P621" s="8">
        <v>1.8</v>
      </c>
      <c r="Q621" s="7">
        <v>1708730</v>
      </c>
      <c r="R621" s="7">
        <v>1847262</v>
      </c>
      <c r="S621" s="7">
        <v>57015887</v>
      </c>
      <c r="T621" s="7">
        <v>57684054</v>
      </c>
      <c r="U621" s="7">
        <v>56261796</v>
      </c>
      <c r="V621" s="7">
        <v>57259404</v>
      </c>
      <c r="W621" s="7">
        <v>754091</v>
      </c>
      <c r="X621" s="7">
        <v>424650</v>
      </c>
      <c r="Y621" s="7">
        <v>3520</v>
      </c>
      <c r="Z621" s="7">
        <v>3426</v>
      </c>
      <c r="AA621" s="8">
        <v>-2.67</v>
      </c>
      <c r="AB621" s="7">
        <v>8694244</v>
      </c>
      <c r="AC621" s="7">
        <v>9000000</v>
      </c>
      <c r="AD621" s="7">
        <v>2782235</v>
      </c>
      <c r="AE621" s="7">
        <v>2800000</v>
      </c>
      <c r="AF621" s="7">
        <v>3528085</v>
      </c>
      <c r="AG621" s="7">
        <v>3605000</v>
      </c>
      <c r="AH621" s="8">
        <v>4</v>
      </c>
      <c r="AI621" s="8">
        <v>4</v>
      </c>
    </row>
    <row r="622" spans="1:35" x14ac:dyDescent="0.25">
      <c r="A622" s="6" t="str">
        <f>"440102"</f>
        <v>440102</v>
      </c>
      <c r="B622" s="6" t="s">
        <v>654</v>
      </c>
      <c r="C622" s="7">
        <v>89401006</v>
      </c>
      <c r="D622" s="7">
        <v>92291918</v>
      </c>
      <c r="E622" s="8">
        <v>3.23</v>
      </c>
      <c r="F622" s="7">
        <v>53680007</v>
      </c>
      <c r="G622" s="7">
        <v>54145067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53680007</v>
      </c>
      <c r="O622" s="7">
        <v>54145067</v>
      </c>
      <c r="P622" s="8">
        <v>0.87</v>
      </c>
      <c r="Q622" s="7">
        <v>660369</v>
      </c>
      <c r="R622" s="7">
        <v>104337</v>
      </c>
      <c r="S622" s="7">
        <v>53019638</v>
      </c>
      <c r="T622" s="7">
        <v>54040730</v>
      </c>
      <c r="U622" s="7">
        <v>53019638</v>
      </c>
      <c r="V622" s="7">
        <v>54040730</v>
      </c>
      <c r="W622" s="7">
        <v>0</v>
      </c>
      <c r="X622" s="7">
        <v>0</v>
      </c>
      <c r="Y622" s="7">
        <v>4245</v>
      </c>
      <c r="Z622" s="7">
        <v>4235</v>
      </c>
      <c r="AA622" s="8">
        <v>-0.24</v>
      </c>
      <c r="AB622" s="7">
        <v>10247741</v>
      </c>
      <c r="AC622" s="7">
        <v>8947200</v>
      </c>
      <c r="AD622" s="7">
        <v>3960000</v>
      </c>
      <c r="AE622" s="7">
        <v>5360000</v>
      </c>
      <c r="AF622" s="7">
        <v>4897135</v>
      </c>
      <c r="AG622" s="7">
        <v>3696000</v>
      </c>
      <c r="AH622" s="8">
        <v>5.48</v>
      </c>
      <c r="AI622" s="8">
        <v>4</v>
      </c>
    </row>
    <row r="623" spans="1:35" x14ac:dyDescent="0.25">
      <c r="A623" s="6" t="str">
        <f>"522101"</f>
        <v>522101</v>
      </c>
      <c r="B623" s="6" t="s">
        <v>655</v>
      </c>
      <c r="C623" s="7">
        <v>20930502</v>
      </c>
      <c r="D623" s="7">
        <v>20972306</v>
      </c>
      <c r="E623" s="8">
        <v>0.2</v>
      </c>
      <c r="F623" s="7">
        <v>10617005</v>
      </c>
      <c r="G623" s="7">
        <v>10828212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10617005</v>
      </c>
      <c r="O623" s="7">
        <v>10828212</v>
      </c>
      <c r="P623" s="8">
        <v>1.99</v>
      </c>
      <c r="Q623" s="7">
        <v>544030</v>
      </c>
      <c r="R623" s="7">
        <v>565405</v>
      </c>
      <c r="S623" s="7">
        <v>10072975</v>
      </c>
      <c r="T623" s="7">
        <v>10262807</v>
      </c>
      <c r="U623" s="7">
        <v>10072975</v>
      </c>
      <c r="V623" s="7">
        <v>10262807</v>
      </c>
      <c r="W623" s="7">
        <v>0</v>
      </c>
      <c r="X623" s="7">
        <v>0</v>
      </c>
      <c r="Y623" s="7">
        <v>787</v>
      </c>
      <c r="Z623" s="7">
        <v>780</v>
      </c>
      <c r="AA623" s="8">
        <v>-0.89</v>
      </c>
      <c r="AB623" s="7">
        <v>2899569</v>
      </c>
      <c r="AC623" s="7">
        <v>2529338</v>
      </c>
      <c r="AD623" s="7">
        <v>1537890</v>
      </c>
      <c r="AE623" s="7">
        <v>1515275</v>
      </c>
      <c r="AF623" s="7">
        <v>837220</v>
      </c>
      <c r="AG623" s="7">
        <v>838892</v>
      </c>
      <c r="AH623" s="8">
        <v>4</v>
      </c>
      <c r="AI623" s="8">
        <v>4</v>
      </c>
    </row>
    <row r="624" spans="1:35" x14ac:dyDescent="0.25">
      <c r="A624" s="6" t="str">
        <f>"561006"</f>
        <v>561006</v>
      </c>
      <c r="B624" s="6" t="s">
        <v>656</v>
      </c>
      <c r="C624" s="7">
        <v>38240492</v>
      </c>
      <c r="D624" s="7">
        <v>38974398</v>
      </c>
      <c r="E624" s="8">
        <v>1.92</v>
      </c>
      <c r="F624" s="7">
        <v>12393685</v>
      </c>
      <c r="G624" s="7">
        <v>12438733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12393685</v>
      </c>
      <c r="O624" s="7">
        <v>12438733</v>
      </c>
      <c r="P624" s="8">
        <v>0.36</v>
      </c>
      <c r="Q624" s="7">
        <v>0</v>
      </c>
      <c r="R624" s="7">
        <v>0</v>
      </c>
      <c r="S624" s="7">
        <v>12678721</v>
      </c>
      <c r="T624" s="7">
        <v>12526481</v>
      </c>
      <c r="U624" s="7">
        <v>12393685</v>
      </c>
      <c r="V624" s="7">
        <v>12438733</v>
      </c>
      <c r="W624" s="7">
        <v>285036</v>
      </c>
      <c r="X624" s="7">
        <v>87748</v>
      </c>
      <c r="Y624" s="7">
        <v>1700</v>
      </c>
      <c r="Z624" s="7">
        <v>1600</v>
      </c>
      <c r="AA624" s="8">
        <v>-5.88</v>
      </c>
      <c r="AB624" s="7">
        <v>13713190</v>
      </c>
      <c r="AC624" s="7">
        <v>13524458</v>
      </c>
      <c r="AD624" s="7">
        <v>472644</v>
      </c>
      <c r="AE624" s="7">
        <v>0</v>
      </c>
      <c r="AF624" s="7">
        <v>1529620</v>
      </c>
      <c r="AG624" s="7">
        <v>1558976</v>
      </c>
      <c r="AH624" s="8">
        <v>4</v>
      </c>
      <c r="AI624" s="8">
        <v>4</v>
      </c>
    </row>
    <row r="625" spans="1:35" x14ac:dyDescent="0.25">
      <c r="A625" s="6" t="str">
        <f>"222000"</f>
        <v>222000</v>
      </c>
      <c r="B625" s="6" t="s">
        <v>657</v>
      </c>
      <c r="C625" s="7">
        <v>69407688</v>
      </c>
      <c r="D625" s="7">
        <v>71072662</v>
      </c>
      <c r="E625" s="8">
        <v>2.4</v>
      </c>
      <c r="F625" s="7">
        <v>15463438</v>
      </c>
      <c r="G625" s="7">
        <v>15709725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15463438</v>
      </c>
      <c r="O625" s="7">
        <v>15709725</v>
      </c>
      <c r="P625" s="8">
        <v>1.59</v>
      </c>
      <c r="Q625" s="7">
        <v>0</v>
      </c>
      <c r="R625" s="7">
        <v>0</v>
      </c>
      <c r="S625" s="7">
        <v>15463438</v>
      </c>
      <c r="T625" s="7">
        <v>15709725</v>
      </c>
      <c r="U625" s="7">
        <v>15463438</v>
      </c>
      <c r="V625" s="7">
        <v>15709725</v>
      </c>
      <c r="W625" s="7">
        <v>0</v>
      </c>
      <c r="X625" s="7">
        <v>0</v>
      </c>
      <c r="Y625" s="7">
        <v>4078</v>
      </c>
      <c r="Z625" s="7">
        <v>4030</v>
      </c>
      <c r="AA625" s="8">
        <v>-1.18</v>
      </c>
      <c r="AB625" s="7">
        <v>4804928</v>
      </c>
      <c r="AC625" s="7">
        <v>4554928</v>
      </c>
      <c r="AD625" s="7">
        <v>11616334</v>
      </c>
      <c r="AE625" s="7">
        <v>11883114</v>
      </c>
      <c r="AF625" s="7">
        <v>6699939</v>
      </c>
      <c r="AG625" s="7">
        <v>3550045</v>
      </c>
      <c r="AH625" s="8">
        <v>9.65</v>
      </c>
      <c r="AI625" s="8">
        <v>4.99</v>
      </c>
    </row>
    <row r="626" spans="1:35" x14ac:dyDescent="0.25">
      <c r="A626" s="6" t="str">
        <f>"411902"</f>
        <v>411902</v>
      </c>
      <c r="B626" s="6" t="s">
        <v>658</v>
      </c>
      <c r="C626" s="7">
        <v>17878873</v>
      </c>
      <c r="D626" s="7">
        <v>18008877</v>
      </c>
      <c r="E626" s="8">
        <v>0.73</v>
      </c>
      <c r="F626" s="7">
        <v>4954258</v>
      </c>
      <c r="G626" s="7">
        <v>5060775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4954258</v>
      </c>
      <c r="O626" s="7">
        <v>5060775</v>
      </c>
      <c r="P626" s="8">
        <v>2.15</v>
      </c>
      <c r="Q626" s="7">
        <v>511399</v>
      </c>
      <c r="R626" s="7">
        <v>486207</v>
      </c>
      <c r="S626" s="7">
        <v>4486958</v>
      </c>
      <c r="T626" s="7">
        <v>4580031</v>
      </c>
      <c r="U626" s="7">
        <v>4442859</v>
      </c>
      <c r="V626" s="7">
        <v>4574568</v>
      </c>
      <c r="W626" s="7">
        <v>44099</v>
      </c>
      <c r="X626" s="7">
        <v>5463</v>
      </c>
      <c r="Y626" s="7">
        <v>800</v>
      </c>
      <c r="Z626" s="7">
        <v>800</v>
      </c>
      <c r="AA626" s="8">
        <v>0</v>
      </c>
      <c r="AB626" s="7">
        <v>1586050</v>
      </c>
      <c r="AC626" s="7">
        <v>1186050</v>
      </c>
      <c r="AD626" s="7">
        <v>374895</v>
      </c>
      <c r="AE626" s="7">
        <v>30000</v>
      </c>
      <c r="AF626" s="7">
        <v>809351</v>
      </c>
      <c r="AG626" s="7">
        <v>750000</v>
      </c>
      <c r="AH626" s="8">
        <v>4.53</v>
      </c>
      <c r="AI626" s="8">
        <v>4.16</v>
      </c>
    </row>
    <row r="627" spans="1:35" x14ac:dyDescent="0.25">
      <c r="A627" s="6" t="str">
        <f>"011200"</f>
        <v>011200</v>
      </c>
      <c r="B627" s="6" t="s">
        <v>659</v>
      </c>
      <c r="C627" s="7">
        <v>26162000</v>
      </c>
      <c r="D627" s="7">
        <v>26692000</v>
      </c>
      <c r="E627" s="8">
        <v>2.0299999999999998</v>
      </c>
      <c r="F627" s="7">
        <v>6785000</v>
      </c>
      <c r="G627" s="7">
        <v>6790000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6785000</v>
      </c>
      <c r="O627" s="7">
        <v>6790000</v>
      </c>
      <c r="P627" s="8">
        <v>7.0000000000000007E-2</v>
      </c>
      <c r="Q627" s="7">
        <v>0</v>
      </c>
      <c r="R627" s="7">
        <v>0</v>
      </c>
      <c r="S627" s="7">
        <v>6788432</v>
      </c>
      <c r="T627" s="7">
        <v>6793870</v>
      </c>
      <c r="U627" s="7">
        <v>6785000</v>
      </c>
      <c r="V627" s="7">
        <v>6790000</v>
      </c>
      <c r="W627" s="7">
        <v>3432</v>
      </c>
      <c r="X627" s="7">
        <v>3870</v>
      </c>
      <c r="Y627" s="7">
        <v>1343</v>
      </c>
      <c r="Z627" s="7">
        <v>1350</v>
      </c>
      <c r="AA627" s="8">
        <v>0.52</v>
      </c>
      <c r="AB627" s="7">
        <v>6254</v>
      </c>
      <c r="AC627" s="7">
        <v>6254</v>
      </c>
      <c r="AD627" s="7">
        <v>0</v>
      </c>
      <c r="AE627" s="7">
        <v>150000</v>
      </c>
      <c r="AF627" s="7">
        <v>1430826</v>
      </c>
      <c r="AG627" s="7">
        <v>1050000</v>
      </c>
      <c r="AH627" s="8">
        <v>5.47</v>
      </c>
      <c r="AI627" s="8">
        <v>3.93</v>
      </c>
    </row>
    <row r="628" spans="1:35" x14ac:dyDescent="0.25">
      <c r="A628" s="6" t="str">
        <f>"550301"</f>
        <v>550301</v>
      </c>
      <c r="B628" s="6" t="s">
        <v>660</v>
      </c>
      <c r="C628" s="7">
        <v>26560014</v>
      </c>
      <c r="D628" s="7">
        <v>27220200</v>
      </c>
      <c r="E628" s="8">
        <v>2.4900000000000002</v>
      </c>
      <c r="F628" s="7">
        <v>9231806</v>
      </c>
      <c r="G628" s="7">
        <v>9508760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9231806</v>
      </c>
      <c r="O628" s="7">
        <v>9508760</v>
      </c>
      <c r="P628" s="8">
        <v>3</v>
      </c>
      <c r="Q628" s="7">
        <v>531430</v>
      </c>
      <c r="R628" s="7">
        <v>797220</v>
      </c>
      <c r="S628" s="7">
        <v>8738750</v>
      </c>
      <c r="T628" s="7">
        <v>8881896</v>
      </c>
      <c r="U628" s="7">
        <v>8700376</v>
      </c>
      <c r="V628" s="7">
        <v>8711540</v>
      </c>
      <c r="W628" s="7">
        <v>38374</v>
      </c>
      <c r="X628" s="7">
        <v>170356</v>
      </c>
      <c r="Y628" s="7">
        <v>1096</v>
      </c>
      <c r="Z628" s="7">
        <v>1065</v>
      </c>
      <c r="AA628" s="8">
        <v>-2.83</v>
      </c>
      <c r="AB628" s="7">
        <v>3634900</v>
      </c>
      <c r="AC628" s="7">
        <v>3722053</v>
      </c>
      <c r="AD628" s="7">
        <v>500000</v>
      </c>
      <c r="AE628" s="7">
        <v>435000</v>
      </c>
      <c r="AF628" s="7">
        <v>1060967</v>
      </c>
      <c r="AG628" s="7">
        <v>1088808</v>
      </c>
      <c r="AH628" s="8">
        <v>3.99</v>
      </c>
      <c r="AI628" s="8">
        <v>4</v>
      </c>
    </row>
    <row r="629" spans="1:35" x14ac:dyDescent="0.25">
      <c r="A629" s="6" t="str">
        <f>"600101"</f>
        <v>600101</v>
      </c>
      <c r="B629" s="6" t="s">
        <v>661</v>
      </c>
      <c r="C629" s="7">
        <v>30655723</v>
      </c>
      <c r="D629" s="7">
        <v>31619484</v>
      </c>
      <c r="E629" s="8">
        <v>3.14</v>
      </c>
      <c r="F629" s="7">
        <v>6771509</v>
      </c>
      <c r="G629" s="7">
        <v>6973977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6771509</v>
      </c>
      <c r="O629" s="7">
        <v>6973977</v>
      </c>
      <c r="P629" s="8">
        <v>2.99</v>
      </c>
      <c r="Q629" s="7">
        <v>0</v>
      </c>
      <c r="R629" s="7">
        <v>358522</v>
      </c>
      <c r="S629" s="7">
        <v>6771509</v>
      </c>
      <c r="T629" s="7">
        <v>6644083</v>
      </c>
      <c r="U629" s="7">
        <v>6771509</v>
      </c>
      <c r="V629" s="7">
        <v>6615455</v>
      </c>
      <c r="W629" s="7">
        <v>0</v>
      </c>
      <c r="X629" s="7">
        <v>28628</v>
      </c>
      <c r="Y629" s="7">
        <v>1667</v>
      </c>
      <c r="Z629" s="7">
        <v>1667</v>
      </c>
      <c r="AA629" s="8">
        <v>0</v>
      </c>
      <c r="AB629" s="7">
        <v>2781582</v>
      </c>
      <c r="AC629" s="7">
        <v>2589452</v>
      </c>
      <c r="AD629" s="7">
        <v>1862750</v>
      </c>
      <c r="AE629" s="7">
        <v>1664126</v>
      </c>
      <c r="AF629" s="7">
        <v>1061198</v>
      </c>
      <c r="AG629" s="7">
        <v>926198</v>
      </c>
      <c r="AH629" s="8">
        <v>3.46</v>
      </c>
      <c r="AI629" s="8">
        <v>2.93</v>
      </c>
    </row>
    <row r="630" spans="1:35" x14ac:dyDescent="0.25">
      <c r="A630" s="6" t="str">
        <f>"573002"</f>
        <v>573002</v>
      </c>
      <c r="B630" s="6" t="s">
        <v>662</v>
      </c>
      <c r="C630" s="7">
        <v>29873401</v>
      </c>
      <c r="D630" s="7">
        <v>30322401</v>
      </c>
      <c r="E630" s="8">
        <v>1.5</v>
      </c>
      <c r="F630" s="7">
        <v>7330000</v>
      </c>
      <c r="G630" s="7">
        <v>7470000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7330000</v>
      </c>
      <c r="O630" s="7">
        <v>7470000</v>
      </c>
      <c r="P630" s="8">
        <v>1.91</v>
      </c>
      <c r="Q630" s="7">
        <v>0</v>
      </c>
      <c r="R630" s="7">
        <v>0</v>
      </c>
      <c r="S630" s="7">
        <v>7335757</v>
      </c>
      <c r="T630" s="7">
        <v>7479838</v>
      </c>
      <c r="U630" s="7">
        <v>7330000</v>
      </c>
      <c r="V630" s="7">
        <v>7470000</v>
      </c>
      <c r="W630" s="7">
        <v>5757</v>
      </c>
      <c r="X630" s="7">
        <v>9838</v>
      </c>
      <c r="Y630" s="7">
        <v>1298</v>
      </c>
      <c r="Z630" s="7">
        <v>1292</v>
      </c>
      <c r="AA630" s="8">
        <v>-0.46</v>
      </c>
      <c r="AB630" s="7">
        <v>7152036</v>
      </c>
      <c r="AC630" s="7">
        <v>7152036</v>
      </c>
      <c r="AD630" s="7">
        <v>600000</v>
      </c>
      <c r="AE630" s="7">
        <v>600000</v>
      </c>
      <c r="AF630" s="7">
        <v>1199524</v>
      </c>
      <c r="AG630" s="7">
        <v>1212896</v>
      </c>
      <c r="AH630" s="8">
        <v>4.0199999999999996</v>
      </c>
      <c r="AI630" s="8">
        <v>4</v>
      </c>
    </row>
    <row r="631" spans="1:35" x14ac:dyDescent="0.25">
      <c r="A631" s="6" t="str">
        <f>"650801"</f>
        <v>650801</v>
      </c>
      <c r="B631" s="6" t="s">
        <v>663</v>
      </c>
      <c r="C631" s="7">
        <v>47141930</v>
      </c>
      <c r="D631" s="7">
        <v>44975305</v>
      </c>
      <c r="E631" s="8">
        <v>-4.5999999999999996</v>
      </c>
      <c r="F631" s="7">
        <v>20771308</v>
      </c>
      <c r="G631" s="7">
        <v>21286215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20771308</v>
      </c>
      <c r="O631" s="7">
        <v>21286215</v>
      </c>
      <c r="P631" s="8">
        <v>2.48</v>
      </c>
      <c r="Q631" s="7">
        <v>536910</v>
      </c>
      <c r="R631" s="7">
        <v>563757</v>
      </c>
      <c r="S631" s="7">
        <v>20234398</v>
      </c>
      <c r="T631" s="7">
        <v>21259849</v>
      </c>
      <c r="U631" s="7">
        <v>20234398</v>
      </c>
      <c r="V631" s="7">
        <v>20722458</v>
      </c>
      <c r="W631" s="7">
        <v>0</v>
      </c>
      <c r="X631" s="7">
        <v>537391</v>
      </c>
      <c r="Y631" s="7">
        <v>2189</v>
      </c>
      <c r="Z631" s="7">
        <v>2153</v>
      </c>
      <c r="AA631" s="8">
        <v>-1.64</v>
      </c>
      <c r="AB631" s="7">
        <v>10466580</v>
      </c>
      <c r="AC631" s="7">
        <v>8300574</v>
      </c>
      <c r="AD631" s="7">
        <v>1358698</v>
      </c>
      <c r="AE631" s="7">
        <v>950000</v>
      </c>
      <c r="AF631" s="7">
        <v>1872486</v>
      </c>
      <c r="AG631" s="7">
        <v>1799012</v>
      </c>
      <c r="AH631" s="8">
        <v>3.97</v>
      </c>
      <c r="AI631" s="8">
        <v>4</v>
      </c>
    </row>
    <row r="632" spans="1:35" x14ac:dyDescent="0.25">
      <c r="A632" s="6" t="str">
        <f>"261901"</f>
        <v>261901</v>
      </c>
      <c r="B632" s="6" t="s">
        <v>664</v>
      </c>
      <c r="C632" s="7">
        <v>163860220</v>
      </c>
      <c r="D632" s="7">
        <v>167959062</v>
      </c>
      <c r="E632" s="8">
        <v>2.5</v>
      </c>
      <c r="F632" s="7">
        <v>98845653</v>
      </c>
      <c r="G632" s="7">
        <v>100828068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98845653</v>
      </c>
      <c r="O632" s="7">
        <v>100828068</v>
      </c>
      <c r="P632" s="8">
        <v>2.0099999999999998</v>
      </c>
      <c r="Q632" s="7">
        <v>2550267</v>
      </c>
      <c r="R632" s="7">
        <v>2508092</v>
      </c>
      <c r="S632" s="7">
        <v>96295386</v>
      </c>
      <c r="T632" s="7">
        <v>98319976</v>
      </c>
      <c r="U632" s="7">
        <v>96295386</v>
      </c>
      <c r="V632" s="7">
        <v>98319976</v>
      </c>
      <c r="W632" s="7">
        <v>0</v>
      </c>
      <c r="X632" s="7">
        <v>0</v>
      </c>
      <c r="Y632" s="7">
        <v>8600</v>
      </c>
      <c r="Z632" s="7">
        <v>8550</v>
      </c>
      <c r="AA632" s="8">
        <v>-0.57999999999999996</v>
      </c>
      <c r="AB632" s="7">
        <v>17750000</v>
      </c>
      <c r="AC632" s="7">
        <v>18000000</v>
      </c>
      <c r="AD632" s="7">
        <v>5500000</v>
      </c>
      <c r="AE632" s="7">
        <v>5500000</v>
      </c>
      <c r="AF632" s="7">
        <v>6554409</v>
      </c>
      <c r="AG632" s="7">
        <v>6732725</v>
      </c>
      <c r="AH632" s="8">
        <v>4</v>
      </c>
      <c r="AI632" s="8">
        <v>4.01</v>
      </c>
    </row>
    <row r="633" spans="1:35" x14ac:dyDescent="0.25">
      <c r="A633" s="6" t="str">
        <f>"050301"</f>
        <v>050301</v>
      </c>
      <c r="B633" s="6" t="s">
        <v>665</v>
      </c>
      <c r="C633" s="7">
        <v>19905785</v>
      </c>
      <c r="D633" s="7">
        <v>20147217</v>
      </c>
      <c r="E633" s="8">
        <v>1.21</v>
      </c>
      <c r="F633" s="7">
        <v>7560000</v>
      </c>
      <c r="G633" s="7">
        <v>7710000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7560000</v>
      </c>
      <c r="O633" s="7">
        <v>7710000</v>
      </c>
      <c r="P633" s="8">
        <v>1.98</v>
      </c>
      <c r="Q633" s="7">
        <v>0</v>
      </c>
      <c r="R633" s="7">
        <v>0</v>
      </c>
      <c r="S633" s="7">
        <v>7577297</v>
      </c>
      <c r="T633" s="7">
        <v>7822149</v>
      </c>
      <c r="U633" s="7">
        <v>7560000</v>
      </c>
      <c r="V633" s="7">
        <v>7710000</v>
      </c>
      <c r="W633" s="7">
        <v>17297</v>
      </c>
      <c r="X633" s="7">
        <v>112149</v>
      </c>
      <c r="Y633" s="7">
        <v>834</v>
      </c>
      <c r="Z633" s="7">
        <v>830</v>
      </c>
      <c r="AA633" s="8">
        <v>-0.48</v>
      </c>
      <c r="AB633" s="7">
        <v>831535</v>
      </c>
      <c r="AC633" s="7">
        <v>831535</v>
      </c>
      <c r="AD633" s="7">
        <v>644621</v>
      </c>
      <c r="AE633" s="7">
        <v>600000</v>
      </c>
      <c r="AF633" s="7">
        <v>542578</v>
      </c>
      <c r="AG633" s="7">
        <v>550000</v>
      </c>
      <c r="AH633" s="8">
        <v>2.73</v>
      </c>
      <c r="AI633" s="8">
        <v>2.73</v>
      </c>
    </row>
    <row r="634" spans="1:35" x14ac:dyDescent="0.25">
      <c r="A634" s="6" t="str">
        <f>"200901"</f>
        <v>200901</v>
      </c>
      <c r="B634" s="6" t="s">
        <v>666</v>
      </c>
      <c r="C634" s="7">
        <v>5650626</v>
      </c>
      <c r="D634" s="7">
        <v>5703176</v>
      </c>
      <c r="E634" s="8">
        <v>0.93</v>
      </c>
      <c r="F634" s="7">
        <v>4098619</v>
      </c>
      <c r="G634" s="7">
        <v>4136749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4098619</v>
      </c>
      <c r="O634" s="7">
        <v>4136749</v>
      </c>
      <c r="P634" s="8">
        <v>0.93</v>
      </c>
      <c r="Q634" s="7">
        <v>166066</v>
      </c>
      <c r="R634" s="7">
        <v>140950</v>
      </c>
      <c r="S634" s="7">
        <v>3932553</v>
      </c>
      <c r="T634" s="7">
        <v>3995799</v>
      </c>
      <c r="U634" s="7">
        <v>3932553</v>
      </c>
      <c r="V634" s="7">
        <v>3995799</v>
      </c>
      <c r="W634" s="7">
        <v>0</v>
      </c>
      <c r="X634" s="7">
        <v>0</v>
      </c>
      <c r="Y634" s="7">
        <v>152</v>
      </c>
      <c r="Z634" s="7">
        <v>150</v>
      </c>
      <c r="AA634" s="8">
        <v>-1.32</v>
      </c>
      <c r="AB634" s="7">
        <v>1455411</v>
      </c>
      <c r="AC634" s="7">
        <v>1855000</v>
      </c>
      <c r="AD634" s="7">
        <v>200000</v>
      </c>
      <c r="AE634" s="7">
        <v>200000</v>
      </c>
      <c r="AF634" s="7">
        <v>880927</v>
      </c>
      <c r="AG634" s="7">
        <v>228127</v>
      </c>
      <c r="AH634" s="8">
        <v>15.59</v>
      </c>
      <c r="AI634" s="8">
        <v>4</v>
      </c>
    </row>
    <row r="635" spans="1:35" x14ac:dyDescent="0.25">
      <c r="A635" s="6" t="str">
        <f>"022601"</f>
        <v>022601</v>
      </c>
      <c r="B635" s="6" t="s">
        <v>667</v>
      </c>
      <c r="C635" s="7">
        <v>29039629</v>
      </c>
      <c r="D635" s="7">
        <v>29227175</v>
      </c>
      <c r="E635" s="8">
        <v>0.65</v>
      </c>
      <c r="F635" s="7">
        <v>8388802</v>
      </c>
      <c r="G635" s="7">
        <v>8346858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8388802</v>
      </c>
      <c r="O635" s="7">
        <v>8346858</v>
      </c>
      <c r="P635" s="8">
        <v>-0.5</v>
      </c>
      <c r="Q635" s="7">
        <v>122645</v>
      </c>
      <c r="R635" s="7">
        <v>0</v>
      </c>
      <c r="S635" s="7">
        <v>8266159</v>
      </c>
      <c r="T635" s="7">
        <v>8370311</v>
      </c>
      <c r="U635" s="7">
        <v>8266157</v>
      </c>
      <c r="V635" s="7">
        <v>8346858</v>
      </c>
      <c r="W635" s="7">
        <v>2</v>
      </c>
      <c r="X635" s="7">
        <v>23453</v>
      </c>
      <c r="Y635" s="7">
        <v>1244</v>
      </c>
      <c r="Z635" s="7">
        <v>1243</v>
      </c>
      <c r="AA635" s="8">
        <v>-0.08</v>
      </c>
      <c r="AB635" s="7">
        <v>2163857</v>
      </c>
      <c r="AC635" s="7">
        <v>1413927</v>
      </c>
      <c r="AD635" s="7">
        <v>364634</v>
      </c>
      <c r="AE635" s="7">
        <v>880656</v>
      </c>
      <c r="AF635" s="7">
        <v>4154774</v>
      </c>
      <c r="AG635" s="7">
        <v>1169087</v>
      </c>
      <c r="AH635" s="8">
        <v>14.31</v>
      </c>
      <c r="AI635" s="8">
        <v>4</v>
      </c>
    </row>
    <row r="636" spans="1:35" x14ac:dyDescent="0.25">
      <c r="A636" s="6" t="str">
        <f>"580102"</f>
        <v>580102</v>
      </c>
      <c r="B636" s="6" t="s">
        <v>668</v>
      </c>
      <c r="C636" s="7">
        <v>101955305</v>
      </c>
      <c r="D636" s="7">
        <v>106381606</v>
      </c>
      <c r="E636" s="8">
        <v>4.34</v>
      </c>
      <c r="F636" s="7">
        <v>68243966</v>
      </c>
      <c r="G636" s="7">
        <v>69619034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68243966</v>
      </c>
      <c r="O636" s="7">
        <v>69619034</v>
      </c>
      <c r="P636" s="8">
        <v>2.0099999999999998</v>
      </c>
      <c r="Q636" s="7">
        <v>818266</v>
      </c>
      <c r="R636" s="7">
        <v>1229007</v>
      </c>
      <c r="S636" s="7">
        <v>67425700</v>
      </c>
      <c r="T636" s="7">
        <v>68390027</v>
      </c>
      <c r="U636" s="7">
        <v>67425700</v>
      </c>
      <c r="V636" s="7">
        <v>68390027</v>
      </c>
      <c r="W636" s="7">
        <v>0</v>
      </c>
      <c r="X636" s="7">
        <v>0</v>
      </c>
      <c r="Y636" s="7">
        <v>3978</v>
      </c>
      <c r="Z636" s="7">
        <v>3868</v>
      </c>
      <c r="AA636" s="8">
        <v>-2.77</v>
      </c>
      <c r="AB636" s="7">
        <v>10807450</v>
      </c>
      <c r="AC636" s="7">
        <v>11746675</v>
      </c>
      <c r="AD636" s="7">
        <v>204151</v>
      </c>
      <c r="AE636" s="7">
        <v>0</v>
      </c>
      <c r="AF636" s="7">
        <v>4604767</v>
      </c>
      <c r="AG636" s="7">
        <v>4255264</v>
      </c>
      <c r="AH636" s="8">
        <v>4.5199999999999996</v>
      </c>
      <c r="AI636" s="8">
        <v>4</v>
      </c>
    </row>
    <row r="637" spans="1:35" x14ac:dyDescent="0.25">
      <c r="A637" s="6" t="str">
        <f>"210302"</f>
        <v>210302</v>
      </c>
      <c r="B637" s="6" t="s">
        <v>669</v>
      </c>
      <c r="C637" s="7">
        <v>16669007</v>
      </c>
      <c r="D637" s="7">
        <v>16919041</v>
      </c>
      <c r="E637" s="8">
        <v>1.5</v>
      </c>
      <c r="F637" s="7">
        <v>4871087</v>
      </c>
      <c r="G637" s="7">
        <v>4919797</v>
      </c>
      <c r="H637" s="7">
        <v>94000</v>
      </c>
      <c r="I637" s="7">
        <v>94000</v>
      </c>
      <c r="J637" s="7">
        <v>0</v>
      </c>
      <c r="K637" s="7">
        <v>0</v>
      </c>
      <c r="L637" s="7">
        <v>0</v>
      </c>
      <c r="M637" s="7">
        <v>0</v>
      </c>
      <c r="N637" s="7">
        <v>4965087</v>
      </c>
      <c r="O637" s="7">
        <v>5013797</v>
      </c>
      <c r="P637" s="8">
        <v>0.98</v>
      </c>
      <c r="Q637" s="7">
        <v>271867</v>
      </c>
      <c r="R637" s="7">
        <v>225852</v>
      </c>
      <c r="S637" s="7">
        <v>4658798</v>
      </c>
      <c r="T637" s="7">
        <v>4787945</v>
      </c>
      <c r="U637" s="7">
        <v>4599220</v>
      </c>
      <c r="V637" s="7">
        <v>4693945</v>
      </c>
      <c r="W637" s="7">
        <v>59578</v>
      </c>
      <c r="X637" s="7">
        <v>94000</v>
      </c>
      <c r="Y637" s="7">
        <v>682</v>
      </c>
      <c r="Z637" s="7">
        <v>683</v>
      </c>
      <c r="AA637" s="8">
        <v>0.15</v>
      </c>
      <c r="AB637" s="7">
        <v>0</v>
      </c>
      <c r="AC637" s="7">
        <v>0</v>
      </c>
      <c r="AD637" s="7">
        <v>915844</v>
      </c>
      <c r="AE637" s="7">
        <v>996998</v>
      </c>
      <c r="AF637" s="7">
        <v>1694020</v>
      </c>
      <c r="AG637" s="7">
        <v>1603002</v>
      </c>
      <c r="AH637" s="8">
        <v>10.16</v>
      </c>
      <c r="AI637" s="8">
        <v>9.4700000000000006</v>
      </c>
    </row>
    <row r="638" spans="1:35" x14ac:dyDescent="0.25">
      <c r="A638" s="6" t="str">
        <f>"420101"</f>
        <v>420101</v>
      </c>
      <c r="B638" s="6" t="s">
        <v>670</v>
      </c>
      <c r="C638" s="7">
        <v>82227170</v>
      </c>
      <c r="D638" s="7">
        <v>85216870</v>
      </c>
      <c r="E638" s="8">
        <v>3.64</v>
      </c>
      <c r="F638" s="7">
        <v>46668730</v>
      </c>
      <c r="G638" s="7">
        <v>47672260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46668730</v>
      </c>
      <c r="O638" s="7">
        <v>47672260</v>
      </c>
      <c r="P638" s="8">
        <v>2.15</v>
      </c>
      <c r="Q638" s="7">
        <v>1550020</v>
      </c>
      <c r="R638" s="7">
        <v>1470889</v>
      </c>
      <c r="S638" s="7">
        <v>45118710</v>
      </c>
      <c r="T638" s="7">
        <v>46201371</v>
      </c>
      <c r="U638" s="7">
        <v>45118710</v>
      </c>
      <c r="V638" s="7">
        <v>46201371</v>
      </c>
      <c r="W638" s="7">
        <v>0</v>
      </c>
      <c r="X638" s="7">
        <v>0</v>
      </c>
      <c r="Y638" s="7">
        <v>4596</v>
      </c>
      <c r="Z638" s="7">
        <v>4600</v>
      </c>
      <c r="AA638" s="8">
        <v>0.09</v>
      </c>
      <c r="AB638" s="7">
        <v>5642620</v>
      </c>
      <c r="AC638" s="7">
        <v>5725000</v>
      </c>
      <c r="AD638" s="7">
        <v>1400000</v>
      </c>
      <c r="AE638" s="7">
        <v>1400000</v>
      </c>
      <c r="AF638" s="7">
        <v>3284087</v>
      </c>
      <c r="AG638" s="7">
        <v>3400153</v>
      </c>
      <c r="AH638" s="8">
        <v>3.99</v>
      </c>
      <c r="AI638" s="8">
        <v>3.99</v>
      </c>
    </row>
    <row r="639" spans="1:35" x14ac:dyDescent="0.25">
      <c r="A639" s="6" t="str">
        <f>"280227"</f>
        <v>280227</v>
      </c>
      <c r="B639" s="6" t="s">
        <v>671</v>
      </c>
      <c r="C639" s="7">
        <v>59140824</v>
      </c>
      <c r="D639" s="7">
        <v>59943330</v>
      </c>
      <c r="E639" s="8">
        <v>1.36</v>
      </c>
      <c r="F639" s="7">
        <v>43823899</v>
      </c>
      <c r="G639" s="7">
        <v>44566967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43823899</v>
      </c>
      <c r="O639" s="7">
        <v>44566967</v>
      </c>
      <c r="P639" s="8">
        <v>1.7</v>
      </c>
      <c r="Q639" s="7">
        <v>886566</v>
      </c>
      <c r="R639" s="7">
        <v>1175127</v>
      </c>
      <c r="S639" s="7">
        <v>43823899</v>
      </c>
      <c r="T639" s="7">
        <v>44568923</v>
      </c>
      <c r="U639" s="7">
        <v>42937333</v>
      </c>
      <c r="V639" s="7">
        <v>43391840</v>
      </c>
      <c r="W639" s="7">
        <v>886566</v>
      </c>
      <c r="X639" s="7">
        <v>1177083</v>
      </c>
      <c r="Y639" s="7">
        <v>1981</v>
      </c>
      <c r="Z639" s="7">
        <v>1961</v>
      </c>
      <c r="AA639" s="8">
        <v>-1.01</v>
      </c>
      <c r="AB639" s="7">
        <v>3443258</v>
      </c>
      <c r="AC639" s="7">
        <v>3100000</v>
      </c>
      <c r="AD639" s="7">
        <v>500000</v>
      </c>
      <c r="AE639" s="7">
        <v>600000</v>
      </c>
      <c r="AF639" s="7">
        <v>2365631</v>
      </c>
      <c r="AG639" s="7">
        <v>2400000</v>
      </c>
      <c r="AH639" s="8">
        <v>4</v>
      </c>
      <c r="AI639" s="8">
        <v>4</v>
      </c>
    </row>
    <row r="640" spans="1:35" x14ac:dyDescent="0.25">
      <c r="A640" s="6" t="str">
        <f>"260803"</f>
        <v>260803</v>
      </c>
      <c r="B640" s="6" t="s">
        <v>672</v>
      </c>
      <c r="C640" s="7">
        <v>71181074</v>
      </c>
      <c r="D640" s="7">
        <v>71997349</v>
      </c>
      <c r="E640" s="8">
        <v>1.1499999999999999</v>
      </c>
      <c r="F640" s="7">
        <v>37689691</v>
      </c>
      <c r="G640" s="7">
        <v>38290570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37689691</v>
      </c>
      <c r="O640" s="7">
        <v>38290570</v>
      </c>
      <c r="P640" s="8">
        <v>1.59</v>
      </c>
      <c r="Q640" s="7">
        <v>0</v>
      </c>
      <c r="R640" s="7">
        <v>0</v>
      </c>
      <c r="S640" s="7">
        <v>37690691</v>
      </c>
      <c r="T640" s="7">
        <v>38291570</v>
      </c>
      <c r="U640" s="7">
        <v>37689691</v>
      </c>
      <c r="V640" s="7">
        <v>38290570</v>
      </c>
      <c r="W640" s="7">
        <v>1000</v>
      </c>
      <c r="X640" s="7">
        <v>1000</v>
      </c>
      <c r="Y640" s="7">
        <v>3549</v>
      </c>
      <c r="Z640" s="7">
        <v>3577</v>
      </c>
      <c r="AA640" s="8">
        <v>0.79</v>
      </c>
      <c r="AB640" s="7">
        <v>11905895</v>
      </c>
      <c r="AC640" s="7">
        <v>11027120</v>
      </c>
      <c r="AD640" s="7">
        <v>2535626</v>
      </c>
      <c r="AE640" s="7">
        <v>2594608</v>
      </c>
      <c r="AF640" s="7">
        <v>2847243</v>
      </c>
      <c r="AG640" s="7">
        <v>2879894</v>
      </c>
      <c r="AH640" s="8">
        <v>4</v>
      </c>
      <c r="AI640" s="8">
        <v>4</v>
      </c>
    </row>
    <row r="641" spans="1:35" x14ac:dyDescent="0.25">
      <c r="A641" s="6" t="str">
        <f>"580509"</f>
        <v>580509</v>
      </c>
      <c r="B641" s="6" t="s">
        <v>673</v>
      </c>
      <c r="C641" s="7">
        <v>120529829</v>
      </c>
      <c r="D641" s="7">
        <v>121129702</v>
      </c>
      <c r="E641" s="8">
        <v>0.5</v>
      </c>
      <c r="F641" s="7">
        <v>80729475</v>
      </c>
      <c r="G641" s="7">
        <v>80996142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80729475</v>
      </c>
      <c r="O641" s="7">
        <v>80996142</v>
      </c>
      <c r="P641" s="8">
        <v>0.33</v>
      </c>
      <c r="Q641" s="7">
        <v>2751587</v>
      </c>
      <c r="R641" s="7">
        <v>1814702</v>
      </c>
      <c r="S641" s="7">
        <v>77977888</v>
      </c>
      <c r="T641" s="7">
        <v>79181440</v>
      </c>
      <c r="U641" s="7">
        <v>77977888</v>
      </c>
      <c r="V641" s="7">
        <v>79181440</v>
      </c>
      <c r="W641" s="7">
        <v>0</v>
      </c>
      <c r="X641" s="7">
        <v>0</v>
      </c>
      <c r="Y641" s="7">
        <v>4353</v>
      </c>
      <c r="Z641" s="7">
        <v>4206</v>
      </c>
      <c r="AA641" s="8">
        <v>-3.38</v>
      </c>
      <c r="AB641" s="7">
        <v>9764331</v>
      </c>
      <c r="AC641" s="7">
        <v>9865000</v>
      </c>
      <c r="AD641" s="7">
        <v>1000000</v>
      </c>
      <c r="AE641" s="7">
        <v>1000000</v>
      </c>
      <c r="AF641" s="7">
        <v>4821193</v>
      </c>
      <c r="AG641" s="7">
        <v>4840425</v>
      </c>
      <c r="AH641" s="8">
        <v>4</v>
      </c>
      <c r="AI641" s="8">
        <v>4</v>
      </c>
    </row>
    <row r="642" spans="1:35" x14ac:dyDescent="0.25">
      <c r="A642" s="6" t="str">
        <f>"142801"</f>
        <v>142801</v>
      </c>
      <c r="B642" s="6" t="s">
        <v>674</v>
      </c>
      <c r="C642" s="7">
        <v>114535983</v>
      </c>
      <c r="D642" s="7">
        <v>116804058</v>
      </c>
      <c r="E642" s="8">
        <v>1.98</v>
      </c>
      <c r="F642" s="7">
        <v>58942391</v>
      </c>
      <c r="G642" s="7">
        <v>59879144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58942391</v>
      </c>
      <c r="O642" s="7">
        <v>59879144</v>
      </c>
      <c r="P642" s="8">
        <v>1.59</v>
      </c>
      <c r="Q642" s="7">
        <v>2021950</v>
      </c>
      <c r="R642" s="7">
        <v>1894408</v>
      </c>
      <c r="S642" s="7">
        <v>56920441</v>
      </c>
      <c r="T642" s="7">
        <v>57984736</v>
      </c>
      <c r="U642" s="7">
        <v>56920441</v>
      </c>
      <c r="V642" s="7">
        <v>57984736</v>
      </c>
      <c r="W642" s="7">
        <v>0</v>
      </c>
      <c r="X642" s="7">
        <v>0</v>
      </c>
      <c r="Y642" s="7">
        <v>6412</v>
      </c>
      <c r="Z642" s="7">
        <v>6338</v>
      </c>
      <c r="AA642" s="8">
        <v>-1.1499999999999999</v>
      </c>
      <c r="AB642" s="7">
        <v>3399506</v>
      </c>
      <c r="AC642" s="7">
        <v>5906000</v>
      </c>
      <c r="AD642" s="7">
        <v>43927</v>
      </c>
      <c r="AE642" s="7">
        <v>110000</v>
      </c>
      <c r="AF642" s="7">
        <v>3845791</v>
      </c>
      <c r="AG642" s="7">
        <v>4256000</v>
      </c>
      <c r="AH642" s="8">
        <v>3.36</v>
      </c>
      <c r="AI642" s="8">
        <v>3.64</v>
      </c>
    </row>
    <row r="643" spans="1:35" x14ac:dyDescent="0.25">
      <c r="A643" s="6" t="str">
        <f>"040204"</f>
        <v>040204</v>
      </c>
      <c r="B643" s="6" t="s">
        <v>675</v>
      </c>
      <c r="C643" s="7">
        <v>8897863</v>
      </c>
      <c r="D643" s="7">
        <v>9096196</v>
      </c>
      <c r="E643" s="8">
        <v>2.23</v>
      </c>
      <c r="F643" s="7">
        <v>3003939</v>
      </c>
      <c r="G643" s="7">
        <v>3003939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3003939</v>
      </c>
      <c r="O643" s="7">
        <v>3003939</v>
      </c>
      <c r="P643" s="8">
        <v>0</v>
      </c>
      <c r="Q643" s="7">
        <v>0</v>
      </c>
      <c r="R643" s="7">
        <v>0</v>
      </c>
      <c r="S643" s="7">
        <v>3309428</v>
      </c>
      <c r="T643" s="7">
        <v>3105738</v>
      </c>
      <c r="U643" s="7">
        <v>3003939</v>
      </c>
      <c r="V643" s="7">
        <v>3003939</v>
      </c>
      <c r="W643" s="7">
        <v>305489</v>
      </c>
      <c r="X643" s="7">
        <v>101799</v>
      </c>
      <c r="Y643" s="7">
        <v>267</v>
      </c>
      <c r="Z643" s="7">
        <v>245</v>
      </c>
      <c r="AA643" s="8">
        <v>-8.24</v>
      </c>
      <c r="AB643" s="7">
        <v>2148621</v>
      </c>
      <c r="AC643" s="7">
        <v>2248621</v>
      </c>
      <c r="AD643" s="7">
        <v>645534</v>
      </c>
      <c r="AE643" s="7">
        <v>675708</v>
      </c>
      <c r="AF643" s="7">
        <v>355915</v>
      </c>
      <c r="AG643" s="7">
        <v>363848</v>
      </c>
      <c r="AH643" s="8">
        <v>4</v>
      </c>
      <c r="AI643" s="8">
        <v>4</v>
      </c>
    </row>
    <row r="644" spans="1:35" x14ac:dyDescent="0.25">
      <c r="A644" s="6" t="str">
        <f>"280401"</f>
        <v>280401</v>
      </c>
      <c r="B644" s="6" t="s">
        <v>676</v>
      </c>
      <c r="C644" s="7">
        <v>134446668</v>
      </c>
      <c r="D644" s="7">
        <v>145295800</v>
      </c>
      <c r="E644" s="8">
        <v>8.07</v>
      </c>
      <c r="F644" s="7">
        <v>75731414</v>
      </c>
      <c r="G644" s="7">
        <v>77223323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75731414</v>
      </c>
      <c r="O644" s="7">
        <v>77223323</v>
      </c>
      <c r="P644" s="8">
        <v>1.97</v>
      </c>
      <c r="Q644" s="7">
        <v>108919</v>
      </c>
      <c r="R644" s="7">
        <v>0</v>
      </c>
      <c r="S644" s="7">
        <v>75622495</v>
      </c>
      <c r="T644" s="7">
        <v>77476205</v>
      </c>
      <c r="U644" s="7">
        <v>75622495</v>
      </c>
      <c r="V644" s="7">
        <v>77223323</v>
      </c>
      <c r="W644" s="7">
        <v>0</v>
      </c>
      <c r="X644" s="7">
        <v>252882</v>
      </c>
      <c r="Y644" s="7">
        <v>5341</v>
      </c>
      <c r="Z644" s="7">
        <v>5479</v>
      </c>
      <c r="AA644" s="8">
        <v>2.58</v>
      </c>
      <c r="AB644" s="7">
        <v>24760520</v>
      </c>
      <c r="AC644" s="7">
        <v>22880310</v>
      </c>
      <c r="AD644" s="7">
        <v>10062723</v>
      </c>
      <c r="AE644" s="7">
        <v>10062723</v>
      </c>
      <c r="AF644" s="7">
        <v>5736768</v>
      </c>
      <c r="AG644" s="7">
        <v>5732346</v>
      </c>
      <c r="AH644" s="8">
        <v>4.2699999999999996</v>
      </c>
      <c r="AI644" s="8">
        <v>3.95</v>
      </c>
    </row>
    <row r="645" spans="1:35" x14ac:dyDescent="0.25">
      <c r="A645" s="6" t="str">
        <f>"062901"</f>
        <v>062901</v>
      </c>
      <c r="B645" s="6" t="s">
        <v>677</v>
      </c>
      <c r="C645" s="7">
        <v>15852153</v>
      </c>
      <c r="D645" s="7">
        <v>15881650</v>
      </c>
      <c r="E645" s="8">
        <v>0.19</v>
      </c>
      <c r="F645" s="7">
        <v>5924839</v>
      </c>
      <c r="G645" s="7">
        <v>6015691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5924839</v>
      </c>
      <c r="O645" s="7">
        <v>6015691</v>
      </c>
      <c r="P645" s="8">
        <v>1.53</v>
      </c>
      <c r="Q645" s="7">
        <v>0</v>
      </c>
      <c r="R645" s="7">
        <v>0</v>
      </c>
      <c r="S645" s="7">
        <v>5924839</v>
      </c>
      <c r="T645" s="7">
        <v>6015691</v>
      </c>
      <c r="U645" s="7">
        <v>5924839</v>
      </c>
      <c r="V645" s="7">
        <v>6015691</v>
      </c>
      <c r="W645" s="7">
        <v>0</v>
      </c>
      <c r="X645" s="7">
        <v>0</v>
      </c>
      <c r="Y645" s="7">
        <v>683</v>
      </c>
      <c r="Z645" s="7">
        <v>691</v>
      </c>
      <c r="AA645" s="8">
        <v>1.17</v>
      </c>
      <c r="AB645" s="7">
        <v>2582025</v>
      </c>
      <c r="AC645" s="7">
        <v>2932025</v>
      </c>
      <c r="AD645" s="7">
        <v>1071346</v>
      </c>
      <c r="AE645" s="7">
        <v>625000</v>
      </c>
      <c r="AF645" s="7">
        <v>1445793</v>
      </c>
      <c r="AG645" s="7">
        <v>742139</v>
      </c>
      <c r="AH645" s="8">
        <v>9.1199999999999992</v>
      </c>
      <c r="AI645" s="8">
        <v>4.67</v>
      </c>
    </row>
    <row r="646" spans="1:35" x14ac:dyDescent="0.25">
      <c r="A646" s="6" t="str">
        <f>"580902"</f>
        <v>580902</v>
      </c>
      <c r="B646" s="6" t="s">
        <v>678</v>
      </c>
      <c r="C646" s="7">
        <v>55047141</v>
      </c>
      <c r="D646" s="7">
        <v>56072052</v>
      </c>
      <c r="E646" s="8">
        <v>1.86</v>
      </c>
      <c r="F646" s="7">
        <v>28333386</v>
      </c>
      <c r="G646" s="7">
        <v>29133648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28333386</v>
      </c>
      <c r="O646" s="7">
        <v>29133648</v>
      </c>
      <c r="P646" s="8">
        <v>2.82</v>
      </c>
      <c r="Q646" s="7">
        <v>4892620</v>
      </c>
      <c r="R646" s="7">
        <v>5041240</v>
      </c>
      <c r="S646" s="7">
        <v>23443561</v>
      </c>
      <c r="T646" s="7">
        <v>24110250</v>
      </c>
      <c r="U646" s="7">
        <v>23440766</v>
      </c>
      <c r="V646" s="7">
        <v>24092408</v>
      </c>
      <c r="W646" s="7">
        <v>2795</v>
      </c>
      <c r="X646" s="7">
        <v>17842</v>
      </c>
      <c r="Y646" s="7">
        <v>1770</v>
      </c>
      <c r="Z646" s="7">
        <v>1775</v>
      </c>
      <c r="AA646" s="8">
        <v>0.28000000000000003</v>
      </c>
      <c r="AB646" s="7">
        <v>6597223</v>
      </c>
      <c r="AC646" s="7">
        <v>5516197</v>
      </c>
      <c r="AD646" s="7">
        <v>1200000</v>
      </c>
      <c r="AE646" s="7">
        <v>1200000</v>
      </c>
      <c r="AF646" s="7">
        <v>2201886</v>
      </c>
      <c r="AG646" s="7">
        <v>2242882</v>
      </c>
      <c r="AH646" s="8">
        <v>4</v>
      </c>
      <c r="AI646" s="8">
        <v>4</v>
      </c>
    </row>
    <row r="647" spans="1:35" x14ac:dyDescent="0.25">
      <c r="A647" s="6" t="str">
        <f>"420701"</f>
        <v>420701</v>
      </c>
      <c r="B647" s="6" t="s">
        <v>679</v>
      </c>
      <c r="C647" s="7">
        <v>35874915</v>
      </c>
      <c r="D647" s="7">
        <v>36882540</v>
      </c>
      <c r="E647" s="8">
        <v>2.81</v>
      </c>
      <c r="F647" s="7">
        <v>20490078</v>
      </c>
      <c r="G647" s="7">
        <v>20836516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20490078</v>
      </c>
      <c r="O647" s="7">
        <v>20836516</v>
      </c>
      <c r="P647" s="8">
        <v>1.69</v>
      </c>
      <c r="Q647" s="7">
        <v>1035918</v>
      </c>
      <c r="R647" s="7">
        <v>1137234</v>
      </c>
      <c r="S647" s="7">
        <v>19459159</v>
      </c>
      <c r="T647" s="7">
        <v>19699282</v>
      </c>
      <c r="U647" s="7">
        <v>19454160</v>
      </c>
      <c r="V647" s="7">
        <v>19699282</v>
      </c>
      <c r="W647" s="7">
        <v>4999</v>
      </c>
      <c r="X647" s="7">
        <v>0</v>
      </c>
      <c r="Y647" s="7">
        <v>1843</v>
      </c>
      <c r="Z647" s="7">
        <v>1846</v>
      </c>
      <c r="AA647" s="8">
        <v>0.16</v>
      </c>
      <c r="AB647" s="7">
        <v>2713994</v>
      </c>
      <c r="AC647" s="7">
        <v>3060354</v>
      </c>
      <c r="AD647" s="7">
        <v>1453915</v>
      </c>
      <c r="AE647" s="7">
        <v>1576106</v>
      </c>
      <c r="AF647" s="7">
        <v>3036964</v>
      </c>
      <c r="AG647" s="7">
        <v>3134000</v>
      </c>
      <c r="AH647" s="8">
        <v>8.4700000000000006</v>
      </c>
      <c r="AI647" s="8">
        <v>8.5</v>
      </c>
    </row>
    <row r="648" spans="1:35" x14ac:dyDescent="0.25">
      <c r="A648" s="6" t="str">
        <f>"412801"</f>
        <v>412801</v>
      </c>
      <c r="B648" s="6" t="s">
        <v>680</v>
      </c>
      <c r="C648" s="7">
        <v>21224939</v>
      </c>
      <c r="D648" s="7">
        <v>21581035</v>
      </c>
      <c r="E648" s="8">
        <v>1.68</v>
      </c>
      <c r="F648" s="7">
        <v>7855709</v>
      </c>
      <c r="G648" s="7">
        <v>7945057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7855709</v>
      </c>
      <c r="O648" s="7">
        <v>7945057</v>
      </c>
      <c r="P648" s="8">
        <v>1.1399999999999999</v>
      </c>
      <c r="Q648" s="7">
        <v>0</v>
      </c>
      <c r="R648" s="7">
        <v>0</v>
      </c>
      <c r="S648" s="7">
        <v>7855709</v>
      </c>
      <c r="T648" s="7">
        <v>7945057</v>
      </c>
      <c r="U648" s="7">
        <v>7855709</v>
      </c>
      <c r="V648" s="7">
        <v>7945057</v>
      </c>
      <c r="W648" s="7">
        <v>0</v>
      </c>
      <c r="X648" s="7">
        <v>0</v>
      </c>
      <c r="Y648" s="7">
        <v>948</v>
      </c>
      <c r="Z648" s="7">
        <v>951</v>
      </c>
      <c r="AA648" s="8">
        <v>0.32</v>
      </c>
      <c r="AB648" s="7">
        <v>2409598</v>
      </c>
      <c r="AC648" s="7">
        <v>2409598</v>
      </c>
      <c r="AD648" s="7">
        <v>1150000</v>
      </c>
      <c r="AE648" s="7">
        <v>1000000</v>
      </c>
      <c r="AF648" s="7">
        <v>848998</v>
      </c>
      <c r="AG648" s="7">
        <v>863241</v>
      </c>
      <c r="AH648" s="8">
        <v>4</v>
      </c>
      <c r="AI648" s="8">
        <v>4</v>
      </c>
    </row>
    <row r="649" spans="1:35" x14ac:dyDescent="0.25">
      <c r="A649" s="6" t="str">
        <f>"151601"</f>
        <v>151601</v>
      </c>
      <c r="B649" s="6" t="s">
        <v>681</v>
      </c>
      <c r="C649" s="7">
        <v>5946000</v>
      </c>
      <c r="D649" s="7">
        <v>6046000</v>
      </c>
      <c r="E649" s="8">
        <v>1.68</v>
      </c>
      <c r="F649" s="7">
        <v>3518543</v>
      </c>
      <c r="G649" s="7">
        <v>3507096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3518543</v>
      </c>
      <c r="O649" s="7">
        <v>3507096</v>
      </c>
      <c r="P649" s="8">
        <v>-0.33</v>
      </c>
      <c r="Q649" s="7">
        <v>78660</v>
      </c>
      <c r="R649" s="7">
        <v>0</v>
      </c>
      <c r="S649" s="7">
        <v>3439883</v>
      </c>
      <c r="T649" s="7">
        <v>3507096</v>
      </c>
      <c r="U649" s="7">
        <v>3439883</v>
      </c>
      <c r="V649" s="7">
        <v>3507096</v>
      </c>
      <c r="W649" s="7">
        <v>0</v>
      </c>
      <c r="X649" s="7">
        <v>0</v>
      </c>
      <c r="Y649" s="7">
        <v>226</v>
      </c>
      <c r="Z649" s="7">
        <v>214</v>
      </c>
      <c r="AA649" s="8">
        <v>-5.31</v>
      </c>
      <c r="AB649" s="7">
        <v>736830</v>
      </c>
      <c r="AC649" s="7">
        <v>1592909</v>
      </c>
      <c r="AD649" s="7">
        <v>76632</v>
      </c>
      <c r="AE649" s="7">
        <v>87064</v>
      </c>
      <c r="AF649" s="7">
        <v>712396</v>
      </c>
      <c r="AG649" s="7">
        <v>241840</v>
      </c>
      <c r="AH649" s="8">
        <v>11.98</v>
      </c>
      <c r="AI649" s="8">
        <v>4</v>
      </c>
    </row>
    <row r="650" spans="1:35" x14ac:dyDescent="0.25">
      <c r="A650" s="6" t="str">
        <f>"262001"</f>
        <v>262001</v>
      </c>
      <c r="B650" s="6" t="s">
        <v>682</v>
      </c>
      <c r="C650" s="7">
        <v>17845650</v>
      </c>
      <c r="D650" s="7">
        <v>18405290</v>
      </c>
      <c r="E650" s="8">
        <v>3.14</v>
      </c>
      <c r="F650" s="7">
        <v>9202955</v>
      </c>
      <c r="G650" s="7">
        <v>9305529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9202955</v>
      </c>
      <c r="O650" s="7">
        <v>9305529</v>
      </c>
      <c r="P650" s="8">
        <v>1.1100000000000001</v>
      </c>
      <c r="Q650" s="7">
        <v>170634</v>
      </c>
      <c r="R650" s="7">
        <v>100719</v>
      </c>
      <c r="S650" s="7">
        <v>9034252</v>
      </c>
      <c r="T650" s="7">
        <v>9209284</v>
      </c>
      <c r="U650" s="7">
        <v>9032321</v>
      </c>
      <c r="V650" s="7">
        <v>9204810</v>
      </c>
      <c r="W650" s="7">
        <v>1931</v>
      </c>
      <c r="X650" s="7">
        <v>4474</v>
      </c>
      <c r="Y650" s="7">
        <v>672</v>
      </c>
      <c r="Z650" s="7">
        <v>676</v>
      </c>
      <c r="AA650" s="8">
        <v>0.6</v>
      </c>
      <c r="AB650" s="7">
        <v>2174426</v>
      </c>
      <c r="AC650" s="7">
        <v>2350000</v>
      </c>
      <c r="AD650" s="7">
        <v>270000</v>
      </c>
      <c r="AE650" s="7">
        <v>338000</v>
      </c>
      <c r="AF650" s="7">
        <v>614470</v>
      </c>
      <c r="AG650" s="7">
        <v>645000</v>
      </c>
      <c r="AH650" s="8">
        <v>3.44</v>
      </c>
      <c r="AI650" s="8">
        <v>3.5</v>
      </c>
    </row>
    <row r="651" spans="1:35" x14ac:dyDescent="0.25">
      <c r="A651" s="6" t="str">
        <f>"170301"</f>
        <v>170301</v>
      </c>
      <c r="B651" s="6" t="s">
        <v>683</v>
      </c>
      <c r="C651" s="7">
        <v>4375305</v>
      </c>
      <c r="D651" s="7">
        <v>4375305</v>
      </c>
      <c r="E651" s="8">
        <v>0</v>
      </c>
      <c r="F651" s="7">
        <v>2213724</v>
      </c>
      <c r="G651" s="7">
        <v>2235861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2213724</v>
      </c>
      <c r="O651" s="7">
        <v>2235861</v>
      </c>
      <c r="P651" s="8">
        <v>1</v>
      </c>
      <c r="Q651" s="7">
        <v>0</v>
      </c>
      <c r="R651" s="7">
        <v>0</v>
      </c>
      <c r="S651" s="7">
        <v>2213724</v>
      </c>
      <c r="T651" s="7">
        <v>2248084</v>
      </c>
      <c r="U651" s="7">
        <v>2213724</v>
      </c>
      <c r="V651" s="7">
        <v>2235861</v>
      </c>
      <c r="W651" s="7">
        <v>0</v>
      </c>
      <c r="X651" s="7">
        <v>12223</v>
      </c>
      <c r="Y651" s="7">
        <v>145</v>
      </c>
      <c r="Z651" s="7">
        <v>133</v>
      </c>
      <c r="AA651" s="8">
        <v>-8.2799999999999994</v>
      </c>
      <c r="AB651" s="7">
        <v>1161290</v>
      </c>
      <c r="AC651" s="7">
        <v>642098</v>
      </c>
      <c r="AD651" s="7">
        <v>513137</v>
      </c>
      <c r="AE651" s="7">
        <v>515000</v>
      </c>
      <c r="AF651" s="7">
        <v>556352</v>
      </c>
      <c r="AG651" s="7">
        <v>452372</v>
      </c>
      <c r="AH651" s="8">
        <v>12.72</v>
      </c>
      <c r="AI651" s="8">
        <v>10.34</v>
      </c>
    </row>
    <row r="652" spans="1:35" x14ac:dyDescent="0.25">
      <c r="A652" s="6" t="str">
        <f>"662200"</f>
        <v>662200</v>
      </c>
      <c r="B652" s="6" t="s">
        <v>684</v>
      </c>
      <c r="C652" s="7">
        <v>208750000</v>
      </c>
      <c r="D652" s="7">
        <v>214135854</v>
      </c>
      <c r="E652" s="8">
        <v>2.58</v>
      </c>
      <c r="F652" s="7">
        <v>170915098</v>
      </c>
      <c r="G652" s="7">
        <v>176898823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170915098</v>
      </c>
      <c r="O652" s="7">
        <v>176898823</v>
      </c>
      <c r="P652" s="8">
        <v>3.5</v>
      </c>
      <c r="Q652" s="7">
        <v>6856043</v>
      </c>
      <c r="R652" s="7">
        <v>6605593</v>
      </c>
      <c r="S652" s="7">
        <v>164059055</v>
      </c>
      <c r="T652" s="7">
        <v>170293230</v>
      </c>
      <c r="U652" s="7">
        <v>164059055</v>
      </c>
      <c r="V652" s="7">
        <v>170293230</v>
      </c>
      <c r="W652" s="7">
        <v>0</v>
      </c>
      <c r="X652" s="7">
        <v>0</v>
      </c>
      <c r="Y652" s="7">
        <v>7053</v>
      </c>
      <c r="Z652" s="7">
        <v>7095</v>
      </c>
      <c r="AA652" s="8">
        <v>0.6</v>
      </c>
      <c r="AB652" s="7">
        <v>73669384</v>
      </c>
      <c r="AC652" s="7">
        <v>73669384</v>
      </c>
      <c r="AD652" s="7">
        <v>0</v>
      </c>
      <c r="AE652" s="7">
        <v>0</v>
      </c>
      <c r="AF652" s="7">
        <v>8340555</v>
      </c>
      <c r="AG652" s="7">
        <v>8565434</v>
      </c>
      <c r="AH652" s="8">
        <v>4</v>
      </c>
      <c r="AI652" s="8">
        <v>4</v>
      </c>
    </row>
    <row r="653" spans="1:35" x14ac:dyDescent="0.25">
      <c r="A653" s="6" t="str">
        <f>"641701"</f>
        <v>641701</v>
      </c>
      <c r="B653" s="6" t="s">
        <v>685</v>
      </c>
      <c r="C653" s="7">
        <v>15354437</v>
      </c>
      <c r="D653" s="7">
        <v>15956820</v>
      </c>
      <c r="E653" s="8">
        <v>3.92</v>
      </c>
      <c r="F653" s="7">
        <v>5314954</v>
      </c>
      <c r="G653" s="7">
        <v>5448221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5314954</v>
      </c>
      <c r="O653" s="7">
        <v>5448221</v>
      </c>
      <c r="P653" s="8">
        <v>2.5099999999999998</v>
      </c>
      <c r="Q653" s="7">
        <v>0</v>
      </c>
      <c r="R653" s="7">
        <v>0</v>
      </c>
      <c r="S653" s="7">
        <v>5382162</v>
      </c>
      <c r="T653" s="7">
        <v>5475039</v>
      </c>
      <c r="U653" s="7">
        <v>5314954</v>
      </c>
      <c r="V653" s="7">
        <v>5448221</v>
      </c>
      <c r="W653" s="7">
        <v>67208</v>
      </c>
      <c r="X653" s="7">
        <v>26818</v>
      </c>
      <c r="Y653" s="7">
        <v>801</v>
      </c>
      <c r="Z653" s="7">
        <v>805</v>
      </c>
      <c r="AA653" s="8">
        <v>0.5</v>
      </c>
      <c r="AB653" s="7">
        <v>4854290</v>
      </c>
      <c r="AC653" s="7">
        <v>5104290</v>
      </c>
      <c r="AD653" s="7">
        <v>633976</v>
      </c>
      <c r="AE653" s="7">
        <v>635000</v>
      </c>
      <c r="AF653" s="7">
        <v>678197</v>
      </c>
      <c r="AG653" s="7">
        <v>638272</v>
      </c>
      <c r="AH653" s="8">
        <v>4.42</v>
      </c>
      <c r="AI653" s="8">
        <v>4</v>
      </c>
    </row>
    <row r="654" spans="1:35" x14ac:dyDescent="0.25">
      <c r="A654" s="6" t="str">
        <f>"412902"</f>
        <v>412902</v>
      </c>
      <c r="B654" s="6" t="s">
        <v>686</v>
      </c>
      <c r="C654" s="7">
        <v>64998856</v>
      </c>
      <c r="D654" s="7">
        <v>66916633</v>
      </c>
      <c r="E654" s="8">
        <v>2.95</v>
      </c>
      <c r="F654" s="7">
        <v>30247234</v>
      </c>
      <c r="G654" s="7">
        <v>30851875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30247234</v>
      </c>
      <c r="O654" s="7">
        <v>30851875</v>
      </c>
      <c r="P654" s="8">
        <v>2</v>
      </c>
      <c r="Q654" s="7">
        <v>1099622</v>
      </c>
      <c r="R654" s="7">
        <v>1211479</v>
      </c>
      <c r="S654" s="7">
        <v>30247234</v>
      </c>
      <c r="T654" s="7">
        <v>30851775</v>
      </c>
      <c r="U654" s="7">
        <v>29147612</v>
      </c>
      <c r="V654" s="7">
        <v>29640396</v>
      </c>
      <c r="W654" s="7">
        <v>1099622</v>
      </c>
      <c r="X654" s="7">
        <v>1211379</v>
      </c>
      <c r="Y654" s="7">
        <v>3252</v>
      </c>
      <c r="Z654" s="7">
        <v>3242</v>
      </c>
      <c r="AA654" s="8">
        <v>-0.31</v>
      </c>
      <c r="AB654" s="7">
        <v>4809278</v>
      </c>
      <c r="AC654" s="7">
        <v>4814139</v>
      </c>
      <c r="AD654" s="7">
        <v>4950000</v>
      </c>
      <c r="AE654" s="7">
        <v>4898200</v>
      </c>
      <c r="AF654" s="7">
        <v>3370941</v>
      </c>
      <c r="AG654" s="7">
        <v>2431563</v>
      </c>
      <c r="AH654" s="8">
        <v>5.19</v>
      </c>
      <c r="AI654" s="8">
        <v>3.63</v>
      </c>
    </row>
    <row r="655" spans="1:35" x14ac:dyDescent="0.25">
      <c r="A655" s="6" t="str">
        <f>"022101"</f>
        <v>022101</v>
      </c>
      <c r="B655" s="6" t="s">
        <v>687</v>
      </c>
      <c r="C655" s="7">
        <v>6635015</v>
      </c>
      <c r="D655" s="7">
        <v>6534457</v>
      </c>
      <c r="E655" s="8">
        <v>-1.52</v>
      </c>
      <c r="F655" s="7">
        <v>1373910</v>
      </c>
      <c r="G655" s="7">
        <v>1373910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1373910</v>
      </c>
      <c r="O655" s="7">
        <v>1373910</v>
      </c>
      <c r="P655" s="8">
        <v>0</v>
      </c>
      <c r="Q655" s="7">
        <v>0</v>
      </c>
      <c r="R655" s="7">
        <v>0</v>
      </c>
      <c r="S655" s="7">
        <v>1410055</v>
      </c>
      <c r="T655" s="7">
        <v>1430490</v>
      </c>
      <c r="U655" s="7">
        <v>1373910</v>
      </c>
      <c r="V655" s="7">
        <v>1373910</v>
      </c>
      <c r="W655" s="7">
        <v>36145</v>
      </c>
      <c r="X655" s="7">
        <v>56580</v>
      </c>
      <c r="Y655" s="7">
        <v>234</v>
      </c>
      <c r="Z655" s="7">
        <v>235</v>
      </c>
      <c r="AA655" s="8">
        <v>0.43</v>
      </c>
      <c r="AB655" s="7">
        <v>1937492</v>
      </c>
      <c r="AC655" s="7">
        <v>1937492</v>
      </c>
      <c r="AD655" s="7">
        <v>209985</v>
      </c>
      <c r="AE655" s="7">
        <v>59140</v>
      </c>
      <c r="AF655" s="7">
        <v>526576</v>
      </c>
      <c r="AG655" s="7">
        <v>500000</v>
      </c>
      <c r="AH655" s="8">
        <v>7.94</v>
      </c>
      <c r="AI655" s="8">
        <v>7.65</v>
      </c>
    </row>
    <row r="656" spans="1:35" x14ac:dyDescent="0.25">
      <c r="A656" s="6" t="str">
        <f>"031401"</f>
        <v>031401</v>
      </c>
      <c r="B656" s="6" t="s">
        <v>688</v>
      </c>
      <c r="C656" s="7">
        <v>34051640</v>
      </c>
      <c r="D656" s="7">
        <v>35088746</v>
      </c>
      <c r="E656" s="8">
        <v>3.05</v>
      </c>
      <c r="F656" s="7">
        <v>7853813</v>
      </c>
      <c r="G656" s="7">
        <v>7961608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7853813</v>
      </c>
      <c r="O656" s="7">
        <v>7961608</v>
      </c>
      <c r="P656" s="8">
        <v>1.37</v>
      </c>
      <c r="Q656" s="7">
        <v>407691</v>
      </c>
      <c r="R656" s="7">
        <v>384287</v>
      </c>
      <c r="S656" s="7">
        <v>7446122</v>
      </c>
      <c r="T656" s="7">
        <v>7577321</v>
      </c>
      <c r="U656" s="7">
        <v>7446122</v>
      </c>
      <c r="V656" s="7">
        <v>7577321</v>
      </c>
      <c r="W656" s="7">
        <v>0</v>
      </c>
      <c r="X656" s="7">
        <v>0</v>
      </c>
      <c r="Y656" s="7">
        <v>1393</v>
      </c>
      <c r="Z656" s="7">
        <v>1393</v>
      </c>
      <c r="AA656" s="8">
        <v>0</v>
      </c>
      <c r="AB656" s="7">
        <v>4992762</v>
      </c>
      <c r="AC656" s="7">
        <v>5735422</v>
      </c>
      <c r="AD656" s="7">
        <v>500000</v>
      </c>
      <c r="AE656" s="7">
        <v>500000</v>
      </c>
      <c r="AF656" s="7">
        <v>1342620</v>
      </c>
      <c r="AG656" s="7">
        <v>1297356</v>
      </c>
      <c r="AH656" s="8">
        <v>3.94</v>
      </c>
      <c r="AI656" s="8">
        <v>3.7</v>
      </c>
    </row>
    <row r="657" spans="1:35" x14ac:dyDescent="0.25">
      <c r="A657" s="6" t="str">
        <f>"580232"</f>
        <v>580232</v>
      </c>
      <c r="B657" s="6" t="s">
        <v>689</v>
      </c>
      <c r="C657" s="7">
        <v>228787837</v>
      </c>
      <c r="D657" s="7">
        <v>236326899</v>
      </c>
      <c r="E657" s="8">
        <v>3.3</v>
      </c>
      <c r="F657" s="7">
        <v>96976749</v>
      </c>
      <c r="G657" s="7">
        <v>98660190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96976749</v>
      </c>
      <c r="O657" s="7">
        <v>98660190</v>
      </c>
      <c r="P657" s="8">
        <v>1.74</v>
      </c>
      <c r="Q657" s="7">
        <v>0</v>
      </c>
      <c r="R657" s="7">
        <v>0</v>
      </c>
      <c r="S657" s="7">
        <v>96976749</v>
      </c>
      <c r="T657" s="7">
        <v>98660190</v>
      </c>
      <c r="U657" s="7">
        <v>96976749</v>
      </c>
      <c r="V657" s="7">
        <v>98660190</v>
      </c>
      <c r="W657" s="7">
        <v>0</v>
      </c>
      <c r="X657" s="7">
        <v>0</v>
      </c>
      <c r="Y657" s="7">
        <v>8975</v>
      </c>
      <c r="Z657" s="7">
        <v>8936</v>
      </c>
      <c r="AA657" s="8">
        <v>-0.43</v>
      </c>
      <c r="AB657" s="7">
        <v>35138294</v>
      </c>
      <c r="AC657" s="7">
        <v>35138294</v>
      </c>
      <c r="AD657" s="7">
        <v>10710662</v>
      </c>
      <c r="AE657" s="7">
        <v>10250000</v>
      </c>
      <c r="AF657" s="7">
        <v>9151513</v>
      </c>
      <c r="AG657" s="7">
        <v>9453076</v>
      </c>
      <c r="AH657" s="8">
        <v>4</v>
      </c>
      <c r="AI657" s="8">
        <v>4</v>
      </c>
    </row>
    <row r="658" spans="1:35" x14ac:dyDescent="0.25">
      <c r="A658" s="6" t="str">
        <f>"651402"</f>
        <v>651402</v>
      </c>
      <c r="B658" s="6" t="s">
        <v>690</v>
      </c>
      <c r="C658" s="7">
        <v>22977690</v>
      </c>
      <c r="D658" s="7">
        <v>23099790</v>
      </c>
      <c r="E658" s="8">
        <v>0.53</v>
      </c>
      <c r="F658" s="7">
        <v>9851582</v>
      </c>
      <c r="G658" s="7">
        <v>10150790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9851582</v>
      </c>
      <c r="O658" s="7">
        <v>10150790</v>
      </c>
      <c r="P658" s="8">
        <v>3.04</v>
      </c>
      <c r="Q658" s="7">
        <v>0</v>
      </c>
      <c r="R658" s="7">
        <v>0</v>
      </c>
      <c r="S658" s="7">
        <v>10082788</v>
      </c>
      <c r="T658" s="7">
        <v>10164776</v>
      </c>
      <c r="U658" s="7">
        <v>9851582</v>
      </c>
      <c r="V658" s="7">
        <v>10150790</v>
      </c>
      <c r="W658" s="7">
        <v>231206</v>
      </c>
      <c r="X658" s="7">
        <v>13986</v>
      </c>
      <c r="Y658" s="7">
        <v>1047</v>
      </c>
      <c r="Z658" s="7">
        <v>1048</v>
      </c>
      <c r="AA658" s="8">
        <v>0.1</v>
      </c>
      <c r="AB658" s="7">
        <v>5008903</v>
      </c>
      <c r="AC658" s="7">
        <v>4965000</v>
      </c>
      <c r="AD658" s="7">
        <v>150000</v>
      </c>
      <c r="AE658" s="7">
        <v>150000</v>
      </c>
      <c r="AF658" s="7">
        <v>850000</v>
      </c>
      <c r="AG658" s="7">
        <v>850000</v>
      </c>
      <c r="AH658" s="8">
        <v>3.7</v>
      </c>
      <c r="AI658" s="8">
        <v>3.68</v>
      </c>
    </row>
    <row r="659" spans="1:35" x14ac:dyDescent="0.25">
      <c r="A659" s="6" t="str">
        <f>"140203"</f>
        <v>140203</v>
      </c>
      <c r="B659" s="6" t="s">
        <v>691</v>
      </c>
      <c r="C659" s="7">
        <v>183015606</v>
      </c>
      <c r="D659" s="7">
        <v>186135210</v>
      </c>
      <c r="E659" s="8">
        <v>1.7</v>
      </c>
      <c r="F659" s="7">
        <v>117227512</v>
      </c>
      <c r="G659" s="7">
        <v>120353000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117227512</v>
      </c>
      <c r="O659" s="7">
        <v>120353000</v>
      </c>
      <c r="P659" s="8">
        <v>2.67</v>
      </c>
      <c r="Q659" s="7">
        <v>0</v>
      </c>
      <c r="R659" s="7">
        <v>0</v>
      </c>
      <c r="S659" s="7">
        <v>117332512</v>
      </c>
      <c r="T659" s="7">
        <v>120353851</v>
      </c>
      <c r="U659" s="7">
        <v>117227512</v>
      </c>
      <c r="V659" s="7">
        <v>120353000</v>
      </c>
      <c r="W659" s="7">
        <v>105000</v>
      </c>
      <c r="X659" s="7">
        <v>851</v>
      </c>
      <c r="Y659" s="7">
        <v>9972</v>
      </c>
      <c r="Z659" s="7">
        <v>9997</v>
      </c>
      <c r="AA659" s="8">
        <v>0.25</v>
      </c>
      <c r="AB659" s="7">
        <v>53305417</v>
      </c>
      <c r="AC659" s="7">
        <v>52500000</v>
      </c>
      <c r="AD659" s="7">
        <v>8182598</v>
      </c>
      <c r="AE659" s="7">
        <v>8182598</v>
      </c>
      <c r="AF659" s="7">
        <v>7319999</v>
      </c>
      <c r="AG659" s="7">
        <v>7445000</v>
      </c>
      <c r="AH659" s="8">
        <v>4</v>
      </c>
      <c r="AI659" s="8">
        <v>4</v>
      </c>
    </row>
    <row r="660" spans="1:35" x14ac:dyDescent="0.25">
      <c r="A660" s="6" t="str">
        <f>"151701"</f>
        <v>151701</v>
      </c>
      <c r="B660" s="6" t="s">
        <v>692</v>
      </c>
      <c r="C660" s="7">
        <v>8472961</v>
      </c>
      <c r="D660" s="7">
        <v>8495998</v>
      </c>
      <c r="E660" s="8">
        <v>0.27</v>
      </c>
      <c r="F660" s="7">
        <v>5141119</v>
      </c>
      <c r="G660" s="7">
        <v>5141119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5141119</v>
      </c>
      <c r="O660" s="7">
        <v>5141119</v>
      </c>
      <c r="P660" s="8">
        <v>0</v>
      </c>
      <c r="Q660" s="7">
        <v>445306</v>
      </c>
      <c r="R660" s="7">
        <v>473730</v>
      </c>
      <c r="S660" s="7">
        <v>4701400</v>
      </c>
      <c r="T660" s="7">
        <v>4784830</v>
      </c>
      <c r="U660" s="7">
        <v>4695813</v>
      </c>
      <c r="V660" s="7">
        <v>4667389</v>
      </c>
      <c r="W660" s="7">
        <v>5587</v>
      </c>
      <c r="X660" s="7">
        <v>117441</v>
      </c>
      <c r="Y660" s="7">
        <v>273</v>
      </c>
      <c r="Z660" s="7">
        <v>258</v>
      </c>
      <c r="AA660" s="8">
        <v>-5.49</v>
      </c>
      <c r="AB660" s="7">
        <v>1290045</v>
      </c>
      <c r="AC660" s="7">
        <v>1282844</v>
      </c>
      <c r="AD660" s="7">
        <v>924618</v>
      </c>
      <c r="AE660" s="7">
        <v>868211</v>
      </c>
      <c r="AF660" s="7">
        <v>1351409</v>
      </c>
      <c r="AG660" s="7">
        <v>1262762</v>
      </c>
      <c r="AH660" s="8">
        <v>15.95</v>
      </c>
      <c r="AI660" s="8">
        <v>14.86</v>
      </c>
    </row>
    <row r="661" spans="1:35" x14ac:dyDescent="0.25">
      <c r="A661" s="6" t="str">
        <f>"401501"</f>
        <v>401501</v>
      </c>
      <c r="B661" s="6" t="s">
        <v>693</v>
      </c>
      <c r="C661" s="7">
        <v>25593096</v>
      </c>
      <c r="D661" s="7">
        <v>26438683</v>
      </c>
      <c r="E661" s="8">
        <v>3.3</v>
      </c>
      <c r="F661" s="7">
        <v>11325000</v>
      </c>
      <c r="G661" s="7">
        <v>11534513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11325000</v>
      </c>
      <c r="O661" s="7">
        <v>11534513</v>
      </c>
      <c r="P661" s="8">
        <v>1.85</v>
      </c>
      <c r="Q661" s="7">
        <v>0</v>
      </c>
      <c r="R661" s="7">
        <v>0</v>
      </c>
      <c r="S661" s="7">
        <v>11410803</v>
      </c>
      <c r="T661" s="7">
        <v>11631760</v>
      </c>
      <c r="U661" s="7">
        <v>11325000</v>
      </c>
      <c r="V661" s="7">
        <v>11534513</v>
      </c>
      <c r="W661" s="7">
        <v>85803</v>
      </c>
      <c r="X661" s="7">
        <v>97247</v>
      </c>
      <c r="Y661" s="7">
        <v>1150</v>
      </c>
      <c r="Z661" s="7">
        <v>1169</v>
      </c>
      <c r="AA661" s="8">
        <v>1.65</v>
      </c>
      <c r="AB661" s="7">
        <v>12208437</v>
      </c>
      <c r="AC661" s="7">
        <v>11508437</v>
      </c>
      <c r="AD661" s="7">
        <v>500000</v>
      </c>
      <c r="AE661" s="7">
        <v>500000</v>
      </c>
      <c r="AF661" s="7">
        <v>1023104</v>
      </c>
      <c r="AG661" s="7">
        <v>1057547</v>
      </c>
      <c r="AH661" s="8">
        <v>4</v>
      </c>
      <c r="AI661" s="8">
        <v>4</v>
      </c>
    </row>
    <row r="662" spans="1:35" x14ac:dyDescent="0.25">
      <c r="A662" s="6" t="str">
        <f>"191401"</f>
        <v>191401</v>
      </c>
      <c r="B662" s="6" t="s">
        <v>694</v>
      </c>
      <c r="C662" s="7">
        <v>11731428</v>
      </c>
      <c r="D662" s="7">
        <v>11957611</v>
      </c>
      <c r="E662" s="8">
        <v>1.93</v>
      </c>
      <c r="F662" s="7">
        <v>9639920</v>
      </c>
      <c r="G662" s="7">
        <v>9851998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9639920</v>
      </c>
      <c r="O662" s="7">
        <v>9851998</v>
      </c>
      <c r="P662" s="8">
        <v>2.2000000000000002</v>
      </c>
      <c r="Q662" s="7">
        <v>1215741</v>
      </c>
      <c r="R662" s="7">
        <v>1263711</v>
      </c>
      <c r="S662" s="7">
        <v>8424179</v>
      </c>
      <c r="T662" s="7">
        <v>8731995</v>
      </c>
      <c r="U662" s="7">
        <v>8424179</v>
      </c>
      <c r="V662" s="7">
        <v>8588287</v>
      </c>
      <c r="W662" s="7">
        <v>0</v>
      </c>
      <c r="X662" s="7">
        <v>143708</v>
      </c>
      <c r="Y662" s="7">
        <v>303</v>
      </c>
      <c r="Z662" s="7">
        <v>300</v>
      </c>
      <c r="AA662" s="8">
        <v>-0.99</v>
      </c>
      <c r="AB662" s="7">
        <v>1161368</v>
      </c>
      <c r="AC662" s="7">
        <v>1265000</v>
      </c>
      <c r="AD662" s="7">
        <v>250000</v>
      </c>
      <c r="AE662" s="7">
        <v>250000</v>
      </c>
      <c r="AF662" s="7">
        <v>466473</v>
      </c>
      <c r="AG662" s="7">
        <v>469257</v>
      </c>
      <c r="AH662" s="8">
        <v>3.98</v>
      </c>
      <c r="AI662" s="8">
        <v>3.92</v>
      </c>
    </row>
    <row r="663" spans="1:35" x14ac:dyDescent="0.25">
      <c r="A663" s="6" t="str">
        <f>"031701"</f>
        <v>031701</v>
      </c>
      <c r="B663" s="6" t="s">
        <v>695</v>
      </c>
      <c r="C663" s="7">
        <v>37187626</v>
      </c>
      <c r="D663" s="7">
        <v>38286973</v>
      </c>
      <c r="E663" s="8">
        <v>2.96</v>
      </c>
      <c r="F663" s="7">
        <v>14004430</v>
      </c>
      <c r="G663" s="7">
        <v>14350584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14004430</v>
      </c>
      <c r="O663" s="7">
        <v>14350584</v>
      </c>
      <c r="P663" s="8">
        <v>2.4700000000000002</v>
      </c>
      <c r="Q663" s="7">
        <v>480915</v>
      </c>
      <c r="R663" s="7">
        <v>550233</v>
      </c>
      <c r="S663" s="7">
        <v>13523515</v>
      </c>
      <c r="T663" s="7">
        <v>13800351</v>
      </c>
      <c r="U663" s="7">
        <v>13523515</v>
      </c>
      <c r="V663" s="7">
        <v>13800351</v>
      </c>
      <c r="W663" s="7">
        <v>0</v>
      </c>
      <c r="X663" s="7">
        <v>0</v>
      </c>
      <c r="Y663" s="7">
        <v>1618</v>
      </c>
      <c r="Z663" s="7">
        <v>1618</v>
      </c>
      <c r="AA663" s="8">
        <v>0</v>
      </c>
      <c r="AB663" s="7">
        <v>4258047</v>
      </c>
      <c r="AC663" s="7">
        <v>2146181</v>
      </c>
      <c r="AD663" s="7">
        <v>500000</v>
      </c>
      <c r="AE663" s="7">
        <v>500000</v>
      </c>
      <c r="AF663" s="7">
        <v>1412836</v>
      </c>
      <c r="AG663" s="7">
        <v>1436520</v>
      </c>
      <c r="AH663" s="8">
        <v>3.8</v>
      </c>
      <c r="AI663" s="8">
        <v>3.75</v>
      </c>
    </row>
    <row r="664" spans="1:35" x14ac:dyDescent="0.25">
      <c r="A664" s="6" t="str">
        <f>"472506"</f>
        <v>472506</v>
      </c>
      <c r="B664" s="6" t="s">
        <v>696</v>
      </c>
      <c r="C664" s="7">
        <v>11063777</v>
      </c>
      <c r="D664" s="7">
        <v>11256480</v>
      </c>
      <c r="E664" s="8">
        <v>1.74</v>
      </c>
      <c r="F664" s="7">
        <v>3221251</v>
      </c>
      <c r="G664" s="7">
        <v>3276444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3221251</v>
      </c>
      <c r="O664" s="7">
        <v>3276444</v>
      </c>
      <c r="P664" s="8">
        <v>1.71</v>
      </c>
      <c r="Q664" s="7">
        <v>439143</v>
      </c>
      <c r="R664" s="7">
        <v>455368</v>
      </c>
      <c r="S664" s="7">
        <v>2782108</v>
      </c>
      <c r="T664" s="7">
        <v>2821076</v>
      </c>
      <c r="U664" s="7">
        <v>2782108</v>
      </c>
      <c r="V664" s="7">
        <v>2821076</v>
      </c>
      <c r="W664" s="7">
        <v>0</v>
      </c>
      <c r="X664" s="7">
        <v>0</v>
      </c>
      <c r="Y664" s="7">
        <v>370</v>
      </c>
      <c r="Z664" s="7">
        <v>370</v>
      </c>
      <c r="AA664" s="8">
        <v>0</v>
      </c>
      <c r="AB664" s="7">
        <v>706266</v>
      </c>
      <c r="AC664" s="7">
        <v>1042685</v>
      </c>
      <c r="AD664" s="7">
        <v>930000</v>
      </c>
      <c r="AE664" s="7">
        <v>875000</v>
      </c>
      <c r="AF664" s="7">
        <v>1432787</v>
      </c>
      <c r="AG664" s="7">
        <v>955818</v>
      </c>
      <c r="AH664" s="8">
        <v>12.95</v>
      </c>
      <c r="AI664" s="8">
        <v>8.49</v>
      </c>
    </row>
    <row r="665" spans="1:35" x14ac:dyDescent="0.25">
      <c r="A665" s="6" t="str">
        <f>"580109"</f>
        <v>580109</v>
      </c>
      <c r="B665" s="6" t="s">
        <v>697</v>
      </c>
      <c r="C665" s="7">
        <v>66240142</v>
      </c>
      <c r="D665" s="7">
        <v>68730714</v>
      </c>
      <c r="E665" s="8">
        <v>3.76</v>
      </c>
      <c r="F665" s="7">
        <v>21214699</v>
      </c>
      <c r="G665" s="7">
        <v>21358673</v>
      </c>
      <c r="H665" s="7">
        <v>230125</v>
      </c>
      <c r="I665" s="7">
        <v>234613</v>
      </c>
      <c r="J665" s="7">
        <v>0</v>
      </c>
      <c r="K665" s="7">
        <v>0</v>
      </c>
      <c r="L665" s="7">
        <v>0</v>
      </c>
      <c r="M665" s="7">
        <v>0</v>
      </c>
      <c r="N665" s="7">
        <v>21444824</v>
      </c>
      <c r="O665" s="7">
        <v>21593286</v>
      </c>
      <c r="P665" s="8">
        <v>0.69</v>
      </c>
      <c r="Q665" s="7">
        <v>697030</v>
      </c>
      <c r="R665" s="7">
        <v>417190</v>
      </c>
      <c r="S665" s="7">
        <v>20517669</v>
      </c>
      <c r="T665" s="7">
        <v>20941483</v>
      </c>
      <c r="U665" s="7">
        <v>20517669</v>
      </c>
      <c r="V665" s="7">
        <v>20941483</v>
      </c>
      <c r="W665" s="7">
        <v>0</v>
      </c>
      <c r="X665" s="7">
        <v>0</v>
      </c>
      <c r="Y665" s="7">
        <v>2525</v>
      </c>
      <c r="Z665" s="7">
        <v>2570</v>
      </c>
      <c r="AA665" s="8">
        <v>1.78</v>
      </c>
      <c r="AB665" s="7">
        <v>1250625</v>
      </c>
      <c r="AC665" s="7">
        <v>1250625</v>
      </c>
      <c r="AD665" s="7">
        <v>889169</v>
      </c>
      <c r="AE665" s="7">
        <v>433632</v>
      </c>
      <c r="AF665" s="7">
        <v>700474</v>
      </c>
      <c r="AG665" s="7">
        <v>1156011</v>
      </c>
      <c r="AH665" s="8">
        <v>1.06</v>
      </c>
      <c r="AI665" s="8">
        <v>1.68</v>
      </c>
    </row>
    <row r="666" spans="1:35" x14ac:dyDescent="0.25">
      <c r="A666" s="6" t="str">
        <f>"490804"</f>
        <v>490804</v>
      </c>
      <c r="B666" s="6" t="s">
        <v>698</v>
      </c>
      <c r="C666" s="7">
        <v>9096145</v>
      </c>
      <c r="D666" s="7">
        <v>9037839</v>
      </c>
      <c r="E666" s="8">
        <v>-0.64</v>
      </c>
      <c r="F666" s="7">
        <v>5069721</v>
      </c>
      <c r="G666" s="7">
        <v>5194661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5069721</v>
      </c>
      <c r="O666" s="7">
        <v>5194661</v>
      </c>
      <c r="P666" s="8">
        <v>2.46</v>
      </c>
      <c r="Q666" s="7">
        <v>0</v>
      </c>
      <c r="R666" s="7">
        <v>0</v>
      </c>
      <c r="S666" s="7">
        <v>5103574</v>
      </c>
      <c r="T666" s="7">
        <v>5194661</v>
      </c>
      <c r="U666" s="7">
        <v>5069721</v>
      </c>
      <c r="V666" s="7">
        <v>5194661</v>
      </c>
      <c r="W666" s="7">
        <v>33853</v>
      </c>
      <c r="X666" s="7">
        <v>0</v>
      </c>
      <c r="Y666" s="7">
        <v>365</v>
      </c>
      <c r="Z666" s="7">
        <v>365</v>
      </c>
      <c r="AA666" s="8">
        <v>0</v>
      </c>
      <c r="AB666" s="7">
        <v>1772821</v>
      </c>
      <c r="AC666" s="7">
        <v>1772821</v>
      </c>
      <c r="AD666" s="7">
        <v>156000</v>
      </c>
      <c r="AE666" s="7">
        <v>156000</v>
      </c>
      <c r="AF666" s="7">
        <v>363846</v>
      </c>
      <c r="AG666" s="7">
        <v>361514</v>
      </c>
      <c r="AH666" s="8">
        <v>4</v>
      </c>
      <c r="AI666" s="8">
        <v>4</v>
      </c>
    </row>
    <row r="667" spans="1:35" x14ac:dyDescent="0.25">
      <c r="A667" s="6" t="str">
        <f>"671002"</f>
        <v>671002</v>
      </c>
      <c r="B667" s="6" t="s">
        <v>699</v>
      </c>
      <c r="C667" s="7">
        <v>5170203</v>
      </c>
      <c r="D667" s="7">
        <v>5323397</v>
      </c>
      <c r="E667" s="8">
        <v>2.96</v>
      </c>
      <c r="F667" s="7">
        <v>2052162</v>
      </c>
      <c r="G667" s="7">
        <v>2141769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2052162</v>
      </c>
      <c r="O667" s="7">
        <v>2141769</v>
      </c>
      <c r="P667" s="8">
        <v>4.37</v>
      </c>
      <c r="Q667" s="7">
        <v>0</v>
      </c>
      <c r="R667" s="7">
        <v>0</v>
      </c>
      <c r="S667" s="7">
        <v>2055560</v>
      </c>
      <c r="T667" s="7">
        <v>2302726</v>
      </c>
      <c r="U667" s="7">
        <v>2052162</v>
      </c>
      <c r="V667" s="7">
        <v>2141769</v>
      </c>
      <c r="W667" s="7">
        <v>3398</v>
      </c>
      <c r="X667" s="7">
        <v>160957</v>
      </c>
      <c r="Y667" s="7">
        <v>113</v>
      </c>
      <c r="Z667" s="7">
        <v>112</v>
      </c>
      <c r="AA667" s="8">
        <v>-0.88</v>
      </c>
      <c r="AB667" s="7">
        <v>1329565</v>
      </c>
      <c r="AC667" s="7">
        <v>1400000</v>
      </c>
      <c r="AD667" s="7">
        <v>390000</v>
      </c>
      <c r="AE667" s="7">
        <v>390000</v>
      </c>
      <c r="AF667" s="7">
        <v>550666</v>
      </c>
      <c r="AG667" s="7">
        <v>212936</v>
      </c>
      <c r="AH667" s="8">
        <v>10.65</v>
      </c>
      <c r="AI667" s="8">
        <v>4</v>
      </c>
    </row>
    <row r="668" spans="1:35" x14ac:dyDescent="0.25">
      <c r="A668" s="6" t="str">
        <f>"241701"</f>
        <v>241701</v>
      </c>
      <c r="B668" s="6" t="s">
        <v>700</v>
      </c>
      <c r="C668" s="7">
        <v>16803020</v>
      </c>
      <c r="D668" s="7">
        <v>16626226</v>
      </c>
      <c r="E668" s="8">
        <v>-1.05</v>
      </c>
      <c r="F668" s="7">
        <v>5694931</v>
      </c>
      <c r="G668" s="7">
        <v>5694931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5694931</v>
      </c>
      <c r="O668" s="7">
        <v>5694931</v>
      </c>
      <c r="P668" s="8">
        <v>0</v>
      </c>
      <c r="Q668" s="7">
        <v>38338</v>
      </c>
      <c r="R668" s="7">
        <v>215250</v>
      </c>
      <c r="S668" s="7">
        <v>5764349</v>
      </c>
      <c r="T668" s="7">
        <v>6033294</v>
      </c>
      <c r="U668" s="7">
        <v>5656593</v>
      </c>
      <c r="V668" s="7">
        <v>5479681</v>
      </c>
      <c r="W668" s="7">
        <v>107756</v>
      </c>
      <c r="X668" s="7">
        <v>553613</v>
      </c>
      <c r="Y668" s="7">
        <v>728</v>
      </c>
      <c r="Z668" s="7">
        <v>725</v>
      </c>
      <c r="AA668" s="8">
        <v>-0.41</v>
      </c>
      <c r="AB668" s="7">
        <v>3204317</v>
      </c>
      <c r="AC668" s="7">
        <v>3020240</v>
      </c>
      <c r="AD668" s="7">
        <v>625000</v>
      </c>
      <c r="AE668" s="7">
        <v>575000</v>
      </c>
      <c r="AF668" s="7">
        <v>672120</v>
      </c>
      <c r="AG668" s="7">
        <v>665049</v>
      </c>
      <c r="AH668" s="8">
        <v>4</v>
      </c>
      <c r="AI668" s="8">
        <v>4</v>
      </c>
    </row>
    <row r="669" spans="1:35" x14ac:dyDescent="0.25">
      <c r="A669" s="6" t="str">
        <f>"043501"</f>
        <v>043501</v>
      </c>
      <c r="B669" s="6" t="s">
        <v>701</v>
      </c>
      <c r="C669" s="7">
        <v>53912416</v>
      </c>
      <c r="D669" s="7">
        <v>54617182</v>
      </c>
      <c r="E669" s="8">
        <v>1.31</v>
      </c>
      <c r="F669" s="7">
        <v>12338199</v>
      </c>
      <c r="G669" s="7">
        <v>12483023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12338199</v>
      </c>
      <c r="O669" s="7">
        <v>12483023</v>
      </c>
      <c r="P669" s="8">
        <v>1.17</v>
      </c>
      <c r="Q669" s="7">
        <v>361460</v>
      </c>
      <c r="R669" s="7">
        <v>221024</v>
      </c>
      <c r="S669" s="7">
        <v>11976739</v>
      </c>
      <c r="T669" s="7">
        <v>12261999</v>
      </c>
      <c r="U669" s="7">
        <v>11976739</v>
      </c>
      <c r="V669" s="7">
        <v>12261999</v>
      </c>
      <c r="W669" s="7">
        <v>0</v>
      </c>
      <c r="X669" s="7">
        <v>0</v>
      </c>
      <c r="Y669" s="7">
        <v>2331</v>
      </c>
      <c r="Z669" s="7">
        <v>2348</v>
      </c>
      <c r="AA669" s="8">
        <v>0.73</v>
      </c>
      <c r="AB669" s="7">
        <v>2275216</v>
      </c>
      <c r="AC669" s="7">
        <v>1555216</v>
      </c>
      <c r="AD669" s="7">
        <v>3391136</v>
      </c>
      <c r="AE669" s="7">
        <v>3365000</v>
      </c>
      <c r="AF669" s="7">
        <v>4909967</v>
      </c>
      <c r="AG669" s="7">
        <v>4794967</v>
      </c>
      <c r="AH669" s="8">
        <v>9.11</v>
      </c>
      <c r="AI669" s="8">
        <v>8.7799999999999994</v>
      </c>
    </row>
    <row r="670" spans="1:35" x14ac:dyDescent="0.25">
      <c r="A670" s="6" t="str">
        <f>"662402"</f>
        <v>662402</v>
      </c>
      <c r="B670" s="6" t="s">
        <v>702</v>
      </c>
      <c r="C670" s="7">
        <v>98010000</v>
      </c>
      <c r="D670" s="7">
        <v>98170000</v>
      </c>
      <c r="E670" s="8">
        <v>0.16</v>
      </c>
      <c r="F670" s="7">
        <v>77407157</v>
      </c>
      <c r="G670" s="7">
        <v>77667221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77407157</v>
      </c>
      <c r="O670" s="7">
        <v>77667221</v>
      </c>
      <c r="P670" s="8">
        <v>0.34</v>
      </c>
      <c r="Q670" s="7">
        <v>2964023</v>
      </c>
      <c r="R670" s="7">
        <v>3887076</v>
      </c>
      <c r="S670" s="7">
        <v>74645958</v>
      </c>
      <c r="T670" s="7">
        <v>75490853</v>
      </c>
      <c r="U670" s="7">
        <v>74443134</v>
      </c>
      <c r="V670" s="7">
        <v>73780145</v>
      </c>
      <c r="W670" s="7">
        <v>202824</v>
      </c>
      <c r="X670" s="7">
        <v>1710708</v>
      </c>
      <c r="Y670" s="7">
        <v>3464</v>
      </c>
      <c r="Z670" s="7">
        <v>3387</v>
      </c>
      <c r="AA670" s="8">
        <v>-2.2200000000000002</v>
      </c>
      <c r="AB670" s="7">
        <v>12271060</v>
      </c>
      <c r="AC670" s="7">
        <v>12241594</v>
      </c>
      <c r="AD670" s="7">
        <v>631000</v>
      </c>
      <c r="AE670" s="7">
        <v>1070000</v>
      </c>
      <c r="AF670" s="7">
        <v>3920345</v>
      </c>
      <c r="AG670" s="7">
        <v>3926800</v>
      </c>
      <c r="AH670" s="8">
        <v>4</v>
      </c>
      <c r="AI670" s="8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5-3-17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McNally</dc:creator>
  <cp:lastModifiedBy>Amanda Lolik</cp:lastModifiedBy>
  <dcterms:created xsi:type="dcterms:W3CDTF">2017-05-15T20:01:45Z</dcterms:created>
  <dcterms:modified xsi:type="dcterms:W3CDTF">2017-05-23T13:30:00Z</dcterms:modified>
</cp:coreProperties>
</file>