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95" windowWidth="7125" windowHeight="11805" activeTab="0"/>
  </bookViews>
  <sheets>
    <sheet name="2011-12 Summary" sheetId="1" r:id="rId1"/>
    <sheet name="2011-12 Back-Up Data" sheetId="2" r:id="rId2"/>
  </sheets>
  <definedNames>
    <definedName name="_xlnm.Print_Titles" localSheetId="0">'2011-12 Summary'!$1:$4</definedName>
  </definedNames>
  <calcPr fullCalcOnLoad="1"/>
</workbook>
</file>

<file path=xl/sharedStrings.xml><?xml version="1.0" encoding="utf-8"?>
<sst xmlns="http://schemas.openxmlformats.org/spreadsheetml/2006/main" count="154" uniqueCount="94">
  <si>
    <t>Nassau</t>
  </si>
  <si>
    <t>Suffolk 1</t>
  </si>
  <si>
    <t>Suffolk 2</t>
  </si>
  <si>
    <t>Erie 1</t>
  </si>
  <si>
    <t>Westchester 2</t>
  </si>
  <si>
    <t>Monroe 1</t>
  </si>
  <si>
    <t>Dutchess</t>
  </si>
  <si>
    <t>Rockland</t>
  </si>
  <si>
    <t>Ulster</t>
  </si>
  <si>
    <t>Oswego</t>
  </si>
  <si>
    <t>Sullivan</t>
  </si>
  <si>
    <t>GENERAL</t>
  </si>
  <si>
    <t>ADMIN.</t>
  </si>
  <si>
    <t>CAPITAL</t>
  </si>
  <si>
    <t>ITINERANT</t>
  </si>
  <si>
    <t>EDUC</t>
  </si>
  <si>
    <t>INST</t>
  </si>
  <si>
    <t>SUPP</t>
  </si>
  <si>
    <t>OTHER</t>
  </si>
  <si>
    <t>TOTAL</t>
  </si>
  <si>
    <t>PROGRAM</t>
  </si>
  <si>
    <t>GRAND</t>
  </si>
  <si>
    <t>Albany</t>
  </si>
  <si>
    <t>Broome</t>
  </si>
  <si>
    <t>Cattaraugus</t>
  </si>
  <si>
    <t>Cayuga</t>
  </si>
  <si>
    <t>Clinton</t>
  </si>
  <si>
    <t>Erie 2</t>
  </si>
  <si>
    <t>Franklin</t>
  </si>
  <si>
    <t>Genesee</t>
  </si>
  <si>
    <t>Herkimer</t>
  </si>
  <si>
    <t>Madison</t>
  </si>
  <si>
    <t>Hamilton</t>
  </si>
  <si>
    <t>Jefferson</t>
  </si>
  <si>
    <t>Monroe 2</t>
  </si>
  <si>
    <t>Oneida</t>
  </si>
  <si>
    <t>Onondaga</t>
  </si>
  <si>
    <t>Ontario</t>
  </si>
  <si>
    <t>Orange</t>
  </si>
  <si>
    <t>Orleans</t>
  </si>
  <si>
    <t>Otsego</t>
  </si>
  <si>
    <t>Putnam</t>
  </si>
  <si>
    <t>Schuyler</t>
  </si>
  <si>
    <t>Tompkins</t>
  </si>
  <si>
    <t>St. Lawrence</t>
  </si>
  <si>
    <t>Washington</t>
  </si>
  <si>
    <t>BOCES</t>
  </si>
  <si>
    <t>Delaware</t>
  </si>
  <si>
    <t>BUDGET</t>
  </si>
  <si>
    <t>PER PUPIL</t>
  </si>
  <si>
    <t>% of TOTAL</t>
  </si>
  <si>
    <t>ADM &amp; CAP</t>
  </si>
  <si>
    <t>% of TOT</t>
  </si>
  <si>
    <t>TOT BUD</t>
  </si>
  <si>
    <t>*TOTAL*</t>
  </si>
  <si>
    <t>*AVERAGE*</t>
  </si>
  <si>
    <t>*MEDIAN*</t>
  </si>
  <si>
    <t>ADMINISTRATION</t>
  </si>
  <si>
    <t>AD BUDGET</t>
  </si>
  <si>
    <t>GEN ADM</t>
  </si>
  <si>
    <t>CP BUDGET</t>
  </si>
  <si>
    <t>% of BUDGET</t>
  </si>
  <si>
    <t>COMBINED</t>
  </si>
  <si>
    <t>EDUCATION</t>
  </si>
  <si>
    <t>SPECIAL</t>
  </si>
  <si>
    <t xml:space="preserve">Budget </t>
  </si>
  <si>
    <t>SP ED</t>
  </si>
  <si>
    <t>PER PUP</t>
  </si>
  <si>
    <t>ITIN</t>
  </si>
  <si>
    <t>SERVICES</t>
  </si>
  <si>
    <t>*MEDAIN*</t>
  </si>
  <si>
    <t>INSTRUCTION</t>
  </si>
  <si>
    <t>SUPPORT</t>
  </si>
  <si>
    <t>GEN INST</t>
  </si>
  <si>
    <t>INS SUPP</t>
  </si>
  <si>
    <t>Rensselaer</t>
  </si>
  <si>
    <t>ADMINISTRATION &amp;</t>
  </si>
  <si>
    <t>CAREER &amp; TECHNICAL</t>
  </si>
  <si>
    <t>C&amp;T ED</t>
  </si>
  <si>
    <t>INSTRUCTIONAL</t>
  </si>
  <si>
    <t>CTE</t>
  </si>
  <si>
    <t>DASNY</t>
  </si>
  <si>
    <t>PUPIL</t>
  </si>
  <si>
    <t>COUNT</t>
  </si>
  <si>
    <t xml:space="preserve">BACK-UP DATA </t>
  </si>
  <si>
    <t>Rent</t>
  </si>
  <si>
    <t>Constr</t>
  </si>
  <si>
    <t xml:space="preserve"> </t>
  </si>
  <si>
    <t>;</t>
  </si>
  <si>
    <t>2011-2012 BOCES Program &amp; Administrative/Capital Budgets Summary</t>
  </si>
  <si>
    <t>2011-12 BOCES BUDGETS</t>
  </si>
  <si>
    <t>2011-2012 BOCES General Administration &amp; Capital Budgets</t>
  </si>
  <si>
    <t>2011-2012 CAREER &amp; TECH., Spec. Ed. and Itin. Ed. Budgets</t>
  </si>
  <si>
    <t>2011-2012 BOCES Gen. Inst., Inst Supp. and Other Prog. Budgets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</si>
</sst>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0.00_);\(0.00\)"/>
    <numFmt numFmtId="173" formatCode="0_);\(0\)"/>
    <numFmt numFmtId="174" formatCode="[$-409]dddd\,\ mmmm\ dd\,\ yyyy"/>
    <numFmt numFmtId="175" formatCode="[$-409]h:mm:ss\ AM/PM"/>
  </numFmts>
  <fonts count="5">
    <font>
      <sz val="10"/>
      <name val="Arial"/>
      <family val="0"/>
    </font>
    <font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44" fontId="0" fillId="0" borderId="0" xfId="17" applyAlignment="1">
      <alignment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44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44" fontId="0" fillId="2" borderId="0" xfId="17" applyFont="1" applyFill="1" applyAlignment="1">
      <alignment horizontal="center"/>
    </xf>
    <xf numFmtId="10" fontId="0" fillId="2" borderId="0" xfId="21" applyNumberFormat="1" applyFont="1" applyFill="1" applyAlignment="1">
      <alignment horizontal="center"/>
    </xf>
    <xf numFmtId="44" fontId="0" fillId="2" borderId="0" xfId="17" applyFill="1" applyAlignment="1">
      <alignment/>
    </xf>
    <xf numFmtId="10" fontId="0" fillId="2" borderId="0" xfId="21" applyNumberFormat="1" applyFill="1" applyAlignment="1">
      <alignment/>
    </xf>
    <xf numFmtId="44" fontId="0" fillId="2" borderId="0" xfId="17" applyFill="1" applyAlignment="1">
      <alignment horizontal="center"/>
    </xf>
    <xf numFmtId="10" fontId="0" fillId="2" borderId="0" xfId="21" applyNumberFormat="1" applyFill="1" applyAlignment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Alignment="1">
      <alignment horizontal="center"/>
    </xf>
    <xf numFmtId="168" fontId="0" fillId="0" borderId="0" xfId="17" applyNumberFormat="1" applyAlignment="1">
      <alignment/>
    </xf>
    <xf numFmtId="168" fontId="0" fillId="2" borderId="0" xfId="17" applyNumberFormat="1" applyFill="1" applyAlignment="1">
      <alignment/>
    </xf>
    <xf numFmtId="168" fontId="0" fillId="2" borderId="0" xfId="0" applyNumberFormat="1" applyFill="1" applyAlignment="1">
      <alignment/>
    </xf>
    <xf numFmtId="168" fontId="0" fillId="2" borderId="0" xfId="17" applyNumberFormat="1" applyFont="1" applyFill="1" applyAlignment="1">
      <alignment horizontal="center"/>
    </xf>
    <xf numFmtId="168" fontId="0" fillId="2" borderId="0" xfId="17" applyNumberFormat="1" applyFill="1" applyAlignment="1">
      <alignment horizontal="center"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171" fontId="4" fillId="0" borderId="0" xfId="15" applyNumberFormat="1" applyFont="1" applyAlignment="1">
      <alignment horizontal="center"/>
    </xf>
    <xf numFmtId="168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168" fontId="0" fillId="0" borderId="0" xfId="0" applyNumberFormat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Font="1" applyAlignment="1">
      <alignment/>
    </xf>
    <xf numFmtId="3" fontId="0" fillId="0" borderId="0" xfId="17" applyNumberFormat="1" applyAlignment="1">
      <alignment/>
    </xf>
    <xf numFmtId="43" fontId="0" fillId="0" borderId="0" xfId="17" applyNumberFormat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 applyProtection="1">
      <alignment horizontal="center"/>
      <protection locked="0"/>
    </xf>
    <xf numFmtId="171" fontId="0" fillId="0" borderId="0" xfId="15" applyNumberFormat="1" applyFont="1" applyAlignment="1">
      <alignment/>
    </xf>
    <xf numFmtId="44" fontId="0" fillId="0" borderId="0" xfId="17" applyNumberFormat="1" applyAlignment="1">
      <alignment/>
    </xf>
    <xf numFmtId="4" fontId="0" fillId="0" borderId="0" xfId="17" applyNumberFormat="1" applyAlignment="1">
      <alignment/>
    </xf>
    <xf numFmtId="172" fontId="0" fillId="0" borderId="0" xfId="17" applyNumberForma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Y47"/>
  <sheetViews>
    <sheetView tabSelected="1" workbookViewId="0" topLeftCell="A1">
      <selection activeCell="D6" sqref="D6"/>
    </sheetView>
  </sheetViews>
  <sheetFormatPr defaultColWidth="9.140625" defaultRowHeight="12.75"/>
  <cols>
    <col min="3" max="3" width="13.140625" style="2" bestFit="1" customWidth="1"/>
    <col min="4" max="4" width="15.140625" style="0" bestFit="1" customWidth="1"/>
    <col min="5" max="5" width="11.28125" style="0" bestFit="1" customWidth="1"/>
    <col min="6" max="6" width="11.140625" style="0" bestFit="1" customWidth="1"/>
    <col min="7" max="7" width="18.140625" style="0" bestFit="1" customWidth="1"/>
    <col min="8" max="8" width="10.7109375" style="0" bestFit="1" customWidth="1"/>
    <col min="9" max="9" width="11.421875" style="0" bestFit="1" customWidth="1"/>
    <col min="10" max="10" width="17.7109375" style="0" bestFit="1" customWidth="1"/>
    <col min="11" max="11" width="10.7109375" style="0" bestFit="1" customWidth="1"/>
    <col min="16" max="16" width="13.140625" style="2" bestFit="1" customWidth="1"/>
    <col min="17" max="17" width="14.140625" style="3" customWidth="1"/>
    <col min="18" max="18" width="12.8515625" style="3" bestFit="1" customWidth="1"/>
    <col min="19" max="19" width="11.00390625" style="4" bestFit="1" customWidth="1"/>
    <col min="20" max="20" width="13.28125" style="18" customWidth="1"/>
    <col min="21" max="21" width="12.8515625" style="3" bestFit="1" customWidth="1"/>
    <col min="22" max="22" width="12.8515625" style="4" bestFit="1" customWidth="1"/>
    <col min="23" max="23" width="12.00390625" style="3" bestFit="1" customWidth="1"/>
    <col min="28" max="28" width="13.140625" style="2" bestFit="1" customWidth="1"/>
    <col min="29" max="29" width="20.7109375" style="18" customWidth="1"/>
    <col min="30" max="30" width="12.00390625" style="3" bestFit="1" customWidth="1"/>
    <col min="31" max="31" width="9.140625" style="4" customWidth="1"/>
    <col min="32" max="32" width="15.00390625" style="18" customWidth="1"/>
    <col min="33" max="33" width="10.421875" style="3" bestFit="1" customWidth="1"/>
    <col min="34" max="34" width="9.140625" style="4" customWidth="1"/>
    <col min="35" max="35" width="13.28125" style="18" customWidth="1"/>
    <col min="36" max="36" width="11.8515625" style="3" bestFit="1" customWidth="1"/>
    <col min="37" max="37" width="9.140625" style="4" customWidth="1"/>
    <col min="42" max="42" width="13.140625" style="2" bestFit="1" customWidth="1"/>
    <col min="43" max="43" width="13.421875" style="18" customWidth="1"/>
    <col min="44" max="44" width="10.7109375" style="3" bestFit="1" customWidth="1"/>
    <col min="45" max="45" width="9.57421875" style="4" bestFit="1" customWidth="1"/>
    <col min="46" max="46" width="14.7109375" style="18" customWidth="1"/>
    <col min="47" max="47" width="10.7109375" style="3" bestFit="1" customWidth="1"/>
    <col min="48" max="48" width="9.7109375" style="4" bestFit="1" customWidth="1"/>
    <col min="49" max="49" width="13.28125" style="18" customWidth="1"/>
    <col min="50" max="50" width="10.7109375" style="3" bestFit="1" customWidth="1"/>
    <col min="51" max="51" width="8.7109375" style="4" bestFit="1" customWidth="1"/>
  </cols>
  <sheetData>
    <row r="1" spans="3:51" ht="15.75">
      <c r="C1" s="41" t="s">
        <v>89</v>
      </c>
      <c r="D1" s="41"/>
      <c r="E1" s="41"/>
      <c r="F1" s="41"/>
      <c r="G1" s="41"/>
      <c r="H1" s="41"/>
      <c r="I1" s="41"/>
      <c r="J1" s="41"/>
      <c r="K1" s="41"/>
      <c r="P1" s="41" t="s">
        <v>91</v>
      </c>
      <c r="Q1" s="41"/>
      <c r="R1" s="41"/>
      <c r="S1" s="41"/>
      <c r="T1" s="41"/>
      <c r="U1" s="41"/>
      <c r="V1" s="41"/>
      <c r="W1" s="41"/>
      <c r="AB1" s="41" t="s">
        <v>92</v>
      </c>
      <c r="AC1" s="41"/>
      <c r="AD1" s="41"/>
      <c r="AE1" s="41"/>
      <c r="AF1" s="41"/>
      <c r="AG1" s="41"/>
      <c r="AH1" s="41"/>
      <c r="AI1" s="41"/>
      <c r="AJ1" s="41"/>
      <c r="AK1" s="41"/>
      <c r="AP1" s="41" t="s">
        <v>93</v>
      </c>
      <c r="AQ1" s="41"/>
      <c r="AR1" s="41"/>
      <c r="AS1" s="41"/>
      <c r="AT1" s="41"/>
      <c r="AU1" s="41"/>
      <c r="AV1" s="41"/>
      <c r="AW1" s="41"/>
      <c r="AX1" s="41"/>
      <c r="AY1" s="41"/>
    </row>
    <row r="3" spans="3:51" ht="12.75">
      <c r="C3" s="6" t="s">
        <v>46</v>
      </c>
      <c r="D3" s="6" t="s">
        <v>19</v>
      </c>
      <c r="E3" s="6" t="s">
        <v>48</v>
      </c>
      <c r="F3" s="6" t="s">
        <v>20</v>
      </c>
      <c r="G3" s="6" t="s">
        <v>76</v>
      </c>
      <c r="H3" s="6" t="s">
        <v>48</v>
      </c>
      <c r="I3" s="6" t="s">
        <v>51</v>
      </c>
      <c r="J3" s="6" t="s">
        <v>19</v>
      </c>
      <c r="K3" s="6" t="s">
        <v>53</v>
      </c>
      <c r="P3" s="6" t="s">
        <v>46</v>
      </c>
      <c r="Q3" s="10" t="s">
        <v>11</v>
      </c>
      <c r="R3" s="10" t="s">
        <v>58</v>
      </c>
      <c r="S3" s="11" t="s">
        <v>59</v>
      </c>
      <c r="T3" s="21" t="s">
        <v>13</v>
      </c>
      <c r="U3" s="10" t="s">
        <v>60</v>
      </c>
      <c r="V3" s="11" t="s">
        <v>13</v>
      </c>
      <c r="W3" s="10" t="s">
        <v>62</v>
      </c>
      <c r="AB3" s="6" t="s">
        <v>46</v>
      </c>
      <c r="AC3" s="21" t="s">
        <v>77</v>
      </c>
      <c r="AD3" s="14" t="s">
        <v>65</v>
      </c>
      <c r="AE3" s="11" t="s">
        <v>78</v>
      </c>
      <c r="AF3" s="22" t="s">
        <v>64</v>
      </c>
      <c r="AG3" s="14" t="s">
        <v>48</v>
      </c>
      <c r="AH3" s="15" t="s">
        <v>66</v>
      </c>
      <c r="AI3" s="22" t="s">
        <v>14</v>
      </c>
      <c r="AJ3" s="14" t="s">
        <v>48</v>
      </c>
      <c r="AK3" s="15" t="s">
        <v>68</v>
      </c>
      <c r="AP3" s="6" t="s">
        <v>46</v>
      </c>
      <c r="AQ3" s="22" t="s">
        <v>11</v>
      </c>
      <c r="AR3" s="14" t="s">
        <v>48</v>
      </c>
      <c r="AS3" s="15" t="s">
        <v>73</v>
      </c>
      <c r="AT3" s="21" t="s">
        <v>79</v>
      </c>
      <c r="AU3" s="14" t="s">
        <v>48</v>
      </c>
      <c r="AV3" s="15" t="s">
        <v>74</v>
      </c>
      <c r="AW3" s="22" t="s">
        <v>18</v>
      </c>
      <c r="AX3" s="14" t="s">
        <v>48</v>
      </c>
      <c r="AY3" s="15" t="s">
        <v>18</v>
      </c>
    </row>
    <row r="4" spans="3:51" ht="12.75">
      <c r="C4" s="6"/>
      <c r="D4" s="6" t="s">
        <v>20</v>
      </c>
      <c r="E4" s="6" t="s">
        <v>49</v>
      </c>
      <c r="F4" s="6" t="s">
        <v>50</v>
      </c>
      <c r="G4" s="6" t="s">
        <v>13</v>
      </c>
      <c r="H4" s="6" t="s">
        <v>49</v>
      </c>
      <c r="I4" s="6" t="s">
        <v>52</v>
      </c>
      <c r="J4" s="6" t="s">
        <v>48</v>
      </c>
      <c r="K4" s="6" t="s">
        <v>67</v>
      </c>
      <c r="P4" s="6"/>
      <c r="Q4" s="10" t="s">
        <v>57</v>
      </c>
      <c r="R4" s="10" t="s">
        <v>49</v>
      </c>
      <c r="S4" s="11" t="s">
        <v>50</v>
      </c>
      <c r="T4" s="21"/>
      <c r="U4" s="10" t="s">
        <v>49</v>
      </c>
      <c r="V4" s="11" t="s">
        <v>61</v>
      </c>
      <c r="W4" s="10" t="s">
        <v>49</v>
      </c>
      <c r="AB4" s="6"/>
      <c r="AC4" s="22" t="s">
        <v>63</v>
      </c>
      <c r="AD4" s="14" t="s">
        <v>49</v>
      </c>
      <c r="AE4" s="11" t="s">
        <v>52</v>
      </c>
      <c r="AF4" s="22" t="s">
        <v>63</v>
      </c>
      <c r="AG4" s="14" t="s">
        <v>67</v>
      </c>
      <c r="AH4" s="15" t="s">
        <v>52</v>
      </c>
      <c r="AI4" s="22" t="s">
        <v>69</v>
      </c>
      <c r="AJ4" s="14" t="s">
        <v>49</v>
      </c>
      <c r="AK4" s="15" t="s">
        <v>52</v>
      </c>
      <c r="AP4" s="6"/>
      <c r="AQ4" s="22" t="s">
        <v>71</v>
      </c>
      <c r="AR4" s="14" t="s">
        <v>49</v>
      </c>
      <c r="AS4" s="15" t="s">
        <v>52</v>
      </c>
      <c r="AT4" s="22" t="s">
        <v>72</v>
      </c>
      <c r="AU4" s="14" t="s">
        <v>49</v>
      </c>
      <c r="AV4" s="15" t="s">
        <v>52</v>
      </c>
      <c r="AW4" s="22" t="s">
        <v>69</v>
      </c>
      <c r="AX4" s="14" t="s">
        <v>49</v>
      </c>
      <c r="AY4" s="15" t="s">
        <v>52</v>
      </c>
    </row>
    <row r="6" spans="3:51" ht="12.75">
      <c r="C6" s="2" t="str">
        <f>'2011-12 Back-Up Data'!A6</f>
        <v>Albany</v>
      </c>
      <c r="D6" s="18">
        <f>'2011-12 Back-Up Data'!K6</f>
        <v>97996986</v>
      </c>
      <c r="E6" s="3">
        <f>'2011-12 Back-Up Data'!K6/'2011-12 Back-Up Data'!B6</f>
        <v>1431.2188517766647</v>
      </c>
      <c r="F6" s="4">
        <f>'2011-12 Back-Up Data'!K6/'2011-12 Back-Up Data'!L6</f>
        <v>0.9016150160466188</v>
      </c>
      <c r="G6" s="18">
        <f>'2011-12 Back-Up Data'!C6+'2011-12 Back-Up Data'!D6</f>
        <v>10693513</v>
      </c>
      <c r="H6" s="38">
        <f>('2011-12 Back-Up Data'!C6+'2011-12 Back-Up Data'!D6)/'2011-12 Back-Up Data'!B6</f>
        <v>156.17579705276685</v>
      </c>
      <c r="I6" s="4">
        <v>0</v>
      </c>
      <c r="J6" s="18">
        <f>'2011-12 Back-Up Data'!L6</f>
        <v>108690499</v>
      </c>
      <c r="K6" s="3">
        <f>'2011-12 Back-Up Data'!L6/'2011-12 Back-Up Data'!B6</f>
        <v>1587.3946488294314</v>
      </c>
      <c r="P6" s="2" t="str">
        <f>'2011-12 Back-Up Data'!A6</f>
        <v>Albany</v>
      </c>
      <c r="Q6" s="18">
        <f>'2011-12 Back-Up Data'!C6</f>
        <v>7763481</v>
      </c>
      <c r="R6" s="3">
        <f>'2011-12 Back-Up Data'!C6/'2011-12 Back-Up Data'!B6</f>
        <v>113.38349082093148</v>
      </c>
      <c r="S6" s="4">
        <f>'2011-12 Back-Up Data'!C6/'2011-12 Back-Up Data'!L6</f>
        <v>0.07142741151643807</v>
      </c>
      <c r="T6" s="18">
        <f>'2011-12 Back-Up Data'!D6</f>
        <v>2930032</v>
      </c>
      <c r="U6" s="3">
        <f>'2011-12 Back-Up Data'!D6/'2011-12 Back-Up Data'!B6</f>
        <v>42.792306231835376</v>
      </c>
      <c r="V6" s="4">
        <f>'2011-12 Back-Up Data'!D6/'2011-12 Back-Up Data'!L6</f>
        <v>0.02695757243694318</v>
      </c>
      <c r="W6" s="3">
        <f>SUM('2011-12 Back-Up Data'!C6+'2011-12 Back-Up Data'!D6)/'2011-12 Back-Up Data'!B6</f>
        <v>156.17579705276685</v>
      </c>
      <c r="AB6" s="2" t="str">
        <f>'2011-12 Back-Up Data'!A6</f>
        <v>Albany</v>
      </c>
      <c r="AC6" s="18">
        <f>'2011-12 Back-Up Data'!E6</f>
        <v>11024054</v>
      </c>
      <c r="AD6" s="3">
        <f>'2011-12 Back-Up Data'!E6/'2011-12 Back-Up Data'!B6</f>
        <v>161.00325685326635</v>
      </c>
      <c r="AE6" s="4">
        <f>'2011-12 Back-Up Data'!E6/'2011-12 Back-Up Data'!L6</f>
        <v>0.10142610533051284</v>
      </c>
      <c r="AF6" s="18">
        <f>'2011-12 Back-Up Data'!F6</f>
        <v>31333587</v>
      </c>
      <c r="AG6" s="3">
        <f>'2011-12 Back-Up Data'!F6/'2011-12 Back-Up Data'!B6</f>
        <v>457.6183639789108</v>
      </c>
      <c r="AH6" s="4">
        <f>'2011-12 Back-Up Data'!F6/'2011-12 Back-Up Data'!L6</f>
        <v>0.2882826676506472</v>
      </c>
      <c r="AI6" s="18">
        <f>'2011-12 Back-Up Data'!G6</f>
        <v>8098354</v>
      </c>
      <c r="AJ6" s="3">
        <f>'2011-12 Back-Up Data'!G6/'2011-12 Back-Up Data'!B6</f>
        <v>118.27421828219246</v>
      </c>
      <c r="AK6" s="4">
        <f>'2011-12 Back-Up Data'!G6/'2011-12 Back-Up Data'!L6</f>
        <v>0.07450838918312445</v>
      </c>
      <c r="AP6" s="2" t="str">
        <f>'2011-12 Back-Up Data'!A6</f>
        <v>Albany</v>
      </c>
      <c r="AQ6" s="18">
        <f>'2011-12 Back-Up Data'!H6</f>
        <v>5406843</v>
      </c>
      <c r="AR6" s="3">
        <f>'2011-12 Back-Up Data'!H6/'2011-12 Back-Up Data'!B6</f>
        <v>78.96544522498576</v>
      </c>
      <c r="AS6" s="4">
        <f>'2011-12 Back-Up Data'!H6/'2011-12 Back-Up Data'!L6</f>
        <v>0.0497453139855398</v>
      </c>
      <c r="AT6" s="18">
        <f>'2011-12 Back-Up Data'!I6</f>
        <v>7827401</v>
      </c>
      <c r="AU6" s="3">
        <f>'2011-12 Back-Up Data'!I6/'2011-12 Back-Up Data'!B6</f>
        <v>114.31702472579632</v>
      </c>
      <c r="AV6" s="4">
        <f>'2011-12 Back-Up Data'!I6/'2011-12 Back-Up Data'!L6</f>
        <v>0.07201550339740367</v>
      </c>
      <c r="AW6" s="18">
        <f>'2011-12 Back-Up Data'!J6</f>
        <v>34306747</v>
      </c>
      <c r="AX6" s="3">
        <f>'2011-12 Back-Up Data'!J6/'2011-12 Back-Up Data'!B6</f>
        <v>501.0405427115129</v>
      </c>
      <c r="AY6" s="4">
        <f>'2011-12 Back-Up Data'!J6/'2011-12 Back-Up Data'!L6</f>
        <v>0.3156370364993908</v>
      </c>
    </row>
    <row r="7" spans="3:51" ht="12.75">
      <c r="C7" s="2" t="str">
        <f>'2011-12 Back-Up Data'!A7</f>
        <v>Broome</v>
      </c>
      <c r="D7" s="33">
        <f>'2011-12 Back-Up Data'!K7</f>
        <v>77560891</v>
      </c>
      <c r="E7" s="34">
        <f>'2011-12 Back-Up Data'!K7/'2011-12 Back-Up Data'!B7</f>
        <v>2384.1414914545676</v>
      </c>
      <c r="F7" s="4">
        <f>'2011-12 Back-Up Data'!K7/'2011-12 Back-Up Data'!L7</f>
        <v>0.9428543927520372</v>
      </c>
      <c r="G7" s="33">
        <f>'2011-12 Back-Up Data'!C7+'2011-12 Back-Up Data'!D7</f>
        <v>4700900</v>
      </c>
      <c r="H7" s="34">
        <f>('2011-12 Back-Up Data'!C7+'2011-12 Back-Up Data'!D7)/'2011-12 Back-Up Data'!B7</f>
        <v>144.5007992130825</v>
      </c>
      <c r="I7" s="4">
        <f>('2011-12 Back-Up Data'!C7+'2011-12 Back-Up Data'!D7)/'2011-12 Back-Up Data'!L7</f>
        <v>0.05714560724796279</v>
      </c>
      <c r="J7" s="33">
        <f>'2011-12 Back-Up Data'!L7</f>
        <v>82261791</v>
      </c>
      <c r="K7" s="34">
        <f>'2011-12 Back-Up Data'!L7/'2011-12 Back-Up Data'!B7</f>
        <v>2528.6422906676503</v>
      </c>
      <c r="P7" s="2" t="str">
        <f>'2011-12 Back-Up Data'!A7</f>
        <v>Broome</v>
      </c>
      <c r="Q7" s="33">
        <f>'2011-12 Back-Up Data'!C7</f>
        <v>3009919</v>
      </c>
      <c r="R7" s="39">
        <f>'2011-12 Back-Up Data'!C7/'2011-12 Back-Up Data'!B7</f>
        <v>92.52179392598057</v>
      </c>
      <c r="S7" s="4">
        <f>'2011-12 Back-Up Data'!C7/'2011-12 Back-Up Data'!L7</f>
        <v>0.03658951456575994</v>
      </c>
      <c r="T7" s="33">
        <f>'2011-12 Back-Up Data'!D7</f>
        <v>1690981</v>
      </c>
      <c r="U7" s="40">
        <f>'2011-12 Back-Up Data'!D7/'2011-12 Back-Up Data'!B7</f>
        <v>51.97900528710193</v>
      </c>
      <c r="V7" s="4">
        <f>'2011-12 Back-Up Data'!D7/'2011-12 Back-Up Data'!L7</f>
        <v>0.020556092682202848</v>
      </c>
      <c r="W7" s="40">
        <f>SUM('2011-12 Back-Up Data'!C7+'2011-12 Back-Up Data'!D7)/'2011-12 Back-Up Data'!B7</f>
        <v>144.5007992130825</v>
      </c>
      <c r="AB7" s="2" t="str">
        <f>'2011-12 Back-Up Data'!A7</f>
        <v>Broome</v>
      </c>
      <c r="AC7" s="33">
        <f>'2011-12 Back-Up Data'!E7</f>
        <v>8719268</v>
      </c>
      <c r="AD7" s="40">
        <f>'2011-12 Back-Up Data'!E7/'2011-12 Back-Up Data'!B7</f>
        <v>268.02127136358047</v>
      </c>
      <c r="AE7" s="4">
        <f>'2011-12 Back-Up Data'!E7/'2011-12 Back-Up Data'!L7</f>
        <v>0.10599414252967092</v>
      </c>
      <c r="AF7" s="33">
        <f>'2011-12 Back-Up Data'!F7</f>
        <v>18250385</v>
      </c>
      <c r="AG7" s="40">
        <f>'2011-12 Back-Up Data'!F7/'2011-12 Back-Up Data'!B7</f>
        <v>560.9979404893643</v>
      </c>
      <c r="AH7" s="4">
        <f>'2011-12 Back-Up Data'!F7/'2011-12 Back-Up Data'!L7</f>
        <v>0.22185737482909898</v>
      </c>
      <c r="AI7" s="33">
        <f>'2011-12 Back-Up Data'!G7</f>
        <v>3710375</v>
      </c>
      <c r="AJ7" s="40">
        <f>'2011-12 Back-Up Data'!G7/'2011-12 Back-Up Data'!B7</f>
        <v>114.05308619205705</v>
      </c>
      <c r="AK7" s="4">
        <f>'2011-12 Back-Up Data'!G7/'2011-12 Back-Up Data'!L7</f>
        <v>0.04510447626893997</v>
      </c>
      <c r="AP7" s="2" t="str">
        <f>'2011-12 Back-Up Data'!A7</f>
        <v>Broome</v>
      </c>
      <c r="AQ7" s="33">
        <f>'2011-12 Back-Up Data'!H7</f>
        <v>7300689</v>
      </c>
      <c r="AR7" s="40">
        <f>'2011-12 Back-Up Data'!H7/'2011-12 Back-Up Data'!B7</f>
        <v>224.41562154186647</v>
      </c>
      <c r="AS7" s="4">
        <f>'2011-12 Back-Up Data'!H7/'2011-12 Back-Up Data'!L7</f>
        <v>0.0887494535585786</v>
      </c>
      <c r="AT7" s="33">
        <f>'2011-12 Back-Up Data'!I7</f>
        <v>11148103</v>
      </c>
      <c r="AU7" s="40">
        <f>'2011-12 Back-Up Data'!I7/'2011-12 Back-Up Data'!B7</f>
        <v>342.68114471904585</v>
      </c>
      <c r="AV7" s="4">
        <f>'2011-12 Back-Up Data'!I7/'2011-12 Back-Up Data'!L7</f>
        <v>0.13551981867255966</v>
      </c>
      <c r="AW7" s="33">
        <f>'2011-12 Back-Up Data'!J7</f>
        <v>28432071</v>
      </c>
      <c r="AX7" s="40">
        <f>'2011-12 Back-Up Data'!J7/'2011-12 Back-Up Data'!B7</f>
        <v>873.9724271486537</v>
      </c>
      <c r="AY7" s="4">
        <f>'2011-12 Back-Up Data'!J7/'2011-12 Back-Up Data'!L7</f>
        <v>0.3456291268931891</v>
      </c>
    </row>
    <row r="8" spans="3:51" ht="12.75">
      <c r="C8" s="2" t="str">
        <f>'2011-12 Back-Up Data'!A8</f>
        <v>Cattaraugus</v>
      </c>
      <c r="D8" s="33">
        <f>'2011-12 Back-Up Data'!K8</f>
        <v>50833000</v>
      </c>
      <c r="E8" s="34">
        <f>'2011-12 Back-Up Data'!K8/'2011-12 Back-Up Data'!B8</f>
        <v>2780.95081787844</v>
      </c>
      <c r="F8" s="4">
        <f>'2011-12 Back-Up Data'!K8/'2011-12 Back-Up Data'!L8</f>
        <v>0.900990800971304</v>
      </c>
      <c r="G8" s="33">
        <f>'2011-12 Back-Up Data'!C8+'2011-12 Back-Up Data'!D8</f>
        <v>5586000</v>
      </c>
      <c r="H8" s="34">
        <f>('2011-12 Back-Up Data'!C8+'2011-12 Back-Up Data'!D8)/'2011-12 Back-Up Data'!B8</f>
        <v>305.5965862465124</v>
      </c>
      <c r="I8" s="4">
        <f>('2011-12 Back-Up Data'!C8+'2011-12 Back-Up Data'!D8)/'2011-12 Back-Up Data'!L8</f>
        <v>0.09900919902869601</v>
      </c>
      <c r="J8" s="33">
        <f>'2011-12 Back-Up Data'!L8</f>
        <v>56419000</v>
      </c>
      <c r="K8" s="34">
        <f>'2011-12 Back-Up Data'!L8/'2011-12 Back-Up Data'!B8</f>
        <v>3086.547404124952</v>
      </c>
      <c r="P8" s="2" t="str">
        <f>'2011-12 Back-Up Data'!A8</f>
        <v>Cattaraugus</v>
      </c>
      <c r="Q8" s="33">
        <f>'2011-12 Back-Up Data'!C8</f>
        <v>2776000</v>
      </c>
      <c r="R8" s="39">
        <f>'2011-12 Back-Up Data'!C8/'2011-12 Back-Up Data'!B8</f>
        <v>151.86826412823459</v>
      </c>
      <c r="S8" s="4">
        <f>'2011-12 Back-Up Data'!C8/'2011-12 Back-Up Data'!L8</f>
        <v>0.04920328258210886</v>
      </c>
      <c r="T8" s="33">
        <f>'2011-12 Back-Up Data'!D8</f>
        <v>2810000</v>
      </c>
      <c r="U8" s="40">
        <f>'2011-12 Back-Up Data'!D8/'2011-12 Back-Up Data'!B8</f>
        <v>153.72832211827782</v>
      </c>
      <c r="V8" s="4">
        <f>'2011-12 Back-Up Data'!D8/'2011-12 Back-Up Data'!L8</f>
        <v>0.04980591644658714</v>
      </c>
      <c r="W8" s="40">
        <f>SUM('2011-12 Back-Up Data'!C8+'2011-12 Back-Up Data'!D8)/'2011-12 Back-Up Data'!B8</f>
        <v>305.5965862465124</v>
      </c>
      <c r="AB8" s="2" t="str">
        <f>'2011-12 Back-Up Data'!A8</f>
        <v>Cattaraugus</v>
      </c>
      <c r="AC8" s="33">
        <f>'2011-12 Back-Up Data'!E8</f>
        <v>8939948</v>
      </c>
      <c r="AD8" s="40">
        <f>'2011-12 Back-Up Data'!E8/'2011-12 Back-Up Data'!B8</f>
        <v>489.0829914109087</v>
      </c>
      <c r="AE8" s="4">
        <f>'2011-12 Back-Up Data'!E8/'2011-12 Back-Up Data'!L8</f>
        <v>0.15845633563161346</v>
      </c>
      <c r="AF8" s="33">
        <f>'2011-12 Back-Up Data'!F8</f>
        <v>14866727</v>
      </c>
      <c r="AG8" s="40">
        <f>'2011-12 Back-Up Data'!F8/'2011-12 Back-Up Data'!B8</f>
        <v>813.3227747688604</v>
      </c>
      <c r="AH8" s="4">
        <f>'2011-12 Back-Up Data'!F8/'2011-12 Back-Up Data'!L8</f>
        <v>0.263505680710399</v>
      </c>
      <c r="AI8" s="33">
        <f>'2011-12 Back-Up Data'!G8</f>
        <v>5596392</v>
      </c>
      <c r="AJ8" s="40">
        <f>'2011-12 Back-Up Data'!G8/'2011-12 Back-Up Data'!B8</f>
        <v>306.16510750041033</v>
      </c>
      <c r="AK8" s="4">
        <f>'2011-12 Back-Up Data'!G8/'2011-12 Back-Up Data'!L8</f>
        <v>0.09919339229692126</v>
      </c>
      <c r="AP8" s="2" t="str">
        <f>'2011-12 Back-Up Data'!A8</f>
        <v>Cattaraugus</v>
      </c>
      <c r="AQ8" s="33">
        <f>'2011-12 Back-Up Data'!H8</f>
        <v>4467180</v>
      </c>
      <c r="AR8" s="40">
        <f>'2011-12 Back-Up Data'!H8/'2011-12 Back-Up Data'!B8</f>
        <v>244.38864270474315</v>
      </c>
      <c r="AS8" s="4">
        <f>'2011-12 Back-Up Data'!H8/'2011-12 Back-Up Data'!L8</f>
        <v>0.07917864549176695</v>
      </c>
      <c r="AT8" s="33">
        <f>'2011-12 Back-Up Data'!I8</f>
        <v>8957614</v>
      </c>
      <c r="AU8" s="40">
        <f>'2011-12 Back-Up Data'!I8/'2011-12 Back-Up Data'!B8</f>
        <v>490.0494556595</v>
      </c>
      <c r="AV8" s="4">
        <f>'2011-12 Back-Up Data'!I8/'2011-12 Back-Up Data'!L8</f>
        <v>0.1587694570977862</v>
      </c>
      <c r="AW8" s="33">
        <f>'2011-12 Back-Up Data'!J8</f>
        <v>8005139</v>
      </c>
      <c r="AX8" s="40">
        <f>'2011-12 Back-Up Data'!J8/'2011-12 Back-Up Data'!B8</f>
        <v>437.94184583401716</v>
      </c>
      <c r="AY8" s="4">
        <f>'2011-12 Back-Up Data'!J8/'2011-12 Back-Up Data'!L8</f>
        <v>0.14188728974281714</v>
      </c>
    </row>
    <row r="9" spans="3:51" ht="12.75">
      <c r="C9" s="2" t="str">
        <f>'2011-12 Back-Up Data'!A9</f>
        <v>Cayuga</v>
      </c>
      <c r="D9" s="33">
        <f>'2011-12 Back-Up Data'!K9</f>
        <v>26616434</v>
      </c>
      <c r="E9" s="34">
        <f>'2011-12 Back-Up Data'!K9/'2011-12 Back-Up Data'!B9</f>
        <v>2077.4612862940994</v>
      </c>
      <c r="F9" s="4">
        <f>'2011-12 Back-Up Data'!K9/'2011-12 Back-Up Data'!L9</f>
        <v>0.9335257126268482</v>
      </c>
      <c r="G9" s="33">
        <f>'2011-12 Back-Up Data'!C9+'2011-12 Back-Up Data'!D9</f>
        <v>1895297</v>
      </c>
      <c r="H9" s="34">
        <f>('2011-12 Back-Up Data'!C9+'2011-12 Back-Up Data'!D9)/'2011-12 Back-Up Data'!B9</f>
        <v>147.9313924445832</v>
      </c>
      <c r="I9" s="4">
        <f>('2011-12 Back-Up Data'!C9+'2011-12 Back-Up Data'!D9)/'2011-12 Back-Up Data'!L9</f>
        <v>0.06647428737315178</v>
      </c>
      <c r="J9" s="33">
        <f>'2011-12 Back-Up Data'!L9</f>
        <v>28511731</v>
      </c>
      <c r="K9" s="34">
        <f>'2011-12 Back-Up Data'!L9/'2011-12 Back-Up Data'!B9</f>
        <v>2225.3926787386827</v>
      </c>
      <c r="P9" s="2" t="str">
        <f>'2011-12 Back-Up Data'!A9</f>
        <v>Cayuga</v>
      </c>
      <c r="Q9" s="33">
        <f>'2011-12 Back-Up Data'!C9</f>
        <v>1514029</v>
      </c>
      <c r="R9" s="39">
        <f>'2011-12 Back-Up Data'!C9/'2011-12 Back-Up Data'!B9</f>
        <v>118.17272869185139</v>
      </c>
      <c r="S9" s="4">
        <f>'2011-12 Back-Up Data'!C9/'2011-12 Back-Up Data'!L9</f>
        <v>0.05310196704647641</v>
      </c>
      <c r="T9" s="33">
        <f>'2011-12 Back-Up Data'!D9</f>
        <v>381268</v>
      </c>
      <c r="U9" s="40">
        <f>'2011-12 Back-Up Data'!D9/'2011-12 Back-Up Data'!B9</f>
        <v>29.758663752731813</v>
      </c>
      <c r="V9" s="4">
        <f>'2011-12 Back-Up Data'!D9/'2011-12 Back-Up Data'!L9</f>
        <v>0.01337232032667536</v>
      </c>
      <c r="W9" s="40">
        <f>SUM('2011-12 Back-Up Data'!C9+'2011-12 Back-Up Data'!D9)/'2011-12 Back-Up Data'!B9</f>
        <v>147.9313924445832</v>
      </c>
      <c r="AB9" s="2" t="str">
        <f>'2011-12 Back-Up Data'!A9</f>
        <v>Cayuga</v>
      </c>
      <c r="AC9" s="33">
        <f>'2011-12 Back-Up Data'!E9</f>
        <v>5537595</v>
      </c>
      <c r="AD9" s="40">
        <f>'2011-12 Back-Up Data'!E9/'2011-12 Back-Up Data'!B9</f>
        <v>432.2194036840462</v>
      </c>
      <c r="AE9" s="4">
        <f>'2011-12 Back-Up Data'!E9/'2011-12 Back-Up Data'!L9</f>
        <v>0.19422163459665076</v>
      </c>
      <c r="AF9" s="33">
        <f>'2011-12 Back-Up Data'!F9</f>
        <v>7469650</v>
      </c>
      <c r="AG9" s="40">
        <f>'2011-12 Back-Up Data'!F9/'2011-12 Back-Up Data'!B9</f>
        <v>583.0198251639089</v>
      </c>
      <c r="AH9" s="4">
        <f>'2011-12 Back-Up Data'!F9/'2011-12 Back-Up Data'!L9</f>
        <v>0.26198514569318854</v>
      </c>
      <c r="AI9" s="33">
        <f>'2011-12 Back-Up Data'!G9</f>
        <v>1533738</v>
      </c>
      <c r="AJ9" s="40">
        <f>'2011-12 Back-Up Data'!G9/'2011-12 Back-Up Data'!B9</f>
        <v>119.71105213862005</v>
      </c>
      <c r="AK9" s="4">
        <f>'2011-12 Back-Up Data'!G9/'2011-12 Back-Up Data'!L9</f>
        <v>0.05379322637408441</v>
      </c>
      <c r="AP9" s="2" t="str">
        <f>'2011-12 Back-Up Data'!A9</f>
        <v>Cayuga</v>
      </c>
      <c r="AQ9" s="33">
        <f>'2011-12 Back-Up Data'!H9</f>
        <v>3270722</v>
      </c>
      <c r="AR9" s="40">
        <f>'2011-12 Back-Up Data'!H9/'2011-12 Back-Up Data'!B9</f>
        <v>255.28582578832345</v>
      </c>
      <c r="AS9" s="4">
        <f>'2011-12 Back-Up Data'!H9/'2011-12 Back-Up Data'!L9</f>
        <v>0.11471495715219816</v>
      </c>
      <c r="AT9" s="33">
        <f>'2011-12 Back-Up Data'!I9</f>
        <v>4203364</v>
      </c>
      <c r="AU9" s="40">
        <f>'2011-12 Back-Up Data'!I9/'2011-12 Back-Up Data'!B9</f>
        <v>328.08023727755227</v>
      </c>
      <c r="AV9" s="4">
        <f>'2011-12 Back-Up Data'!I9/'2011-12 Back-Up Data'!L9</f>
        <v>0.14742577362279408</v>
      </c>
      <c r="AW9" s="33">
        <f>'2011-12 Back-Up Data'!J9</f>
        <v>4601365</v>
      </c>
      <c r="AX9" s="40">
        <f>'2011-12 Back-Up Data'!J9/'2011-12 Back-Up Data'!B9</f>
        <v>359.14494224164844</v>
      </c>
      <c r="AY9" s="4">
        <f>'2011-12 Back-Up Data'!J9/'2011-12 Back-Up Data'!L9</f>
        <v>0.1613849751879323</v>
      </c>
    </row>
    <row r="10" spans="3:51" ht="12.75">
      <c r="C10" s="2" t="str">
        <f>'2011-12 Back-Up Data'!A10</f>
        <v>Clinton</v>
      </c>
      <c r="D10" s="33">
        <f>'2011-12 Back-Up Data'!K10</f>
        <v>35136853</v>
      </c>
      <c r="E10" s="34">
        <f>'2011-12 Back-Up Data'!K10/'2011-12 Back-Up Data'!B10</f>
        <v>2428.7587613188634</v>
      </c>
      <c r="F10" s="4">
        <f>'2011-12 Back-Up Data'!K10/'2011-12 Back-Up Data'!L10</f>
        <v>0.9230874982477105</v>
      </c>
      <c r="G10" s="33">
        <f>'2011-12 Back-Up Data'!C10+'2011-12 Back-Up Data'!D10</f>
        <v>2927635</v>
      </c>
      <c r="H10" s="34">
        <f>('2011-12 Back-Up Data'!C10+'2011-12 Back-Up Data'!D10)/'2011-12 Back-Up Data'!B10</f>
        <v>202.36642012856848</v>
      </c>
      <c r="I10" s="4">
        <f>('2011-12 Back-Up Data'!C10+'2011-12 Back-Up Data'!D10)/'2011-12 Back-Up Data'!L10</f>
        <v>0.07691250175228943</v>
      </c>
      <c r="J10" s="33">
        <f>'2011-12 Back-Up Data'!L10</f>
        <v>38064488</v>
      </c>
      <c r="K10" s="34">
        <f>'2011-12 Back-Up Data'!L10/'2011-12 Back-Up Data'!B10</f>
        <v>2631.125181447432</v>
      </c>
      <c r="P10" s="2" t="str">
        <f>'2011-12 Back-Up Data'!A10</f>
        <v>Clinton</v>
      </c>
      <c r="Q10" s="33">
        <f>'2011-12 Back-Up Data'!C10</f>
        <v>2121170</v>
      </c>
      <c r="R10" s="39">
        <f>'2011-12 Back-Up Data'!C10/'2011-12 Back-Up Data'!B10</f>
        <v>146.62127600746527</v>
      </c>
      <c r="S10" s="4">
        <f>'2011-12 Back-Up Data'!C10/'2011-12 Back-Up Data'!L10</f>
        <v>0.05572569372271604</v>
      </c>
      <c r="T10" s="33">
        <f>'2011-12 Back-Up Data'!D10</f>
        <v>806465</v>
      </c>
      <c r="U10" s="40">
        <f>'2011-12 Back-Up Data'!D10/'2011-12 Back-Up Data'!B10</f>
        <v>55.7451441211032</v>
      </c>
      <c r="V10" s="4">
        <f>'2011-12 Back-Up Data'!D10/'2011-12 Back-Up Data'!L10</f>
        <v>0.02118680802957339</v>
      </c>
      <c r="W10" s="40">
        <f>SUM('2011-12 Back-Up Data'!C10+'2011-12 Back-Up Data'!D10)/'2011-12 Back-Up Data'!B10</f>
        <v>202.36642012856848</v>
      </c>
      <c r="AB10" s="2" t="str">
        <f>'2011-12 Back-Up Data'!A10</f>
        <v>Clinton</v>
      </c>
      <c r="AC10" s="33">
        <f>'2011-12 Back-Up Data'!E10</f>
        <v>8579092</v>
      </c>
      <c r="AD10" s="40">
        <f>'2011-12 Back-Up Data'!E10/'2011-12 Back-Up Data'!B10</f>
        <v>593.0111287758347</v>
      </c>
      <c r="AE10" s="4">
        <f>'2011-12 Back-Up Data'!E10/'2011-12 Back-Up Data'!L10</f>
        <v>0.22538309197801373</v>
      </c>
      <c r="AF10" s="33">
        <f>'2011-12 Back-Up Data'!F10</f>
        <v>15133401</v>
      </c>
      <c r="AG10" s="40">
        <f>'2011-12 Back-Up Data'!F10/'2011-12 Back-Up Data'!B10</f>
        <v>1046.0635238819382</v>
      </c>
      <c r="AH10" s="4">
        <f>'2011-12 Back-Up Data'!F10/'2011-12 Back-Up Data'!L10</f>
        <v>0.39757269295202396</v>
      </c>
      <c r="AI10" s="33">
        <f>'2011-12 Back-Up Data'!G10</f>
        <v>3305250</v>
      </c>
      <c r="AJ10" s="40">
        <f>'2011-12 Back-Up Data'!G10/'2011-12 Back-Up Data'!B10</f>
        <v>228.4682380590309</v>
      </c>
      <c r="AK10" s="4">
        <f>'2011-12 Back-Up Data'!G10/'2011-12 Back-Up Data'!L10</f>
        <v>0.08683290315109453</v>
      </c>
      <c r="AP10" s="2" t="str">
        <f>'2011-12 Back-Up Data'!A10</f>
        <v>Clinton</v>
      </c>
      <c r="AQ10" s="33">
        <f>'2011-12 Back-Up Data'!H10</f>
        <v>783614</v>
      </c>
      <c r="AR10" s="40">
        <f>'2011-12 Back-Up Data'!H10/'2011-12 Back-Up Data'!B10</f>
        <v>54.16561830372572</v>
      </c>
      <c r="AS10" s="4">
        <f>'2011-12 Back-Up Data'!H10/'2011-12 Back-Up Data'!L10</f>
        <v>0.0205864847045887</v>
      </c>
      <c r="AT10" s="33">
        <f>'2011-12 Back-Up Data'!I10</f>
        <v>2478460</v>
      </c>
      <c r="AU10" s="40">
        <f>'2011-12 Back-Up Data'!I10/'2011-12 Back-Up Data'!B10</f>
        <v>171.31817239234118</v>
      </c>
      <c r="AV10" s="4">
        <f>'2011-12 Back-Up Data'!I10/'2011-12 Back-Up Data'!L10</f>
        <v>0.0651121328625253</v>
      </c>
      <c r="AW10" s="33">
        <f>'2011-12 Back-Up Data'!J10</f>
        <v>4857036</v>
      </c>
      <c r="AX10" s="40">
        <f>'2011-12 Back-Up Data'!J10/'2011-12 Back-Up Data'!B10</f>
        <v>335.732079905993</v>
      </c>
      <c r="AY10" s="4">
        <f>'2011-12 Back-Up Data'!J10/'2011-12 Back-Up Data'!L10</f>
        <v>0.12760019259946437</v>
      </c>
    </row>
    <row r="11" spans="3:51" ht="12.75">
      <c r="C11" s="2" t="str">
        <f>'2011-12 Back-Up Data'!A11</f>
        <v>Delaware</v>
      </c>
      <c r="D11" s="33">
        <f>'2011-12 Back-Up Data'!K11</f>
        <v>35656233</v>
      </c>
      <c r="E11" s="34">
        <f>'2011-12 Back-Up Data'!K11/'2011-12 Back-Up Data'!B11</f>
        <v>2681.1213625084592</v>
      </c>
      <c r="F11" s="4">
        <f>'2011-12 Back-Up Data'!K11/'2011-12 Back-Up Data'!L11</f>
        <v>0.8401006870209745</v>
      </c>
      <c r="G11" s="33">
        <f>'2011-12 Back-Up Data'!C11+'2011-12 Back-Up Data'!D11</f>
        <v>6786576</v>
      </c>
      <c r="H11" s="34">
        <f>('2011-12 Back-Up Data'!C11+'2011-12 Back-Up Data'!D11)/'2011-12 Back-Up Data'!B11</f>
        <v>510.3072411459508</v>
      </c>
      <c r="I11" s="4">
        <f>('2011-12 Back-Up Data'!C11+'2011-12 Back-Up Data'!D11)/'2011-12 Back-Up Data'!L11</f>
        <v>0.1598993129790255</v>
      </c>
      <c r="J11" s="33">
        <f>'2011-12 Back-Up Data'!L11</f>
        <v>42442809</v>
      </c>
      <c r="K11" s="34">
        <f>'2011-12 Back-Up Data'!L11/'2011-12 Back-Up Data'!B11</f>
        <v>3191.42860365441</v>
      </c>
      <c r="P11" s="2" t="str">
        <f>'2011-12 Back-Up Data'!A11</f>
        <v>Delaware</v>
      </c>
      <c r="Q11" s="33">
        <f>'2011-12 Back-Up Data'!C11</f>
        <v>2142278</v>
      </c>
      <c r="R11" s="39">
        <f>'2011-12 Back-Up Data'!C11/'2011-12 Back-Up Data'!B11</f>
        <v>161.08564553725844</v>
      </c>
      <c r="S11" s="4">
        <f>'2011-12 Back-Up Data'!C11/'2011-12 Back-Up Data'!L11</f>
        <v>0.05047446317702488</v>
      </c>
      <c r="T11" s="33">
        <f>'2011-12 Back-Up Data'!D11</f>
        <v>4644298</v>
      </c>
      <c r="U11" s="40">
        <f>'2011-12 Back-Up Data'!D11/'2011-12 Back-Up Data'!B11</f>
        <v>349.2215956086924</v>
      </c>
      <c r="V11" s="4">
        <f>'2011-12 Back-Up Data'!D11/'2011-12 Back-Up Data'!L11</f>
        <v>0.10942484980200062</v>
      </c>
      <c r="W11" s="40">
        <f>SUM('2011-12 Back-Up Data'!C11+'2011-12 Back-Up Data'!D11)/'2011-12 Back-Up Data'!B11</f>
        <v>510.3072411459508</v>
      </c>
      <c r="AB11" s="2" t="str">
        <f>'2011-12 Back-Up Data'!A11</f>
        <v>Delaware</v>
      </c>
      <c r="AC11" s="33">
        <f>'2011-12 Back-Up Data'!E11</f>
        <v>7222906</v>
      </c>
      <c r="AD11" s="40">
        <f>'2011-12 Back-Up Data'!E11/'2011-12 Back-Up Data'!B11</f>
        <v>543.1164749229265</v>
      </c>
      <c r="AE11" s="4">
        <f>'2011-12 Back-Up Data'!E11/'2011-12 Back-Up Data'!L11</f>
        <v>0.1701797352762396</v>
      </c>
      <c r="AF11" s="33">
        <f>'2011-12 Back-Up Data'!F11</f>
        <v>10647686</v>
      </c>
      <c r="AG11" s="40">
        <f>'2011-12 Back-Up Data'!F11/'2011-12 Back-Up Data'!B11</f>
        <v>800.638093089706</v>
      </c>
      <c r="AH11" s="4">
        <f>'2011-12 Back-Up Data'!F11/'2011-12 Back-Up Data'!L11</f>
        <v>0.2508713784707322</v>
      </c>
      <c r="AI11" s="33">
        <f>'2011-12 Back-Up Data'!G11</f>
        <v>2424283</v>
      </c>
      <c r="AJ11" s="40">
        <f>'2011-12 Back-Up Data'!G11/'2011-12 Back-Up Data'!B11</f>
        <v>182.29062335513947</v>
      </c>
      <c r="AK11" s="4">
        <f>'2011-12 Back-Up Data'!G11/'2011-12 Back-Up Data'!L11</f>
        <v>0.05711881605197243</v>
      </c>
      <c r="AP11" s="2" t="str">
        <f>'2011-12 Back-Up Data'!A11</f>
        <v>Delaware</v>
      </c>
      <c r="AQ11" s="33">
        <f>'2011-12 Back-Up Data'!H11</f>
        <v>2242664</v>
      </c>
      <c r="AR11" s="40">
        <f>'2011-12 Back-Up Data'!H11/'2011-12 Back-Up Data'!B11</f>
        <v>168.63403263403262</v>
      </c>
      <c r="AS11" s="4">
        <f>'2011-12 Back-Up Data'!H11/'2011-12 Back-Up Data'!L11</f>
        <v>0.05283966949501387</v>
      </c>
      <c r="AT11" s="33">
        <f>'2011-12 Back-Up Data'!I11</f>
        <v>5505671</v>
      </c>
      <c r="AU11" s="40">
        <f>'2011-12 Back-Up Data'!I11/'2011-12 Back-Up Data'!B11</f>
        <v>413.99135273328824</v>
      </c>
      <c r="AV11" s="4">
        <f>'2011-12 Back-Up Data'!I11/'2011-12 Back-Up Data'!L11</f>
        <v>0.12971976006583352</v>
      </c>
      <c r="AW11" s="33">
        <f>'2011-12 Back-Up Data'!J11</f>
        <v>7613023</v>
      </c>
      <c r="AX11" s="40">
        <f>'2011-12 Back-Up Data'!J11/'2011-12 Back-Up Data'!B11</f>
        <v>572.4507857733664</v>
      </c>
      <c r="AY11" s="4">
        <f>'2011-12 Back-Up Data'!J11/'2011-12 Back-Up Data'!L11</f>
        <v>0.17937132766118283</v>
      </c>
    </row>
    <row r="12" spans="3:51" ht="12.75">
      <c r="C12" s="2" t="str">
        <f>'2011-12 Back-Up Data'!A12</f>
        <v>Dutchess</v>
      </c>
      <c r="D12" s="33">
        <f>'2011-12 Back-Up Data'!K12</f>
        <v>47181287</v>
      </c>
      <c r="E12" s="34">
        <f>'2011-12 Back-Up Data'!K12/'2011-12 Back-Up Data'!B12</f>
        <v>1054.5189531089356</v>
      </c>
      <c r="F12" s="4">
        <f>'2011-12 Back-Up Data'!K12/'2011-12 Back-Up Data'!L12</f>
        <v>0.8899595924473502</v>
      </c>
      <c r="G12" s="33">
        <f>'2011-12 Back-Up Data'!C12+'2011-12 Back-Up Data'!D12</f>
        <v>5833802</v>
      </c>
      <c r="H12" s="34">
        <f>('2011-12 Back-Up Data'!C12+'2011-12 Back-Up Data'!D12)/'2011-12 Back-Up Data'!B12</f>
        <v>130.3876000178803</v>
      </c>
      <c r="I12" s="4">
        <f>('2011-12 Back-Up Data'!C12+'2011-12 Back-Up Data'!D12)/'2011-12 Back-Up Data'!L12</f>
        <v>0.11004040755264978</v>
      </c>
      <c r="J12" s="33">
        <f>'2011-12 Back-Up Data'!L12</f>
        <v>53015089</v>
      </c>
      <c r="K12" s="34">
        <f>'2011-12 Back-Up Data'!L12/'2011-12 Back-Up Data'!B12</f>
        <v>1184.9065531268159</v>
      </c>
      <c r="P12" s="2" t="str">
        <f>'2011-12 Back-Up Data'!A12</f>
        <v>Dutchess</v>
      </c>
      <c r="Q12" s="33">
        <f>'2011-12 Back-Up Data'!C12</f>
        <v>4060142</v>
      </c>
      <c r="R12" s="39">
        <f>'2011-12 Back-Up Data'!C12/'2011-12 Back-Up Data'!B12</f>
        <v>90.74565285414153</v>
      </c>
      <c r="S12" s="4">
        <f>'2011-12 Back-Up Data'!C12/'2011-12 Back-Up Data'!L12</f>
        <v>0.07658464932502518</v>
      </c>
      <c r="T12" s="33">
        <f>'2011-12 Back-Up Data'!D12</f>
        <v>1773660</v>
      </c>
      <c r="U12" s="40">
        <f>'2011-12 Back-Up Data'!D12/'2011-12 Back-Up Data'!B12</f>
        <v>39.64194716373877</v>
      </c>
      <c r="V12" s="4">
        <f>'2011-12 Back-Up Data'!D12/'2011-12 Back-Up Data'!L12</f>
        <v>0.033455758227624595</v>
      </c>
      <c r="W12" s="40">
        <f>SUM('2011-12 Back-Up Data'!C12+'2011-12 Back-Up Data'!D12)/'2011-12 Back-Up Data'!B12</f>
        <v>130.3876000178803</v>
      </c>
      <c r="AB12" s="2" t="str">
        <f>'2011-12 Back-Up Data'!A12</f>
        <v>Dutchess</v>
      </c>
      <c r="AC12" s="33">
        <f>'2011-12 Back-Up Data'!E12</f>
        <v>7050900</v>
      </c>
      <c r="AD12" s="40">
        <f>'2011-12 Back-Up Data'!E12/'2011-12 Back-Up Data'!B12</f>
        <v>157.59018371999463</v>
      </c>
      <c r="AE12" s="4">
        <f>'2011-12 Back-Up Data'!E12/'2011-12 Back-Up Data'!L12</f>
        <v>0.13299798478127614</v>
      </c>
      <c r="AF12" s="33">
        <f>'2011-12 Back-Up Data'!F12</f>
        <v>22762468</v>
      </c>
      <c r="AG12" s="40">
        <f>'2011-12 Back-Up Data'!F12/'2011-12 Back-Up Data'!B12</f>
        <v>508.7494524160744</v>
      </c>
      <c r="AH12" s="4">
        <f>'2011-12 Back-Up Data'!F12/'2011-12 Back-Up Data'!L12</f>
        <v>0.42935829080660415</v>
      </c>
      <c r="AI12" s="33">
        <f>'2011-12 Back-Up Data'!G12</f>
        <v>1757269</v>
      </c>
      <c r="AJ12" s="40">
        <f>'2011-12 Back-Up Data'!G12/'2011-12 Back-Up Data'!B12</f>
        <v>39.27560234231818</v>
      </c>
      <c r="AK12" s="4">
        <f>'2011-12 Back-Up Data'!G12/'2011-12 Back-Up Data'!L12</f>
        <v>0.033146582098541794</v>
      </c>
      <c r="AP12" s="2" t="str">
        <f>'2011-12 Back-Up Data'!A12</f>
        <v>Dutchess</v>
      </c>
      <c r="AQ12" s="33">
        <f>'2011-12 Back-Up Data'!H12</f>
        <v>2581906</v>
      </c>
      <c r="AR12" s="40">
        <f>'2011-12 Back-Up Data'!H12/'2011-12 Back-Up Data'!B12</f>
        <v>57.70653971659738</v>
      </c>
      <c r="AS12" s="4">
        <f>'2011-12 Back-Up Data'!H12/'2011-12 Back-Up Data'!L12</f>
        <v>0.048701342366887286</v>
      </c>
      <c r="AT12" s="33">
        <f>'2011-12 Back-Up Data'!I12</f>
        <v>6746305</v>
      </c>
      <c r="AU12" s="40">
        <f>'2011-12 Back-Up Data'!I12/'2011-12 Back-Up Data'!B12</f>
        <v>150.78237450270439</v>
      </c>
      <c r="AV12" s="4">
        <f>'2011-12 Back-Up Data'!I12/'2011-12 Back-Up Data'!L12</f>
        <v>0.12725254502543606</v>
      </c>
      <c r="AW12" s="33">
        <f>'2011-12 Back-Up Data'!J12</f>
        <v>6282439</v>
      </c>
      <c r="AX12" s="40">
        <f>'2011-12 Back-Up Data'!J12/'2011-12 Back-Up Data'!B12</f>
        <v>140.41480041124672</v>
      </c>
      <c r="AY12" s="4">
        <f>'2011-12 Back-Up Data'!J12/'2011-12 Back-Up Data'!L12</f>
        <v>0.11850284736860481</v>
      </c>
    </row>
    <row r="13" spans="3:51" ht="12.75">
      <c r="C13" s="2" t="str">
        <f>'2011-12 Back-Up Data'!A13</f>
        <v>Erie 1</v>
      </c>
      <c r="D13" s="33">
        <f>'2011-12 Back-Up Data'!K13</f>
        <v>99604265</v>
      </c>
      <c r="E13" s="34">
        <f>'2011-12 Back-Up Data'!K13/'2011-12 Back-Up Data'!B13</f>
        <v>1402.9560116062876</v>
      </c>
      <c r="F13" s="4">
        <f>'2011-12 Back-Up Data'!K13/'2011-12 Back-Up Data'!L13</f>
        <v>0.9454522381873411</v>
      </c>
      <c r="G13" s="33">
        <f>'2011-12 Back-Up Data'!C13+'2011-12 Back-Up Data'!D13</f>
        <v>5746657</v>
      </c>
      <c r="H13" s="34">
        <f>('2011-12 Back-Up Data'!C13+'2011-12 Back-Up Data'!D13)/'2011-12 Back-Up Data'!B13</f>
        <v>80.94339117696772</v>
      </c>
      <c r="I13" s="4">
        <f>('2011-12 Back-Up Data'!C13+'2011-12 Back-Up Data'!D13)/'2011-12 Back-Up Data'!L13</f>
        <v>0.054547761812658836</v>
      </c>
      <c r="J13" s="33">
        <f>'2011-12 Back-Up Data'!L13</f>
        <v>105350922</v>
      </c>
      <c r="K13" s="34">
        <f>'2011-12 Back-Up Data'!L13/'2011-12 Back-Up Data'!B13</f>
        <v>1483.8994027832555</v>
      </c>
      <c r="P13" s="2" t="str">
        <f>'2011-12 Back-Up Data'!A13</f>
        <v>Erie 1</v>
      </c>
      <c r="Q13" s="33">
        <f>'2011-12 Back-Up Data'!C13</f>
        <v>3045582</v>
      </c>
      <c r="R13" s="39">
        <f>'2011-12 Back-Up Data'!C13/'2011-12 Back-Up Data'!B13</f>
        <v>42.897937911995044</v>
      </c>
      <c r="S13" s="4">
        <f>'2011-12 Back-Up Data'!C13/'2011-12 Back-Up Data'!L13</f>
        <v>0.028908925922831508</v>
      </c>
      <c r="T13" s="33">
        <f>'2011-12 Back-Up Data'!D13</f>
        <v>2701075</v>
      </c>
      <c r="U13" s="40">
        <f>'2011-12 Back-Up Data'!D13/'2011-12 Back-Up Data'!B13</f>
        <v>38.04545326497267</v>
      </c>
      <c r="V13" s="4">
        <f>'2011-12 Back-Up Data'!D13/'2011-12 Back-Up Data'!L13</f>
        <v>0.025638835889827332</v>
      </c>
      <c r="W13" s="40">
        <f>SUM('2011-12 Back-Up Data'!C13+'2011-12 Back-Up Data'!D13)/'2011-12 Back-Up Data'!B13</f>
        <v>80.94339117696772</v>
      </c>
      <c r="AB13" s="2" t="str">
        <f>'2011-12 Back-Up Data'!A13</f>
        <v>Erie 1</v>
      </c>
      <c r="AC13" s="33">
        <f>'2011-12 Back-Up Data'!E13</f>
        <v>13528454</v>
      </c>
      <c r="AD13" s="40">
        <f>'2011-12 Back-Up Data'!E13/'2011-12 Back-Up Data'!B13</f>
        <v>190.55234097695646</v>
      </c>
      <c r="AE13" s="4">
        <f>'2011-12 Back-Up Data'!E13/'2011-12 Back-Up Data'!L13</f>
        <v>0.12841324729934495</v>
      </c>
      <c r="AF13" s="33">
        <f>'2011-12 Back-Up Data'!F13</f>
        <v>18493921</v>
      </c>
      <c r="AG13" s="40">
        <f>'2011-12 Back-Up Data'!F13/'2011-12 Back-Up Data'!B13</f>
        <v>260.4924361935884</v>
      </c>
      <c r="AH13" s="4">
        <f>'2011-12 Back-Up Data'!F13/'2011-12 Back-Up Data'!L13</f>
        <v>0.17554588653718664</v>
      </c>
      <c r="AI13" s="33">
        <f>'2011-12 Back-Up Data'!G13</f>
        <v>8491567</v>
      </c>
      <c r="AJ13" s="40">
        <f>'2011-12 Back-Up Data'!G13/'2011-12 Back-Up Data'!B13</f>
        <v>119.60627359287847</v>
      </c>
      <c r="AK13" s="4">
        <f>'2011-12 Back-Up Data'!G13/'2011-12 Back-Up Data'!L13</f>
        <v>0.080602683287385</v>
      </c>
      <c r="AP13" s="2" t="str">
        <f>'2011-12 Back-Up Data'!A13</f>
        <v>Erie 1</v>
      </c>
      <c r="AQ13" s="33">
        <f>'2011-12 Back-Up Data'!H13</f>
        <v>5714596</v>
      </c>
      <c r="AR13" s="40">
        <f>'2011-12 Back-Up Data'!H13/'2011-12 Back-Up Data'!B13</f>
        <v>80.49180235506226</v>
      </c>
      <c r="AS13" s="4">
        <f>'2011-12 Back-Up Data'!H13/'2011-12 Back-Up Data'!L13</f>
        <v>0.054243436047004885</v>
      </c>
      <c r="AT13" s="33">
        <f>'2011-12 Back-Up Data'!I13</f>
        <v>20351462</v>
      </c>
      <c r="AU13" s="40">
        <f>'2011-12 Back-Up Data'!I13/'2011-12 Back-Up Data'!B13</f>
        <v>286.65645951884613</v>
      </c>
      <c r="AV13" s="4">
        <f>'2011-12 Back-Up Data'!I13/'2011-12 Back-Up Data'!L13</f>
        <v>0.19317782524959773</v>
      </c>
      <c r="AW13" s="33">
        <f>'2011-12 Back-Up Data'!J13</f>
        <v>33024265</v>
      </c>
      <c r="AX13" s="40">
        <f>'2011-12 Back-Up Data'!J13/'2011-12 Back-Up Data'!B13</f>
        <v>465.156698968956</v>
      </c>
      <c r="AY13" s="4">
        <f>'2011-12 Back-Up Data'!J13/'2011-12 Back-Up Data'!L13</f>
        <v>0.313469159766822</v>
      </c>
    </row>
    <row r="14" spans="3:51" ht="12.75">
      <c r="C14" s="2" t="str">
        <f>'2011-12 Back-Up Data'!A14</f>
        <v>Erie 2</v>
      </c>
      <c r="D14" s="33">
        <f>'2011-12 Back-Up Data'!K14</f>
        <v>57685517</v>
      </c>
      <c r="E14" s="34">
        <f>'2011-12 Back-Up Data'!K14/'2011-12 Back-Up Data'!B14</f>
        <v>1481.6612385380013</v>
      </c>
      <c r="F14" s="4">
        <f>'2011-12 Back-Up Data'!K14/'2011-12 Back-Up Data'!L14</f>
        <v>0.9339842349860931</v>
      </c>
      <c r="G14" s="33">
        <f>'2011-12 Back-Up Data'!C14+'2011-12 Back-Up Data'!D14</f>
        <v>4077322</v>
      </c>
      <c r="H14" s="34">
        <f>('2011-12 Back-Up Data'!C14+'2011-12 Back-Up Data'!D14)/'2011-12 Back-Up Data'!B14</f>
        <v>104.72663293350114</v>
      </c>
      <c r="I14" s="4">
        <f>('2011-12 Back-Up Data'!C14+'2011-12 Back-Up Data'!D14)/'2011-12 Back-Up Data'!L14</f>
        <v>0.06601578120487274</v>
      </c>
      <c r="J14" s="33">
        <f>'2011-12 Back-Up Data'!L14</f>
        <v>61762838</v>
      </c>
      <c r="K14" s="34">
        <f>'2011-12 Back-Up Data'!L14/'2011-12 Back-Up Data'!B14</f>
        <v>1586.387845786351</v>
      </c>
      <c r="P14" s="2" t="str">
        <f>'2011-12 Back-Up Data'!A14</f>
        <v>Erie 2</v>
      </c>
      <c r="Q14" s="33">
        <f>'2011-12 Back-Up Data'!C14</f>
        <v>3061146</v>
      </c>
      <c r="R14" s="39">
        <f>'2011-12 Back-Up Data'!C14/'2011-12 Back-Up Data'!B14</f>
        <v>78.62599851026121</v>
      </c>
      <c r="S14" s="4">
        <f>'2011-12 Back-Up Data'!C14/'2011-12 Back-Up Data'!L14</f>
        <v>0.04956291030538461</v>
      </c>
      <c r="T14" s="33">
        <f>'2011-12 Back-Up Data'!D14</f>
        <v>1016176</v>
      </c>
      <c r="U14" s="40">
        <f>'2011-12 Back-Up Data'!D14/'2011-12 Back-Up Data'!B14</f>
        <v>26.100634423239924</v>
      </c>
      <c r="V14" s="4">
        <f>'2011-12 Back-Up Data'!D14/'2011-12 Back-Up Data'!L14</f>
        <v>0.016452870899488135</v>
      </c>
      <c r="W14" s="40">
        <f>SUM('2011-12 Back-Up Data'!C14+'2011-12 Back-Up Data'!D14)/'2011-12 Back-Up Data'!B14</f>
        <v>104.72663293350114</v>
      </c>
      <c r="AB14" s="2" t="str">
        <f>'2011-12 Back-Up Data'!A14</f>
        <v>Erie 2</v>
      </c>
      <c r="AC14" s="33">
        <f>'2011-12 Back-Up Data'!E14</f>
        <v>11286270</v>
      </c>
      <c r="AD14" s="40">
        <f>'2011-12 Back-Up Data'!E14/'2011-12 Back-Up Data'!B14</f>
        <v>289.88955384891995</v>
      </c>
      <c r="AE14" s="4">
        <f>'2011-12 Back-Up Data'!E14/'2011-12 Back-Up Data'!L14</f>
        <v>0.18273561198726004</v>
      </c>
      <c r="AF14" s="33">
        <f>'2011-12 Back-Up Data'!F14</f>
        <v>16437727</v>
      </c>
      <c r="AG14" s="40">
        <f>'2011-12 Back-Up Data'!F14/'2011-12 Back-Up Data'!B14</f>
        <v>422.20550689646313</v>
      </c>
      <c r="AH14" s="4">
        <f>'2011-12 Back-Up Data'!F14/'2011-12 Back-Up Data'!L14</f>
        <v>0.2661426762805168</v>
      </c>
      <c r="AI14" s="33">
        <f>'2011-12 Back-Up Data'!G14</f>
        <v>7687868</v>
      </c>
      <c r="AJ14" s="40">
        <f>'2011-12 Back-Up Data'!G14/'2011-12 Back-Up Data'!B14</f>
        <v>197.46405363059614</v>
      </c>
      <c r="AK14" s="4">
        <f>'2011-12 Back-Up Data'!G14/'2011-12 Back-Up Data'!L14</f>
        <v>0.12447400814062333</v>
      </c>
      <c r="AP14" s="2" t="str">
        <f>'2011-12 Back-Up Data'!A14</f>
        <v>Erie 2</v>
      </c>
      <c r="AQ14" s="33">
        <f>'2011-12 Back-Up Data'!H14</f>
        <v>5969874</v>
      </c>
      <c r="AR14" s="40">
        <f>'2011-12 Back-Up Data'!H14/'2011-12 Back-Up Data'!B14</f>
        <v>153.33711761230833</v>
      </c>
      <c r="AS14" s="4">
        <f>'2011-12 Back-Up Data'!H14/'2011-12 Back-Up Data'!L14</f>
        <v>0.09665802597995901</v>
      </c>
      <c r="AT14" s="33">
        <f>'2011-12 Back-Up Data'!I14</f>
        <v>7111949</v>
      </c>
      <c r="AU14" s="40">
        <f>'2011-12 Back-Up Data'!I14/'2011-12 Back-Up Data'!B14</f>
        <v>182.67148691341535</v>
      </c>
      <c r="AV14" s="4">
        <f>'2011-12 Back-Up Data'!I14/'2011-12 Back-Up Data'!L14</f>
        <v>0.11514932328724921</v>
      </c>
      <c r="AW14" s="33">
        <f>'2011-12 Back-Up Data'!J14</f>
        <v>9191828</v>
      </c>
      <c r="AX14" s="40">
        <f>'2011-12 Back-Up Data'!J14/'2011-12 Back-Up Data'!B14</f>
        <v>236.09349395114685</v>
      </c>
      <c r="AY14" s="4">
        <f>'2011-12 Back-Up Data'!J14/'2011-12 Back-Up Data'!L14</f>
        <v>0.14882457311951888</v>
      </c>
    </row>
    <row r="15" spans="3:51" ht="12.75">
      <c r="C15" s="2" t="str">
        <f>'2011-12 Back-Up Data'!A15</f>
        <v>Franklin</v>
      </c>
      <c r="D15" s="33">
        <f>'2011-12 Back-Up Data'!K15</f>
        <v>19949629</v>
      </c>
      <c r="E15" s="34">
        <f>'2011-12 Back-Up Data'!K15/'2011-12 Back-Up Data'!B15</f>
        <v>2371.285985974088</v>
      </c>
      <c r="F15" s="4">
        <f>'2011-12 Back-Up Data'!K15/'2011-12 Back-Up Data'!L15</f>
        <v>0.9134454295949643</v>
      </c>
      <c r="G15" s="33">
        <f>'2011-12 Back-Up Data'!C15+'2011-12 Back-Up Data'!D15</f>
        <v>1890350</v>
      </c>
      <c r="H15" s="34">
        <f>('2011-12 Back-Up Data'!C15+'2011-12 Back-Up Data'!D15)/'2011-12 Back-Up Data'!B15</f>
        <v>224.69392606680137</v>
      </c>
      <c r="I15" s="4">
        <f>('2011-12 Back-Up Data'!C15+'2011-12 Back-Up Data'!D15)/'2011-12 Back-Up Data'!L15</f>
        <v>0.08655457040503564</v>
      </c>
      <c r="J15" s="33">
        <f>'2011-12 Back-Up Data'!L15</f>
        <v>21839979</v>
      </c>
      <c r="K15" s="34">
        <f>'2011-12 Back-Up Data'!L15/'2011-12 Back-Up Data'!B15</f>
        <v>2595.9799120408893</v>
      </c>
      <c r="P15" s="2" t="str">
        <f>'2011-12 Back-Up Data'!A15</f>
        <v>Franklin</v>
      </c>
      <c r="Q15" s="33">
        <f>'2011-12 Back-Up Data'!C15</f>
        <v>1581726</v>
      </c>
      <c r="R15" s="39">
        <f>'2011-12 Back-Up Data'!C15/'2011-12 Back-Up Data'!B15</f>
        <v>188.009746820397</v>
      </c>
      <c r="S15" s="4">
        <f>'2011-12 Back-Up Data'!C15/'2011-12 Back-Up Data'!L15</f>
        <v>0.07242342128625673</v>
      </c>
      <c r="T15" s="33">
        <f>'2011-12 Back-Up Data'!D15</f>
        <v>308624</v>
      </c>
      <c r="U15" s="40">
        <f>'2011-12 Back-Up Data'!D15/'2011-12 Back-Up Data'!B15</f>
        <v>36.684179246404376</v>
      </c>
      <c r="V15" s="4">
        <f>'2011-12 Back-Up Data'!D15/'2011-12 Back-Up Data'!L15</f>
        <v>0.014131149118778915</v>
      </c>
      <c r="W15" s="40">
        <f>SUM('2011-12 Back-Up Data'!C15+'2011-12 Back-Up Data'!D15)/'2011-12 Back-Up Data'!B15</f>
        <v>224.69392606680137</v>
      </c>
      <c r="AB15" s="2" t="str">
        <f>'2011-12 Back-Up Data'!A15</f>
        <v>Franklin</v>
      </c>
      <c r="AC15" s="33">
        <f>'2011-12 Back-Up Data'!E15</f>
        <v>5062403</v>
      </c>
      <c r="AD15" s="40">
        <f>'2011-12 Back-Up Data'!E15/'2011-12 Back-Up Data'!B15</f>
        <v>601.7357660763105</v>
      </c>
      <c r="AE15" s="4">
        <f>'2011-12 Back-Up Data'!E15/'2011-12 Back-Up Data'!L15</f>
        <v>0.23179523203753996</v>
      </c>
      <c r="AF15" s="33">
        <f>'2011-12 Back-Up Data'!F15</f>
        <v>6226563</v>
      </c>
      <c r="AG15" s="40">
        <f>'2011-12 Back-Up Data'!F15/'2011-12 Back-Up Data'!B15</f>
        <v>740.1120884345655</v>
      </c>
      <c r="AH15" s="4">
        <f>'2011-12 Back-Up Data'!F15/'2011-12 Back-Up Data'!L15</f>
        <v>0.28509931259549287</v>
      </c>
      <c r="AI15" s="33">
        <f>'2011-12 Back-Up Data'!G15</f>
        <v>1778227</v>
      </c>
      <c r="AJ15" s="40">
        <f>'2011-12 Back-Up Data'!G15/'2011-12 Back-Up Data'!B15</f>
        <v>211.36657553785807</v>
      </c>
      <c r="AK15" s="4">
        <f>'2011-12 Back-Up Data'!G15/'2011-12 Back-Up Data'!L15</f>
        <v>0.08142072847231217</v>
      </c>
      <c r="AP15" s="2" t="str">
        <f>'2011-12 Back-Up Data'!A15</f>
        <v>Franklin</v>
      </c>
      <c r="AQ15" s="33">
        <f>'2011-12 Back-Up Data'!H15</f>
        <v>922274</v>
      </c>
      <c r="AR15" s="40">
        <f>'2011-12 Back-Up Data'!H15/'2011-12 Back-Up Data'!B15</f>
        <v>109.6248662783787</v>
      </c>
      <c r="AS15" s="4">
        <f>'2011-12 Back-Up Data'!H15/'2011-12 Back-Up Data'!L15</f>
        <v>0.0422287036081857</v>
      </c>
      <c r="AT15" s="33">
        <f>'2011-12 Back-Up Data'!I15</f>
        <v>2633195</v>
      </c>
      <c r="AU15" s="40">
        <f>'2011-12 Back-Up Data'!I15/'2011-12 Back-Up Data'!B15</f>
        <v>312.99120408891</v>
      </c>
      <c r="AV15" s="4">
        <f>'2011-12 Back-Up Data'!I15/'2011-12 Back-Up Data'!L15</f>
        <v>0.12056765256047178</v>
      </c>
      <c r="AW15" s="33">
        <f>'2011-12 Back-Up Data'!J15</f>
        <v>3326967</v>
      </c>
      <c r="AX15" s="40">
        <f>'2011-12 Back-Up Data'!J15/'2011-12 Back-Up Data'!B15</f>
        <v>395.4554855580649</v>
      </c>
      <c r="AY15" s="4">
        <f>'2011-12 Back-Up Data'!J15/'2011-12 Back-Up Data'!L15</f>
        <v>0.15233380032096186</v>
      </c>
    </row>
    <row r="16" spans="3:51" ht="12.75">
      <c r="C16" s="2" t="str">
        <f>'2011-12 Back-Up Data'!A16</f>
        <v>Genesee</v>
      </c>
      <c r="D16" s="33">
        <f>'2011-12 Back-Up Data'!K16</f>
        <v>33543867</v>
      </c>
      <c r="E16" s="34">
        <f>'2011-12 Back-Up Data'!K16/'2011-12 Back-Up Data'!B16</f>
        <v>1447.7908843713583</v>
      </c>
      <c r="F16" s="4">
        <f>'2011-12 Back-Up Data'!K16/'2011-12 Back-Up Data'!L16</f>
        <v>0.8300131561961839</v>
      </c>
      <c r="G16" s="33">
        <f>'2011-12 Back-Up Data'!C16+'2011-12 Back-Up Data'!D16</f>
        <v>6869790</v>
      </c>
      <c r="H16" s="34">
        <f>('2011-12 Back-Up Data'!C16+'2011-12 Back-Up Data'!D16)/'2011-12 Back-Up Data'!B16</f>
        <v>296.50783374336396</v>
      </c>
      <c r="I16" s="4">
        <f>('2011-12 Back-Up Data'!C16+'2011-12 Back-Up Data'!D16)/'2011-12 Back-Up Data'!L16</f>
        <v>0.16998684380381612</v>
      </c>
      <c r="J16" s="33">
        <f>'2011-12 Back-Up Data'!L16</f>
        <v>40413657</v>
      </c>
      <c r="K16" s="34">
        <f>'2011-12 Back-Up Data'!L16/'2011-12 Back-Up Data'!B16</f>
        <v>1744.2987181147223</v>
      </c>
      <c r="P16" s="2" t="str">
        <f>'2011-12 Back-Up Data'!A16</f>
        <v>Genesee</v>
      </c>
      <c r="Q16" s="33">
        <f>'2011-12 Back-Up Data'!C16</f>
        <v>2467693</v>
      </c>
      <c r="R16" s="39">
        <f>'2011-12 Back-Up Data'!C16/'2011-12 Back-Up Data'!B16</f>
        <v>106.50839483793</v>
      </c>
      <c r="S16" s="4">
        <f>'2011-12 Back-Up Data'!C16/'2011-12 Back-Up Data'!L16</f>
        <v>0.06106086860686723</v>
      </c>
      <c r="T16" s="33">
        <f>'2011-12 Back-Up Data'!D16</f>
        <v>4402097</v>
      </c>
      <c r="U16" s="40">
        <f>'2011-12 Back-Up Data'!D16/'2011-12 Back-Up Data'!B16</f>
        <v>189.99943890543398</v>
      </c>
      <c r="V16" s="4">
        <f>'2011-12 Back-Up Data'!D16/'2011-12 Back-Up Data'!L16</f>
        <v>0.1089259751969489</v>
      </c>
      <c r="W16" s="40">
        <f>SUM('2011-12 Back-Up Data'!C16+'2011-12 Back-Up Data'!D16)/'2011-12 Back-Up Data'!B16</f>
        <v>296.50783374336396</v>
      </c>
      <c r="AB16" s="2" t="str">
        <f>'2011-12 Back-Up Data'!A16</f>
        <v>Genesee</v>
      </c>
      <c r="AC16" s="33">
        <f>'2011-12 Back-Up Data'!E16</f>
        <v>8846310</v>
      </c>
      <c r="AD16" s="40">
        <f>'2011-12 Back-Up Data'!E16/'2011-12 Back-Up Data'!B16</f>
        <v>381.8166515602745</v>
      </c>
      <c r="AE16" s="4">
        <f>'2011-12 Back-Up Data'!E16/'2011-12 Back-Up Data'!L16</f>
        <v>0.21889407335742964</v>
      </c>
      <c r="AF16" s="33">
        <f>'2011-12 Back-Up Data'!F16</f>
        <v>7214559</v>
      </c>
      <c r="AG16" s="40">
        <f>'2011-12 Back-Up Data'!F16/'2011-12 Back-Up Data'!B16</f>
        <v>311.38845008416416</v>
      </c>
      <c r="AH16" s="4">
        <f>'2011-12 Back-Up Data'!F16/'2011-12 Back-Up Data'!L16</f>
        <v>0.17851784608356527</v>
      </c>
      <c r="AI16" s="33">
        <f>'2011-12 Back-Up Data'!G16</f>
        <v>1960590</v>
      </c>
      <c r="AJ16" s="40">
        <f>'2011-12 Back-Up Data'!G16/'2011-12 Back-Up Data'!B16</f>
        <v>84.62126116793992</v>
      </c>
      <c r="AK16" s="4">
        <f>'2011-12 Back-Up Data'!G16/'2011-12 Back-Up Data'!L16</f>
        <v>0.04851305587118731</v>
      </c>
      <c r="AP16" s="2" t="str">
        <f>'2011-12 Back-Up Data'!A16</f>
        <v>Genesee</v>
      </c>
      <c r="AQ16" s="33">
        <f>'2011-12 Back-Up Data'!H16</f>
        <v>3050218</v>
      </c>
      <c r="AR16" s="40">
        <f>'2011-12 Back-Up Data'!H16/'2011-12 Back-Up Data'!B16</f>
        <v>131.65082653545687</v>
      </c>
      <c r="AS16" s="4">
        <f>'2011-12 Back-Up Data'!H16/'2011-12 Back-Up Data'!L16</f>
        <v>0.07547493165491062</v>
      </c>
      <c r="AT16" s="33">
        <f>'2011-12 Back-Up Data'!I16</f>
        <v>5533716</v>
      </c>
      <c r="AU16" s="40">
        <f>'2011-12 Back-Up Data'!I16/'2011-12 Back-Up Data'!B16</f>
        <v>238.84138288229963</v>
      </c>
      <c r="AV16" s="4">
        <f>'2011-12 Back-Up Data'!I16/'2011-12 Back-Up Data'!L16</f>
        <v>0.1369268809303746</v>
      </c>
      <c r="AW16" s="33">
        <f>'2011-12 Back-Up Data'!J16</f>
        <v>6938474</v>
      </c>
      <c r="AX16" s="40">
        <f>'2011-12 Back-Up Data'!J16/'2011-12 Back-Up Data'!B16</f>
        <v>299.4723121412232</v>
      </c>
      <c r="AY16" s="4">
        <f>'2011-12 Back-Up Data'!J16/'2011-12 Back-Up Data'!L16</f>
        <v>0.17168636829871645</v>
      </c>
    </row>
    <row r="17" spans="3:51" ht="12.75">
      <c r="C17" s="2" t="str">
        <f>'2011-12 Back-Up Data'!A17</f>
        <v>Hamilton</v>
      </c>
      <c r="D17" s="33">
        <f>'2011-12 Back-Up Data'!K17</f>
        <v>26143963</v>
      </c>
      <c r="E17" s="34">
        <f>'2011-12 Back-Up Data'!K17/'2011-12 Back-Up Data'!B17</f>
        <v>1645.20565099742</v>
      </c>
      <c r="F17" s="4">
        <f>'2011-12 Back-Up Data'!K17/'2011-12 Back-Up Data'!L17</f>
        <v>0.8451442331641933</v>
      </c>
      <c r="G17" s="33">
        <f>'2011-12 Back-Up Data'!C17+'2011-12 Back-Up Data'!D17</f>
        <v>4790358</v>
      </c>
      <c r="H17" s="34">
        <f>('2011-12 Back-Up Data'!C17+'2011-12 Back-Up Data'!D17)/'2011-12 Back-Up Data'!B17</f>
        <v>301.4510100056636</v>
      </c>
      <c r="I17" s="4">
        <f>('2011-12 Back-Up Data'!C17+'2011-12 Back-Up Data'!D17)/'2011-12 Back-Up Data'!L17</f>
        <v>0.15485576683580674</v>
      </c>
      <c r="J17" s="33">
        <f>'2011-12 Back-Up Data'!L17</f>
        <v>30934321</v>
      </c>
      <c r="K17" s="34">
        <f>'2011-12 Back-Up Data'!L17/'2011-12 Back-Up Data'!B17</f>
        <v>1946.6566610030834</v>
      </c>
      <c r="P17" s="2" t="str">
        <f>'2011-12 Back-Up Data'!A17</f>
        <v>Hamilton</v>
      </c>
      <c r="Q17" s="33">
        <f>'2011-12 Back-Up Data'!C17</f>
        <v>2657057</v>
      </c>
      <c r="R17" s="39">
        <f>'2011-12 Back-Up Data'!C17/'2011-12 Back-Up Data'!B17</f>
        <v>167.20514756780568</v>
      </c>
      <c r="S17" s="4">
        <f>'2011-12 Back-Up Data'!C17/'2011-12 Back-Up Data'!L17</f>
        <v>0.08589349674104695</v>
      </c>
      <c r="T17" s="33">
        <f>'2011-12 Back-Up Data'!D17</f>
        <v>2133301</v>
      </c>
      <c r="U17" s="40">
        <f>'2011-12 Back-Up Data'!D17/'2011-12 Back-Up Data'!B17</f>
        <v>134.2458624378579</v>
      </c>
      <c r="V17" s="4">
        <f>'2011-12 Back-Up Data'!D17/'2011-12 Back-Up Data'!L17</f>
        <v>0.0689622700947598</v>
      </c>
      <c r="W17" s="40">
        <f>SUM('2011-12 Back-Up Data'!C17+'2011-12 Back-Up Data'!D17)/'2011-12 Back-Up Data'!B17</f>
        <v>301.4510100056636</v>
      </c>
      <c r="AB17" s="2" t="str">
        <f>'2011-12 Back-Up Data'!A17</f>
        <v>Hamilton</v>
      </c>
      <c r="AC17" s="33">
        <f>'2011-12 Back-Up Data'!E17</f>
        <v>4434000</v>
      </c>
      <c r="AD17" s="40">
        <f>'2011-12 Back-Up Data'!E17/'2011-12 Back-Up Data'!B17</f>
        <v>279.02586369643194</v>
      </c>
      <c r="AE17" s="4">
        <f>'2011-12 Back-Up Data'!E17/'2011-12 Back-Up Data'!L17</f>
        <v>0.14333594068542832</v>
      </c>
      <c r="AF17" s="33">
        <f>'2011-12 Back-Up Data'!F17</f>
        <v>14833820</v>
      </c>
      <c r="AG17" s="40">
        <f>'2011-12 Back-Up Data'!F17/'2011-12 Back-Up Data'!B17</f>
        <v>933.4730350512868</v>
      </c>
      <c r="AH17" s="4">
        <f>'2011-12 Back-Up Data'!F17/'2011-12 Back-Up Data'!L17</f>
        <v>0.47952628409073533</v>
      </c>
      <c r="AI17" s="33">
        <f>'2011-12 Back-Up Data'!G17</f>
        <v>875768</v>
      </c>
      <c r="AJ17" s="40">
        <f>'2011-12 Back-Up Data'!G17/'2011-12 Back-Up Data'!B17</f>
        <v>55.11094330123969</v>
      </c>
      <c r="AK17" s="4">
        <f>'2011-12 Back-Up Data'!G17/'2011-12 Back-Up Data'!L17</f>
        <v>0.028310561592737076</v>
      </c>
      <c r="AP17" s="2" t="str">
        <f>'2011-12 Back-Up Data'!A17</f>
        <v>Hamilton</v>
      </c>
      <c r="AQ17" s="33">
        <f>'2011-12 Back-Up Data'!H17</f>
        <v>1892714</v>
      </c>
      <c r="AR17" s="40">
        <f>'2011-12 Back-Up Data'!H17/'2011-12 Back-Up Data'!B17</f>
        <v>119.10603486250079</v>
      </c>
      <c r="AS17" s="4">
        <f>'2011-12 Back-Up Data'!H17/'2011-12 Back-Up Data'!L17</f>
        <v>0.06118492143402792</v>
      </c>
      <c r="AT17" s="33">
        <f>'2011-12 Back-Up Data'!I17</f>
        <v>1102809</v>
      </c>
      <c r="AU17" s="40">
        <f>'2011-12 Back-Up Data'!I17/'2011-12 Back-Up Data'!B17</f>
        <v>69.39833868227298</v>
      </c>
      <c r="AV17" s="4">
        <f>'2011-12 Back-Up Data'!I17/'2011-12 Back-Up Data'!L17</f>
        <v>0.035650014752222944</v>
      </c>
      <c r="AW17" s="33">
        <f>'2011-12 Back-Up Data'!J17</f>
        <v>3004852</v>
      </c>
      <c r="AX17" s="40">
        <f>'2011-12 Back-Up Data'!J17/'2011-12 Back-Up Data'!B17</f>
        <v>189.09143540368763</v>
      </c>
      <c r="AY17" s="4">
        <f>'2011-12 Back-Up Data'!J17/'2011-12 Back-Up Data'!L17</f>
        <v>0.09713651060904166</v>
      </c>
    </row>
    <row r="18" spans="3:51" ht="12.75">
      <c r="C18" s="2" t="str">
        <f>'2011-12 Back-Up Data'!A18</f>
        <v>Herkimer</v>
      </c>
      <c r="D18" s="33">
        <f>'2011-12 Back-Up Data'!K18</f>
        <v>18714473</v>
      </c>
      <c r="E18" s="34">
        <f>'2011-12 Back-Up Data'!K18/'2011-12 Back-Up Data'!B18</f>
        <v>1778.6041627067098</v>
      </c>
      <c r="F18" s="4">
        <f>'2011-12 Back-Up Data'!K18/'2011-12 Back-Up Data'!L18</f>
        <v>0.7998991025917974</v>
      </c>
      <c r="G18" s="33">
        <f>'2011-12 Back-Up Data'!C18+'2011-12 Back-Up Data'!D18</f>
        <v>4681569</v>
      </c>
      <c r="H18" s="34">
        <f>('2011-12 Back-Up Data'!C18+'2011-12 Back-Up Data'!D18)/'2011-12 Back-Up Data'!B18</f>
        <v>444.93147690553127</v>
      </c>
      <c r="I18" s="4">
        <f>('2011-12 Back-Up Data'!C18+'2011-12 Back-Up Data'!D18)/'2011-12 Back-Up Data'!L18</f>
        <v>0.20010089740820264</v>
      </c>
      <c r="J18" s="33">
        <f>'2011-12 Back-Up Data'!L18</f>
        <v>23396042</v>
      </c>
      <c r="K18" s="34">
        <f>'2011-12 Back-Up Data'!L18/'2011-12 Back-Up Data'!B18</f>
        <v>2223.535639612241</v>
      </c>
      <c r="P18" s="2" t="str">
        <f>'2011-12 Back-Up Data'!A18</f>
        <v>Herkimer</v>
      </c>
      <c r="Q18" s="33">
        <f>'2011-12 Back-Up Data'!C18</f>
        <v>2839694</v>
      </c>
      <c r="R18" s="39">
        <f>'2011-12 Back-Up Data'!C18/'2011-12 Back-Up Data'!B18</f>
        <v>269.88158144839383</v>
      </c>
      <c r="S18" s="4">
        <f>'2011-12 Back-Up Data'!C18/'2011-12 Back-Up Data'!L18</f>
        <v>0.12137497445080668</v>
      </c>
      <c r="T18" s="33">
        <f>'2011-12 Back-Up Data'!D18</f>
        <v>1841875</v>
      </c>
      <c r="U18" s="40">
        <f>'2011-12 Back-Up Data'!D18/'2011-12 Back-Up Data'!B18</f>
        <v>175.04989545713744</v>
      </c>
      <c r="V18" s="4">
        <f>'2011-12 Back-Up Data'!D18/'2011-12 Back-Up Data'!L18</f>
        <v>0.07872592295739596</v>
      </c>
      <c r="W18" s="40">
        <f>SUM('2011-12 Back-Up Data'!C18+'2011-12 Back-Up Data'!D18)/'2011-12 Back-Up Data'!B18</f>
        <v>444.93147690553127</v>
      </c>
      <c r="AB18" s="2" t="str">
        <f>'2011-12 Back-Up Data'!A18</f>
        <v>Herkimer</v>
      </c>
      <c r="AC18" s="33">
        <f>'2011-12 Back-Up Data'!E18</f>
        <v>4504157</v>
      </c>
      <c r="AD18" s="40">
        <f>'2011-12 Back-Up Data'!E18/'2011-12 Back-Up Data'!B18</f>
        <v>428.07042387378823</v>
      </c>
      <c r="AE18" s="4">
        <f>'2011-12 Back-Up Data'!E18/'2011-12 Back-Up Data'!L18</f>
        <v>0.19251790537903804</v>
      </c>
      <c r="AF18" s="33">
        <f>'2011-12 Back-Up Data'!F18</f>
        <v>4478905</v>
      </c>
      <c r="AG18" s="40">
        <f>'2011-12 Back-Up Data'!F18/'2011-12 Back-Up Data'!B18</f>
        <v>425.67049990496105</v>
      </c>
      <c r="AH18" s="4">
        <f>'2011-12 Back-Up Data'!F18/'2011-12 Back-Up Data'!L18</f>
        <v>0.19143857751665858</v>
      </c>
      <c r="AI18" s="33">
        <f>'2011-12 Back-Up Data'!G18</f>
        <v>3154761</v>
      </c>
      <c r="AJ18" s="40">
        <f>'2011-12 Back-Up Data'!G18/'2011-12 Back-Up Data'!B18</f>
        <v>299.82522334157005</v>
      </c>
      <c r="AK18" s="4">
        <f>'2011-12 Back-Up Data'!G18/'2011-12 Back-Up Data'!L18</f>
        <v>0.13484165398574682</v>
      </c>
      <c r="AP18" s="2" t="str">
        <f>'2011-12 Back-Up Data'!A18</f>
        <v>Herkimer</v>
      </c>
      <c r="AQ18" s="33">
        <f>'2011-12 Back-Up Data'!H18</f>
        <v>759374</v>
      </c>
      <c r="AR18" s="40">
        <f>'2011-12 Back-Up Data'!H18/'2011-12 Back-Up Data'!B18</f>
        <v>72.17011974909713</v>
      </c>
      <c r="AS18" s="4">
        <f>'2011-12 Back-Up Data'!H18/'2011-12 Back-Up Data'!L18</f>
        <v>0.03245737035349825</v>
      </c>
      <c r="AT18" s="33">
        <f>'2011-12 Back-Up Data'!I18</f>
        <v>2539260</v>
      </c>
      <c r="AU18" s="40">
        <f>'2011-12 Back-Up Data'!I18/'2011-12 Back-Up Data'!B18</f>
        <v>241.32864474434518</v>
      </c>
      <c r="AV18" s="4">
        <f>'2011-12 Back-Up Data'!I18/'2011-12 Back-Up Data'!L18</f>
        <v>0.10853374258774198</v>
      </c>
      <c r="AW18" s="33">
        <f>'2011-12 Back-Up Data'!J18</f>
        <v>3278016</v>
      </c>
      <c r="AX18" s="40">
        <f>'2011-12 Back-Up Data'!J18/'2011-12 Back-Up Data'!B18</f>
        <v>311.5392510929481</v>
      </c>
      <c r="AY18" s="4">
        <f>'2011-12 Back-Up Data'!J18/'2011-12 Back-Up Data'!L18</f>
        <v>0.14010985276911367</v>
      </c>
    </row>
    <row r="19" spans="3:51" ht="12.75">
      <c r="C19" s="2" t="str">
        <f>'2011-12 Back-Up Data'!A19</f>
        <v>Jefferson</v>
      </c>
      <c r="D19" s="33">
        <f>'2011-12 Back-Up Data'!K19</f>
        <v>39781574</v>
      </c>
      <c r="E19" s="34">
        <f>'2011-12 Back-Up Data'!K19/'2011-12 Back-Up Data'!B19</f>
        <v>1645.6347315297428</v>
      </c>
      <c r="F19" s="4">
        <f>'2011-12 Back-Up Data'!K19/'2011-12 Back-Up Data'!L19</f>
        <v>0.9151222289691988</v>
      </c>
      <c r="G19" s="33">
        <f>'2011-12 Back-Up Data'!C19+'2011-12 Back-Up Data'!D19</f>
        <v>3689749</v>
      </c>
      <c r="H19" s="34">
        <f>('2011-12 Back-Up Data'!C19+'2011-12 Back-Up Data'!D19)/'2011-12 Back-Up Data'!B19</f>
        <v>152.63295275916275</v>
      </c>
      <c r="I19" s="4">
        <f>('2011-12 Back-Up Data'!C19+'2011-12 Back-Up Data'!D19)/'2011-12 Back-Up Data'!L19</f>
        <v>0.08487777103080116</v>
      </c>
      <c r="J19" s="33">
        <f>'2011-12 Back-Up Data'!L19</f>
        <v>43471323</v>
      </c>
      <c r="K19" s="34">
        <f>'2011-12 Back-Up Data'!L19/'2011-12 Back-Up Data'!B19</f>
        <v>1798.2676842889055</v>
      </c>
      <c r="P19" s="2" t="str">
        <f>'2011-12 Back-Up Data'!A19</f>
        <v>Jefferson</v>
      </c>
      <c r="Q19" s="33">
        <f>'2011-12 Back-Up Data'!C19</f>
        <v>3524009</v>
      </c>
      <c r="R19" s="39">
        <f>'2011-12 Back-Up Data'!C19/'2011-12 Back-Up Data'!B19</f>
        <v>145.77682634235128</v>
      </c>
      <c r="S19" s="4">
        <f>'2011-12 Back-Up Data'!C19/'2011-12 Back-Up Data'!L19</f>
        <v>0.08106514264587715</v>
      </c>
      <c r="T19" s="33">
        <f>'2011-12 Back-Up Data'!D19</f>
        <v>165740</v>
      </c>
      <c r="U19" s="40">
        <f>'2011-12 Back-Up Data'!D19/'2011-12 Back-Up Data'!B19</f>
        <v>6.85612641681145</v>
      </c>
      <c r="V19" s="4">
        <f>'2011-12 Back-Up Data'!D19/'2011-12 Back-Up Data'!L19</f>
        <v>0.003812628384924011</v>
      </c>
      <c r="W19" s="40">
        <f>SUM('2011-12 Back-Up Data'!C19+'2011-12 Back-Up Data'!D19)/'2011-12 Back-Up Data'!B19</f>
        <v>152.63295275916275</v>
      </c>
      <c r="AB19" s="2" t="str">
        <f>'2011-12 Back-Up Data'!A19</f>
        <v>Jefferson</v>
      </c>
      <c r="AC19" s="33">
        <f>'2011-12 Back-Up Data'!E19</f>
        <v>9687428</v>
      </c>
      <c r="AD19" s="40">
        <f>'2011-12 Back-Up Data'!E19/'2011-12 Back-Up Data'!B19</f>
        <v>400.73748655580374</v>
      </c>
      <c r="AE19" s="4">
        <f>'2011-12 Back-Up Data'!E19/'2011-12 Back-Up Data'!L19</f>
        <v>0.2228464038235045</v>
      </c>
      <c r="AF19" s="33">
        <f>'2011-12 Back-Up Data'!F19</f>
        <v>13957645</v>
      </c>
      <c r="AG19" s="40">
        <f>'2011-12 Back-Up Data'!F19/'2011-12 Back-Up Data'!B19</f>
        <v>577.3825184082071</v>
      </c>
      <c r="AH19" s="4">
        <f>'2011-12 Back-Up Data'!F19/'2011-12 Back-Up Data'!L19</f>
        <v>0.3210770695890714</v>
      </c>
      <c r="AI19" s="33">
        <f>'2011-12 Back-Up Data'!G19</f>
        <v>3880688</v>
      </c>
      <c r="AJ19" s="40">
        <f>'2011-12 Back-Up Data'!G19/'2011-12 Back-Up Data'!B19</f>
        <v>160.53148010258957</v>
      </c>
      <c r="AK19" s="4">
        <f>'2011-12 Back-Up Data'!G19/'2011-12 Back-Up Data'!L19</f>
        <v>0.08927006891416671</v>
      </c>
      <c r="AP19" s="2" t="str">
        <f>'2011-12 Back-Up Data'!A19</f>
        <v>Jefferson</v>
      </c>
      <c r="AQ19" s="33">
        <f>'2011-12 Back-Up Data'!H19</f>
        <v>2969097</v>
      </c>
      <c r="AR19" s="40">
        <f>'2011-12 Back-Up Data'!H19/'2011-12 Back-Up Data'!B19</f>
        <v>122.82191610821543</v>
      </c>
      <c r="AS19" s="4">
        <f>'2011-12 Back-Up Data'!H19/'2011-12 Back-Up Data'!L19</f>
        <v>0.06830012971999955</v>
      </c>
      <c r="AT19" s="33">
        <f>'2011-12 Back-Up Data'!I19</f>
        <v>4717199</v>
      </c>
      <c r="AU19" s="40">
        <f>'2011-12 Back-Up Data'!I19/'2011-12 Back-Up Data'!B19</f>
        <v>195.1352279308348</v>
      </c>
      <c r="AV19" s="4">
        <f>'2011-12 Back-Up Data'!I19/'2011-12 Back-Up Data'!L19</f>
        <v>0.10851289251077084</v>
      </c>
      <c r="AW19" s="33">
        <f>'2011-12 Back-Up Data'!J19</f>
        <v>4569517</v>
      </c>
      <c r="AX19" s="40">
        <f>'2011-12 Back-Up Data'!J19/'2011-12 Back-Up Data'!B19</f>
        <v>189.026102424092</v>
      </c>
      <c r="AY19" s="4">
        <f>'2011-12 Back-Up Data'!J19/'2011-12 Back-Up Data'!L19</f>
        <v>0.10511566441168584</v>
      </c>
    </row>
    <row r="20" spans="3:51" ht="12.75">
      <c r="C20" s="2" t="str">
        <f>'2011-12 Back-Up Data'!A20</f>
        <v>Madison</v>
      </c>
      <c r="D20" s="33">
        <f>'2011-12 Back-Up Data'!K20</f>
        <v>49589582</v>
      </c>
      <c r="E20" s="34">
        <f>'2011-12 Back-Up Data'!K20/'2011-12 Back-Up Data'!B20</f>
        <v>3159.5783370500158</v>
      </c>
      <c r="F20" s="4">
        <f>'2011-12 Back-Up Data'!K20/'2011-12 Back-Up Data'!L20</f>
        <v>0.9193935362882163</v>
      </c>
      <c r="G20" s="33">
        <f>'2011-12 Back-Up Data'!C20+'2011-12 Back-Up Data'!D20</f>
        <v>4347693</v>
      </c>
      <c r="H20" s="34">
        <f>('2011-12 Back-Up Data'!C20+'2011-12 Back-Up Data'!D20)/'2011-12 Back-Up Data'!B20</f>
        <v>277.01134119146224</v>
      </c>
      <c r="I20" s="4">
        <f>('2011-12 Back-Up Data'!C20+'2011-12 Back-Up Data'!D20)/'2011-12 Back-Up Data'!L20</f>
        <v>0.08060646371178373</v>
      </c>
      <c r="J20" s="33">
        <f>'2011-12 Back-Up Data'!L20</f>
        <v>53937275</v>
      </c>
      <c r="K20" s="34">
        <f>'2011-12 Back-Up Data'!L20/'2011-12 Back-Up Data'!B20</f>
        <v>3436.5896782414784</v>
      </c>
      <c r="P20" s="2" t="str">
        <f>'2011-12 Back-Up Data'!A20</f>
        <v>Madison</v>
      </c>
      <c r="Q20" s="33">
        <f>'2011-12 Back-Up Data'!C20</f>
        <v>2712487</v>
      </c>
      <c r="R20" s="39">
        <f>'2011-12 Back-Up Data'!C20/'2011-12 Back-Up Data'!B20</f>
        <v>172.82491239248168</v>
      </c>
      <c r="S20" s="4">
        <f>'2011-12 Back-Up Data'!C20/'2011-12 Back-Up Data'!L20</f>
        <v>0.05028965590122972</v>
      </c>
      <c r="T20" s="33">
        <f>'2011-12 Back-Up Data'!D20</f>
        <v>1635206</v>
      </c>
      <c r="U20" s="40">
        <f>'2011-12 Back-Up Data'!D20/'2011-12 Back-Up Data'!B20</f>
        <v>104.18642879898057</v>
      </c>
      <c r="V20" s="4">
        <f>'2011-12 Back-Up Data'!D20/'2011-12 Back-Up Data'!L20</f>
        <v>0.030316807810554017</v>
      </c>
      <c r="W20" s="40">
        <f>SUM('2011-12 Back-Up Data'!C20+'2011-12 Back-Up Data'!D20)/'2011-12 Back-Up Data'!B20</f>
        <v>277.01134119146224</v>
      </c>
      <c r="AB20" s="2" t="str">
        <f>'2011-12 Back-Up Data'!A20</f>
        <v>Madison</v>
      </c>
      <c r="AC20" s="33">
        <f>'2011-12 Back-Up Data'!E20</f>
        <v>5901436</v>
      </c>
      <c r="AD20" s="40">
        <f>'2011-12 Back-Up Data'!E20/'2011-12 Back-Up Data'!B20</f>
        <v>376.0073908888181</v>
      </c>
      <c r="AE20" s="4">
        <f>'2011-12 Back-Up Data'!E20/'2011-12 Back-Up Data'!L20</f>
        <v>0.10941294308991324</v>
      </c>
      <c r="AF20" s="33">
        <f>'2011-12 Back-Up Data'!F20</f>
        <v>8043263</v>
      </c>
      <c r="AG20" s="40">
        <f>'2011-12 Back-Up Data'!F20/'2011-12 Back-Up Data'!B20</f>
        <v>512.4729531697993</v>
      </c>
      <c r="AH20" s="4">
        <f>'2011-12 Back-Up Data'!F20/'2011-12 Back-Up Data'!L20</f>
        <v>0.1491225316814763</v>
      </c>
      <c r="AI20" s="33">
        <f>'2011-12 Back-Up Data'!G20</f>
        <v>1312341</v>
      </c>
      <c r="AJ20" s="40">
        <f>'2011-12 Back-Up Data'!G20/'2011-12 Back-Up Data'!B20</f>
        <v>83.61522777954762</v>
      </c>
      <c r="AK20" s="4">
        <f>'2011-12 Back-Up Data'!G20/'2011-12 Back-Up Data'!L20</f>
        <v>0.02433087322264612</v>
      </c>
      <c r="AP20" s="2" t="str">
        <f>'2011-12 Back-Up Data'!A20</f>
        <v>Madison</v>
      </c>
      <c r="AQ20" s="33">
        <f>'2011-12 Back-Up Data'!H20</f>
        <v>3877232</v>
      </c>
      <c r="AR20" s="40">
        <f>'2011-12 Back-Up Data'!H20/'2011-12 Back-Up Data'!B20</f>
        <v>247.03612615482638</v>
      </c>
      <c r="AS20" s="4">
        <f>'2011-12 Back-Up Data'!H20/'2011-12 Back-Up Data'!L20</f>
        <v>0.0718840912893727</v>
      </c>
      <c r="AT20" s="33">
        <f>'2011-12 Back-Up Data'!I20</f>
        <v>11120068</v>
      </c>
      <c r="AU20" s="40">
        <f>'2011-12 Back-Up Data'!I20/'2011-12 Back-Up Data'!B20</f>
        <v>708.5102261866837</v>
      </c>
      <c r="AV20" s="4">
        <f>'2011-12 Back-Up Data'!I20/'2011-12 Back-Up Data'!L20</f>
        <v>0.20616666303590606</v>
      </c>
      <c r="AW20" s="33">
        <f>'2011-12 Back-Up Data'!J20</f>
        <v>19335242</v>
      </c>
      <c r="AX20" s="40">
        <f>'2011-12 Back-Up Data'!J20/'2011-12 Back-Up Data'!B20</f>
        <v>1231.936412870341</v>
      </c>
      <c r="AY20" s="4">
        <f>'2011-12 Back-Up Data'!J20/'2011-12 Back-Up Data'!L20</f>
        <v>0.35847643396890183</v>
      </c>
    </row>
    <row r="21" spans="3:51" ht="12.75">
      <c r="C21" s="2" t="str">
        <f>'2011-12 Back-Up Data'!A21</f>
        <v>Monroe 1</v>
      </c>
      <c r="D21" s="33">
        <f>'2011-12 Back-Up Data'!K21</f>
        <v>96255006</v>
      </c>
      <c r="E21" s="34">
        <f>'2011-12 Back-Up Data'!K21/'2011-12 Back-Up Data'!B21</f>
        <v>2129.818250210205</v>
      </c>
      <c r="F21" s="4">
        <f>'2011-12 Back-Up Data'!K21/'2011-12 Back-Up Data'!L21</f>
        <v>0.9163961352086695</v>
      </c>
      <c r="G21" s="33">
        <f>'2011-12 Back-Up Data'!C21+'2011-12 Back-Up Data'!D21</f>
        <v>8781454</v>
      </c>
      <c r="H21" s="34">
        <f>('2011-12 Back-Up Data'!C21+'2011-12 Back-Up Data'!D21)/'2011-12 Back-Up Data'!B21</f>
        <v>194.30574855069256</v>
      </c>
      <c r="I21" s="4">
        <f>('2011-12 Back-Up Data'!C21+'2011-12 Back-Up Data'!D21)/'2011-12 Back-Up Data'!L21</f>
        <v>0.08360386479133056</v>
      </c>
      <c r="J21" s="33">
        <f>'2011-12 Back-Up Data'!L21</f>
        <v>105036460</v>
      </c>
      <c r="K21" s="34">
        <f>'2011-12 Back-Up Data'!L21/'2011-12 Back-Up Data'!B21</f>
        <v>2324.1239987608974</v>
      </c>
      <c r="P21" s="2" t="str">
        <f>'2011-12 Back-Up Data'!A21</f>
        <v>Monroe 1</v>
      </c>
      <c r="Q21" s="33">
        <f>'2011-12 Back-Up Data'!C21</f>
        <v>5292631</v>
      </c>
      <c r="R21" s="39">
        <f>'2011-12 Back-Up Data'!C21/'2011-12 Back-Up Data'!B21</f>
        <v>117.10915165729965</v>
      </c>
      <c r="S21" s="4">
        <f>'2011-12 Back-Up Data'!C21/'2011-12 Back-Up Data'!L21</f>
        <v>0.05038851271263331</v>
      </c>
      <c r="T21" s="33">
        <f>'2011-12 Back-Up Data'!D21</f>
        <v>3488823</v>
      </c>
      <c r="U21" s="40">
        <f>'2011-12 Back-Up Data'!D21/'2011-12 Back-Up Data'!B21</f>
        <v>77.19659689339292</v>
      </c>
      <c r="V21" s="4">
        <f>'2011-12 Back-Up Data'!D21/'2011-12 Back-Up Data'!L21</f>
        <v>0.03321535207869725</v>
      </c>
      <c r="W21" s="40">
        <f>SUM('2011-12 Back-Up Data'!C21+'2011-12 Back-Up Data'!D21)/'2011-12 Back-Up Data'!B21</f>
        <v>194.30574855069256</v>
      </c>
      <c r="AB21" s="2" t="str">
        <f>'2011-12 Back-Up Data'!A21</f>
        <v>Monroe 1</v>
      </c>
      <c r="AC21" s="33">
        <f>'2011-12 Back-Up Data'!E21</f>
        <v>7221049</v>
      </c>
      <c r="AD21" s="40">
        <f>'2011-12 Back-Up Data'!E21/'2011-12 Back-Up Data'!B21</f>
        <v>159.7789308315263</v>
      </c>
      <c r="AE21" s="4">
        <f>'2011-12 Back-Up Data'!E21/'2011-12 Back-Up Data'!L21</f>
        <v>0.06874802330543128</v>
      </c>
      <c r="AF21" s="33">
        <f>'2011-12 Back-Up Data'!F21</f>
        <v>43791277</v>
      </c>
      <c r="AG21" s="40">
        <f>'2011-12 Back-Up Data'!F21/'2011-12 Back-Up Data'!B21</f>
        <v>968.9621852458291</v>
      </c>
      <c r="AH21" s="4">
        <f>'2011-12 Back-Up Data'!F21/'2011-12 Back-Up Data'!L21</f>
        <v>0.41691501217767624</v>
      </c>
      <c r="AI21" s="33">
        <f>'2011-12 Back-Up Data'!G21</f>
        <v>18733459</v>
      </c>
      <c r="AJ21" s="40">
        <f>'2011-12 Back-Up Data'!G21/'2011-12 Back-Up Data'!B21</f>
        <v>414.5120812497234</v>
      </c>
      <c r="AK21" s="4">
        <f>'2011-12 Back-Up Data'!G21/'2011-12 Back-Up Data'!L21</f>
        <v>0.1783519646416111</v>
      </c>
      <c r="AP21" s="2" t="str">
        <f>'2011-12 Back-Up Data'!A21</f>
        <v>Monroe 1</v>
      </c>
      <c r="AQ21" s="33">
        <f>'2011-12 Back-Up Data'!H21</f>
        <v>2793223</v>
      </c>
      <c r="AR21" s="40">
        <f>'2011-12 Back-Up Data'!H21/'2011-12 Back-Up Data'!B21</f>
        <v>61.80517325308669</v>
      </c>
      <c r="AS21" s="4">
        <f>'2011-12 Back-Up Data'!H21/'2011-12 Back-Up Data'!L21</f>
        <v>0.026592889745141828</v>
      </c>
      <c r="AT21" s="33">
        <f>'2011-12 Back-Up Data'!I21</f>
        <v>6724546</v>
      </c>
      <c r="AU21" s="40">
        <f>'2011-12 Back-Up Data'!I21/'2011-12 Back-Up Data'!B21</f>
        <v>148.79289286188433</v>
      </c>
      <c r="AV21" s="4">
        <f>'2011-12 Back-Up Data'!I21/'2011-12 Back-Up Data'!L21</f>
        <v>0.06402106468553871</v>
      </c>
      <c r="AW21" s="33">
        <f>'2011-12 Back-Up Data'!J21</f>
        <v>16991452</v>
      </c>
      <c r="AX21" s="40">
        <f>'2011-12 Back-Up Data'!J21/'2011-12 Back-Up Data'!B21</f>
        <v>375.96698676815504</v>
      </c>
      <c r="AY21" s="4">
        <f>'2011-12 Back-Up Data'!J21/'2011-12 Back-Up Data'!L21</f>
        <v>0.1617671806532703</v>
      </c>
    </row>
    <row r="22" spans="3:51" ht="12.75">
      <c r="C22" s="2" t="str">
        <f>'2011-12 Back-Up Data'!A22</f>
        <v>Monroe 2</v>
      </c>
      <c r="D22" s="33">
        <f>'2011-12 Back-Up Data'!K22</f>
        <v>56256579</v>
      </c>
      <c r="E22" s="34">
        <f>'2011-12 Back-Up Data'!K22/'2011-12 Back-Up Data'!B22</f>
        <v>1597.1093288666818</v>
      </c>
      <c r="F22" s="4">
        <f>'2011-12 Back-Up Data'!K22/'2011-12 Back-Up Data'!L22</f>
        <v>0.8939617727535886</v>
      </c>
      <c r="G22" s="33">
        <f>'2011-12 Back-Up Data'!C22+'2011-12 Back-Up Data'!D22</f>
        <v>6672934</v>
      </c>
      <c r="H22" s="34">
        <f>('2011-12 Back-Up Data'!C22+'2011-12 Back-Up Data'!D22)/'2011-12 Back-Up Data'!B22</f>
        <v>189.44282307517602</v>
      </c>
      <c r="I22" s="4">
        <f>('2011-12 Back-Up Data'!C22+'2011-12 Back-Up Data'!D22)/'2011-12 Back-Up Data'!L22</f>
        <v>0.10603822724641139</v>
      </c>
      <c r="J22" s="33">
        <f>'2011-12 Back-Up Data'!L22</f>
        <v>62929513</v>
      </c>
      <c r="K22" s="34">
        <f>'2011-12 Back-Up Data'!L22/'2011-12 Back-Up Data'!B22</f>
        <v>1786.5521519418578</v>
      </c>
      <c r="P22" s="2" t="str">
        <f>'2011-12 Back-Up Data'!A22</f>
        <v>Monroe 2</v>
      </c>
      <c r="Q22" s="33">
        <f>'2011-12 Back-Up Data'!C22</f>
        <v>4553220</v>
      </c>
      <c r="R22" s="39">
        <f>'2011-12 Back-Up Data'!C22/'2011-12 Back-Up Data'!B22</f>
        <v>129.26470588235293</v>
      </c>
      <c r="S22" s="4">
        <f>'2011-12 Back-Up Data'!C22/'2011-12 Back-Up Data'!L22</f>
        <v>0.07235428629488996</v>
      </c>
      <c r="T22" s="33">
        <f>'2011-12 Back-Up Data'!D22</f>
        <v>2119714</v>
      </c>
      <c r="U22" s="40">
        <f>'2011-12 Back-Up Data'!D22/'2011-12 Back-Up Data'!B22</f>
        <v>60.17811719282307</v>
      </c>
      <c r="V22" s="4">
        <f>'2011-12 Back-Up Data'!D22/'2011-12 Back-Up Data'!L22</f>
        <v>0.03368394095152143</v>
      </c>
      <c r="W22" s="40">
        <f>SUM('2011-12 Back-Up Data'!C22+'2011-12 Back-Up Data'!D22)/'2011-12 Back-Up Data'!B22</f>
        <v>189.44282307517602</v>
      </c>
      <c r="AB22" s="2" t="str">
        <f>'2011-12 Back-Up Data'!A22</f>
        <v>Monroe 2</v>
      </c>
      <c r="AC22" s="33">
        <f>'2011-12 Back-Up Data'!E22</f>
        <v>6846521</v>
      </c>
      <c r="AD22" s="40">
        <f>'2011-12 Back-Up Data'!E22/'2011-12 Back-Up Data'!B22</f>
        <v>194.37091187826482</v>
      </c>
      <c r="AE22" s="4">
        <f>'2011-12 Back-Up Data'!E22/'2011-12 Back-Up Data'!L22</f>
        <v>0.10879666270419096</v>
      </c>
      <c r="AF22" s="33">
        <f>'2011-12 Back-Up Data'!F22</f>
        <v>24289599</v>
      </c>
      <c r="AG22" s="40">
        <f>'2011-12 Back-Up Data'!F22/'2011-12 Back-Up Data'!B22</f>
        <v>689.5752611855553</v>
      </c>
      <c r="AH22" s="4">
        <f>'2011-12 Back-Up Data'!F22/'2011-12 Back-Up Data'!L22</f>
        <v>0.3859810419953512</v>
      </c>
      <c r="AI22" s="33">
        <f>'2011-12 Back-Up Data'!G22</f>
        <v>7406131</v>
      </c>
      <c r="AJ22" s="40">
        <f>'2011-12 Back-Up Data'!G22/'2011-12 Back-Up Data'!B22</f>
        <v>210.25809107426755</v>
      </c>
      <c r="AK22" s="4">
        <f>'2011-12 Back-Up Data'!G22/'2011-12 Back-Up Data'!L22</f>
        <v>0.11768931057832913</v>
      </c>
      <c r="AP22" s="2" t="str">
        <f>'2011-12 Back-Up Data'!A22</f>
        <v>Monroe 2</v>
      </c>
      <c r="AQ22" s="33">
        <f>'2011-12 Back-Up Data'!H22</f>
        <v>2112163</v>
      </c>
      <c r="AR22" s="40">
        <f>'2011-12 Back-Up Data'!H22/'2011-12 Back-Up Data'!B22</f>
        <v>59.963746309334546</v>
      </c>
      <c r="AS22" s="4">
        <f>'2011-12 Back-Up Data'!H22/'2011-12 Back-Up Data'!L22</f>
        <v>0.03356394955734045</v>
      </c>
      <c r="AT22" s="33">
        <f>'2011-12 Back-Up Data'!I22</f>
        <v>8988479</v>
      </c>
      <c r="AU22" s="40">
        <f>'2011-12 Back-Up Data'!I22/'2011-12 Back-Up Data'!B22</f>
        <v>255.18053032023622</v>
      </c>
      <c r="AV22" s="4">
        <f>'2011-12 Back-Up Data'!I22/'2011-12 Back-Up Data'!L22</f>
        <v>0.14283407850303878</v>
      </c>
      <c r="AW22" s="33">
        <f>'2011-12 Back-Up Data'!J22</f>
        <v>6613686</v>
      </c>
      <c r="AX22" s="40">
        <f>'2011-12 Back-Up Data'!J22/'2011-12 Back-Up Data'!B22</f>
        <v>187.7607880990234</v>
      </c>
      <c r="AY22" s="4">
        <f>'2011-12 Back-Up Data'!J22/'2011-12 Back-Up Data'!L22</f>
        <v>0.10509672941533808</v>
      </c>
    </row>
    <row r="23" spans="3:51" ht="12.75">
      <c r="C23" s="2" t="str">
        <f>'2011-12 Back-Up Data'!A23</f>
        <v>Nassau</v>
      </c>
      <c r="D23" s="33">
        <f>'2011-12 Back-Up Data'!K23</f>
        <v>259362561</v>
      </c>
      <c r="E23" s="34">
        <f>'2011-12 Back-Up Data'!K23/'2011-12 Back-Up Data'!B23</f>
        <v>1277.5033419858835</v>
      </c>
      <c r="F23" s="4">
        <f>'2011-12 Back-Up Data'!K23/'2011-12 Back-Up Data'!L23</f>
        <v>0.900837967972602</v>
      </c>
      <c r="G23" s="33">
        <f>'2011-12 Back-Up Data'!C23+'2011-12 Back-Up Data'!D23</f>
        <v>28549994</v>
      </c>
      <c r="H23" s="34">
        <f>('2011-12 Back-Up Data'!C23+'2011-12 Back-Up Data'!D23)/'2011-12 Back-Up Data'!B23</f>
        <v>140.62443171463332</v>
      </c>
      <c r="I23" s="4">
        <f>('2011-12 Back-Up Data'!C23+'2011-12 Back-Up Data'!D23)/'2011-12 Back-Up Data'!L23</f>
        <v>0.09916203202739804</v>
      </c>
      <c r="J23" s="33">
        <f>'2011-12 Back-Up Data'!L23</f>
        <v>287912555</v>
      </c>
      <c r="K23" s="34">
        <f>'2011-12 Back-Up Data'!L23/'2011-12 Back-Up Data'!B23</f>
        <v>1418.1277737005166</v>
      </c>
      <c r="P23" s="2" t="str">
        <f>'2011-12 Back-Up Data'!A23</f>
        <v>Nassau</v>
      </c>
      <c r="Q23" s="33">
        <f>'2011-12 Back-Up Data'!C23</f>
        <v>18947178</v>
      </c>
      <c r="R23" s="39">
        <f>'2011-12 Back-Up Data'!C23/'2011-12 Back-Up Data'!B23</f>
        <v>93.32527841673111</v>
      </c>
      <c r="S23" s="4">
        <f>'2011-12 Back-Up Data'!C23/'2011-12 Back-Up Data'!L23</f>
        <v>0.06580879392355779</v>
      </c>
      <c r="T23" s="33">
        <f>'2011-12 Back-Up Data'!D23</f>
        <v>9602816</v>
      </c>
      <c r="U23" s="40">
        <f>'2011-12 Back-Up Data'!D23/'2011-12 Back-Up Data'!B23</f>
        <v>47.29915329790221</v>
      </c>
      <c r="V23" s="4">
        <f>'2011-12 Back-Up Data'!D23/'2011-12 Back-Up Data'!L23</f>
        <v>0.03335323810384024</v>
      </c>
      <c r="W23" s="40">
        <f>SUM('2011-12 Back-Up Data'!C23+'2011-12 Back-Up Data'!D23)/'2011-12 Back-Up Data'!B23</f>
        <v>140.62443171463332</v>
      </c>
      <c r="AB23" s="2" t="str">
        <f>'2011-12 Back-Up Data'!A23</f>
        <v>Nassau</v>
      </c>
      <c r="AC23" s="33">
        <f>'2011-12 Back-Up Data'!E23</f>
        <v>16702135</v>
      </c>
      <c r="AD23" s="40">
        <f>'2011-12 Back-Up Data'!E23/'2011-12 Back-Up Data'!B23</f>
        <v>82.26720617861031</v>
      </c>
      <c r="AE23" s="4">
        <f>'2011-12 Back-Up Data'!E23/'2011-12 Back-Up Data'!L23</f>
        <v>0.05801113813880051</v>
      </c>
      <c r="AF23" s="33">
        <f>'2011-12 Back-Up Data'!F23</f>
        <v>135344740</v>
      </c>
      <c r="AG23" s="40">
        <f>'2011-12 Back-Up Data'!F23/'2011-12 Back-Up Data'!B23</f>
        <v>666.6473256724607</v>
      </c>
      <c r="AH23" s="4">
        <f>'2011-12 Back-Up Data'!F23/'2011-12 Back-Up Data'!L23</f>
        <v>0.47008974652043223</v>
      </c>
      <c r="AI23" s="33">
        <f>'2011-12 Back-Up Data'!G23</f>
        <v>100092</v>
      </c>
      <c r="AJ23" s="40">
        <f>'2011-12 Back-Up Data'!G23/'2011-12 Back-Up Data'!B23</f>
        <v>0.4930081813390601</v>
      </c>
      <c r="AK23" s="4">
        <f>'2011-12 Back-Up Data'!G23/'2011-12 Back-Up Data'!L23</f>
        <v>0.00034764722226163426</v>
      </c>
      <c r="AP23" s="2" t="str">
        <f>'2011-12 Back-Up Data'!A23</f>
        <v>Nassau</v>
      </c>
      <c r="AQ23" s="33">
        <f>'2011-12 Back-Up Data'!H23</f>
        <v>22104411</v>
      </c>
      <c r="AR23" s="40">
        <f>'2011-12 Back-Up Data'!H23/'2011-12 Back-Up Data'!B23</f>
        <v>108.87638838949282</v>
      </c>
      <c r="AS23" s="4">
        <f>'2011-12 Back-Up Data'!H23/'2011-12 Back-Up Data'!L23</f>
        <v>0.07677473807976175</v>
      </c>
      <c r="AT23" s="33">
        <f>'2011-12 Back-Up Data'!I23</f>
        <v>45242930</v>
      </c>
      <c r="AU23" s="40">
        <f>'2011-12 Back-Up Data'!I23/'2011-12 Back-Up Data'!B23</f>
        <v>222.84632775596853</v>
      </c>
      <c r="AV23" s="4">
        <f>'2011-12 Back-Up Data'!I23/'2011-12 Back-Up Data'!L23</f>
        <v>0.15714121949284218</v>
      </c>
      <c r="AW23" s="33">
        <f>'2011-12 Back-Up Data'!J23</f>
        <v>39868253</v>
      </c>
      <c r="AX23" s="40">
        <f>'2011-12 Back-Up Data'!J23/'2011-12 Back-Up Data'!B23</f>
        <v>196.3730858080119</v>
      </c>
      <c r="AY23" s="4">
        <f>'2011-12 Back-Up Data'!J23/'2011-12 Back-Up Data'!L23</f>
        <v>0.13847347851850364</v>
      </c>
    </row>
    <row r="24" spans="3:51" ht="12.75">
      <c r="C24" s="2" t="str">
        <f>'2011-12 Back-Up Data'!A24</f>
        <v>Oneida</v>
      </c>
      <c r="D24" s="33">
        <f>'2011-12 Back-Up Data'!K24</f>
        <v>43461195</v>
      </c>
      <c r="E24" s="34">
        <f>'2011-12 Back-Up Data'!K24/'2011-12 Back-Up Data'!B24</f>
        <v>1856.2054753566242</v>
      </c>
      <c r="F24" s="4">
        <f>'2011-12 Back-Up Data'!K24/'2011-12 Back-Up Data'!L24</f>
        <v>0.8869521940198045</v>
      </c>
      <c r="G24" s="33">
        <f>'2011-12 Back-Up Data'!C24+'2011-12 Back-Up Data'!D24</f>
        <v>5539411</v>
      </c>
      <c r="H24" s="34">
        <f>('2011-12 Back-Up Data'!C24+'2011-12 Back-Up Data'!D24)/'2011-12 Back-Up Data'!B24</f>
        <v>236.5854189800974</v>
      </c>
      <c r="I24" s="4">
        <f>('2011-12 Back-Up Data'!C24+'2011-12 Back-Up Data'!D24)/'2011-12 Back-Up Data'!L24</f>
        <v>0.11304780598019543</v>
      </c>
      <c r="J24" s="33">
        <f>'2011-12 Back-Up Data'!L24</f>
        <v>49000606</v>
      </c>
      <c r="K24" s="34">
        <f>'2011-12 Back-Up Data'!L24/'2011-12 Back-Up Data'!B24</f>
        <v>2092.7908943367215</v>
      </c>
      <c r="P24" s="2" t="str">
        <f>'2011-12 Back-Up Data'!A24</f>
        <v>Oneida</v>
      </c>
      <c r="Q24" s="33">
        <f>'2011-12 Back-Up Data'!C24</f>
        <v>2149254</v>
      </c>
      <c r="R24" s="39">
        <f>'2011-12 Back-Up Data'!C24/'2011-12 Back-Up Data'!B24</f>
        <v>91.79354232510464</v>
      </c>
      <c r="S24" s="4">
        <f>'2011-12 Back-Up Data'!C24/'2011-12 Back-Up Data'!L24</f>
        <v>0.043861784076711215</v>
      </c>
      <c r="T24" s="33">
        <f>'2011-12 Back-Up Data'!D24</f>
        <v>3390157</v>
      </c>
      <c r="U24" s="40">
        <f>'2011-12 Back-Up Data'!D24/'2011-12 Back-Up Data'!B24</f>
        <v>144.79187665499273</v>
      </c>
      <c r="V24" s="4">
        <f>'2011-12 Back-Up Data'!D24/'2011-12 Back-Up Data'!L24</f>
        <v>0.06918602190348422</v>
      </c>
      <c r="W24" s="40">
        <f>SUM('2011-12 Back-Up Data'!C24+'2011-12 Back-Up Data'!D24)/'2011-12 Back-Up Data'!B24</f>
        <v>236.5854189800974</v>
      </c>
      <c r="AB24" s="2" t="str">
        <f>'2011-12 Back-Up Data'!A24</f>
        <v>Oneida</v>
      </c>
      <c r="AC24" s="33">
        <f>'2011-12 Back-Up Data'!E24</f>
        <v>5105839</v>
      </c>
      <c r="AD24" s="40">
        <f>'2011-12 Back-Up Data'!E24/'2011-12 Back-Up Data'!B24</f>
        <v>218.06777996070727</v>
      </c>
      <c r="AE24" s="4">
        <f>'2011-12 Back-Up Data'!E24/'2011-12 Back-Up Data'!L24</f>
        <v>0.10419950724691038</v>
      </c>
      <c r="AF24" s="33">
        <f>'2011-12 Back-Up Data'!F24</f>
        <v>13641703</v>
      </c>
      <c r="AG24" s="40">
        <f>'2011-12 Back-Up Data'!F24/'2011-12 Back-Up Data'!B24</f>
        <v>582.6301785256684</v>
      </c>
      <c r="AH24" s="4">
        <f>'2011-12 Back-Up Data'!F24/'2011-12 Back-Up Data'!L24</f>
        <v>0.27839865898801336</v>
      </c>
      <c r="AI24" s="33">
        <f>'2011-12 Back-Up Data'!G24</f>
        <v>4161338</v>
      </c>
      <c r="AJ24" s="40">
        <f>'2011-12 Back-Up Data'!G24/'2011-12 Back-Up Data'!B24</f>
        <v>177.72862390023064</v>
      </c>
      <c r="AK24" s="4">
        <f>'2011-12 Back-Up Data'!G24/'2011-12 Back-Up Data'!L24</f>
        <v>0.0849242150188918</v>
      </c>
      <c r="AP24" s="2" t="str">
        <f>'2011-12 Back-Up Data'!A24</f>
        <v>Oneida</v>
      </c>
      <c r="AQ24" s="33">
        <f>'2011-12 Back-Up Data'!H24</f>
        <v>5704192</v>
      </c>
      <c r="AR24" s="40">
        <f>'2011-12 Back-Up Data'!H24/'2011-12 Back-Up Data'!B24</f>
        <v>243.62313145981037</v>
      </c>
      <c r="AS24" s="4">
        <f>'2011-12 Back-Up Data'!H24/'2011-12 Back-Up Data'!L24</f>
        <v>0.1164106419418568</v>
      </c>
      <c r="AT24" s="33">
        <f>'2011-12 Back-Up Data'!I24</f>
        <v>7456016</v>
      </c>
      <c r="AU24" s="40">
        <f>'2011-12 Back-Up Data'!I24/'2011-12 Back-Up Data'!B24</f>
        <v>318.4426411548646</v>
      </c>
      <c r="AV24" s="4">
        <f>'2011-12 Back-Up Data'!I24/'2011-12 Back-Up Data'!L24</f>
        <v>0.15216171000007633</v>
      </c>
      <c r="AW24" s="33">
        <f>'2011-12 Back-Up Data'!J24</f>
        <v>7392107</v>
      </c>
      <c r="AX24" s="40">
        <f>'2011-12 Back-Up Data'!J24/'2011-12 Back-Up Data'!B24</f>
        <v>315.71312035534294</v>
      </c>
      <c r="AY24" s="4">
        <f>'2011-12 Back-Up Data'!J24/'2011-12 Back-Up Data'!L24</f>
        <v>0.15085746082405593</v>
      </c>
    </row>
    <row r="25" spans="3:51" ht="12.75">
      <c r="C25" s="2" t="str">
        <f>'2011-12 Back-Up Data'!A25</f>
        <v>Onondaga</v>
      </c>
      <c r="D25" s="33">
        <f>'2011-12 Back-Up Data'!K25</f>
        <v>86202959</v>
      </c>
      <c r="E25" s="34">
        <f>'2011-12 Back-Up Data'!K25/'2011-12 Back-Up Data'!B25</f>
        <v>1472.7240872670118</v>
      </c>
      <c r="F25" s="4">
        <f>'2011-12 Back-Up Data'!K25/'2011-12 Back-Up Data'!L25</f>
        <v>0.915903754059681</v>
      </c>
      <c r="G25" s="33">
        <f>'2011-12 Back-Up Data'!C25+'2011-12 Back-Up Data'!D25</f>
        <v>7914964</v>
      </c>
      <c r="H25" s="34">
        <f>('2011-12 Back-Up Data'!C25+'2011-12 Back-Up Data'!D25)/'2011-12 Back-Up Data'!B25</f>
        <v>135.22225069618847</v>
      </c>
      <c r="I25" s="4">
        <f>('2011-12 Back-Up Data'!C25+'2011-12 Back-Up Data'!D25)/'2011-12 Back-Up Data'!L25</f>
        <v>0.08409624594031893</v>
      </c>
      <c r="J25" s="33">
        <f>'2011-12 Back-Up Data'!L25</f>
        <v>94117923</v>
      </c>
      <c r="K25" s="34">
        <f>'2011-12 Back-Up Data'!L25/'2011-12 Back-Up Data'!B25</f>
        <v>1607.9463379632002</v>
      </c>
      <c r="P25" s="2" t="str">
        <f>'2011-12 Back-Up Data'!A25</f>
        <v>Onondaga</v>
      </c>
      <c r="Q25" s="33">
        <f>'2011-12 Back-Up Data'!C25</f>
        <v>5706110</v>
      </c>
      <c r="R25" s="39">
        <f>'2011-12 Back-Up Data'!C25/'2011-12 Back-Up Data'!B25</f>
        <v>97.48535014436301</v>
      </c>
      <c r="S25" s="4">
        <f>'2011-12 Back-Up Data'!C25/'2011-12 Back-Up Data'!L25</f>
        <v>0.060627240998507796</v>
      </c>
      <c r="T25" s="33">
        <f>'2011-12 Back-Up Data'!D25</f>
        <v>2208854</v>
      </c>
      <c r="U25" s="40">
        <f>'2011-12 Back-Up Data'!D25/'2011-12 Back-Up Data'!B25</f>
        <v>37.736900551825464</v>
      </c>
      <c r="V25" s="4">
        <f>'2011-12 Back-Up Data'!D25/'2011-12 Back-Up Data'!L25</f>
        <v>0.023469004941811138</v>
      </c>
      <c r="W25" s="40">
        <f>SUM('2011-12 Back-Up Data'!C25+'2011-12 Back-Up Data'!D25)/'2011-12 Back-Up Data'!B25</f>
        <v>135.22225069618847</v>
      </c>
      <c r="AB25" s="2" t="str">
        <f>'2011-12 Back-Up Data'!A25</f>
        <v>Onondaga</v>
      </c>
      <c r="AC25" s="33">
        <f>'2011-12 Back-Up Data'!E25</f>
        <v>8839722</v>
      </c>
      <c r="AD25" s="40">
        <f>'2011-12 Back-Up Data'!E25/'2011-12 Back-Up Data'!B25</f>
        <v>151.02116754651223</v>
      </c>
      <c r="AE25" s="4">
        <f>'2011-12 Back-Up Data'!E25/'2011-12 Back-Up Data'!L25</f>
        <v>0.09392177088310799</v>
      </c>
      <c r="AF25" s="33">
        <f>'2011-12 Back-Up Data'!F25</f>
        <v>22190562</v>
      </c>
      <c r="AG25" s="40">
        <f>'2011-12 Back-Up Data'!F25/'2011-12 Back-Up Data'!B25</f>
        <v>379.1119881092717</v>
      </c>
      <c r="AH25" s="4">
        <f>'2011-12 Back-Up Data'!F25/'2011-12 Back-Up Data'!L25</f>
        <v>0.23577402999001582</v>
      </c>
      <c r="AI25" s="33">
        <f>'2011-12 Back-Up Data'!G25</f>
        <v>2887243</v>
      </c>
      <c r="AJ25" s="40">
        <f>'2011-12 Back-Up Data'!G25/'2011-12 Back-Up Data'!B25</f>
        <v>49.32675584712897</v>
      </c>
      <c r="AK25" s="4">
        <f>'2011-12 Back-Up Data'!G25/'2011-12 Back-Up Data'!L25</f>
        <v>0.030676866934260756</v>
      </c>
      <c r="AP25" s="2" t="str">
        <f>'2011-12 Back-Up Data'!A25</f>
        <v>Onondaga</v>
      </c>
      <c r="AQ25" s="33">
        <f>'2011-12 Back-Up Data'!H25</f>
        <v>7399471</v>
      </c>
      <c r="AR25" s="40">
        <f>'2011-12 Back-Up Data'!H25/'2011-12 Back-Up Data'!B25</f>
        <v>126.41537252490048</v>
      </c>
      <c r="AS25" s="4">
        <f>'2011-12 Back-Up Data'!H25/'2011-12 Back-Up Data'!L25</f>
        <v>0.0786191488734829</v>
      </c>
      <c r="AT25" s="33">
        <f>'2011-12 Back-Up Data'!I25</f>
        <v>19738969</v>
      </c>
      <c r="AU25" s="40">
        <f>'2011-12 Back-Up Data'!I25/'2011-12 Back-Up Data'!B25</f>
        <v>337.22804230092424</v>
      </c>
      <c r="AV25" s="4">
        <f>'2011-12 Back-Up Data'!I25/'2011-12 Back-Up Data'!L25</f>
        <v>0.20972593073478682</v>
      </c>
      <c r="AW25" s="33">
        <f>'2011-12 Back-Up Data'!J25</f>
        <v>25146992</v>
      </c>
      <c r="AX25" s="40">
        <f>'2011-12 Back-Up Data'!J25/'2011-12 Back-Up Data'!B25</f>
        <v>429.62076093827415</v>
      </c>
      <c r="AY25" s="4">
        <f>'2011-12 Back-Up Data'!J25/'2011-12 Back-Up Data'!L25</f>
        <v>0.26718600664402675</v>
      </c>
    </row>
    <row r="26" spans="3:51" ht="12.75">
      <c r="C26" s="2" t="str">
        <f>'2011-12 Back-Up Data'!A26</f>
        <v>Ontario</v>
      </c>
      <c r="D26" s="33">
        <f>'2011-12 Back-Up Data'!K26</f>
        <v>92872723</v>
      </c>
      <c r="E26" s="34">
        <f>'2011-12 Back-Up Data'!K26/'2011-12 Back-Up Data'!B26</f>
        <v>2469.9535384697215</v>
      </c>
      <c r="F26" s="4">
        <f>'2011-12 Back-Up Data'!K26/'2011-12 Back-Up Data'!L26</f>
        <v>0.9369090884255847</v>
      </c>
      <c r="G26" s="33">
        <f>'2011-12 Back-Up Data'!C26+'2011-12 Back-Up Data'!D26</f>
        <v>6253995</v>
      </c>
      <c r="H26" s="34">
        <f>('2011-12 Back-Up Data'!F26+'2011-12 Back-Up Data'!D26)/'2011-12 Back-Up Data'!B26</f>
        <v>968.2290098667588</v>
      </c>
      <c r="I26" s="4">
        <f>('2011-12 Back-Up Data'!C26+'2011-12 Back-Up Data'!D26)/'2011-12 Back-Up Data'!L26</f>
        <v>0.06309091157441528</v>
      </c>
      <c r="J26" s="33">
        <f>'2011-12 Back-Up Data'!L26</f>
        <v>99126718</v>
      </c>
      <c r="K26" s="34">
        <f>'2011-12 Back-Up Data'!L26/'2011-12 Back-Up Data'!B26</f>
        <v>2636.2787691816707</v>
      </c>
      <c r="P26" s="2" t="str">
        <f>'2011-12 Back-Up Data'!A26</f>
        <v>Ontario</v>
      </c>
      <c r="Q26" s="33">
        <f>'2011-12 Back-Up Data'!C26</f>
        <v>2890895</v>
      </c>
      <c r="R26" s="39">
        <f>'2011-12 Back-Up Data'!C26/'2011-12 Back-Up Data'!B26</f>
        <v>76.88346054626207</v>
      </c>
      <c r="S26" s="4">
        <f>'2011-12 Back-Up Data'!C26/'2011-12 Back-Up Data'!L26</f>
        <v>0.029163630737779497</v>
      </c>
      <c r="T26" s="33">
        <f>'2011-12 Back-Up Data'!D26</f>
        <v>3363100</v>
      </c>
      <c r="U26" s="40">
        <f>'2011-12 Back-Up Data'!D26/'2011-12 Back-Up Data'!B26</f>
        <v>89.44177016568709</v>
      </c>
      <c r="V26" s="4">
        <f>'2011-12 Back-Up Data'!D26/'2011-12 Back-Up Data'!L26</f>
        <v>0.03392728083663579</v>
      </c>
      <c r="W26" s="40">
        <f>SUM('2011-12 Back-Up Data'!C26+'2011-12 Back-Up Data'!D26)/'2011-12 Back-Up Data'!B26</f>
        <v>166.32523071194916</v>
      </c>
      <c r="AB26" s="2" t="str">
        <f>'2011-12 Back-Up Data'!A26</f>
        <v>Ontario</v>
      </c>
      <c r="AC26" s="33">
        <f>'2011-12 Back-Up Data'!E26</f>
        <v>9758243</v>
      </c>
      <c r="AD26" s="40">
        <f>'2011-12 Back-Up Data'!E26/'2011-12 Back-Up Data'!B26</f>
        <v>259.52083721177627</v>
      </c>
      <c r="AE26" s="4">
        <f>'2011-12 Back-Up Data'!E26/'2011-12 Back-Up Data'!L26</f>
        <v>0.0984421072026212</v>
      </c>
      <c r="AF26" s="33">
        <f>'2011-12 Back-Up Data'!F26</f>
        <v>33043279</v>
      </c>
      <c r="AG26" s="40">
        <f>'2011-12 Back-Up Data'!F26/'2011-12 Back-Up Data'!B26</f>
        <v>878.7872397010718</v>
      </c>
      <c r="AH26" s="4">
        <f>'2011-12 Back-Up Data'!F26/'2011-12 Back-Up Data'!L26</f>
        <v>0.3333438215920757</v>
      </c>
      <c r="AI26" s="33">
        <f>'2011-12 Back-Up Data'!G26</f>
        <v>4463203</v>
      </c>
      <c r="AJ26" s="40">
        <f>'2011-12 Back-Up Data'!G26/'2011-12 Back-Up Data'!B26</f>
        <v>118.69905055716603</v>
      </c>
      <c r="AK26" s="4">
        <f>'2011-12 Back-Up Data'!G26/'2011-12 Back-Up Data'!L26</f>
        <v>0.0450252272046372</v>
      </c>
      <c r="AP26" s="2" t="str">
        <f>'2011-12 Back-Up Data'!A26</f>
        <v>Ontario</v>
      </c>
      <c r="AQ26" s="33">
        <f>'2011-12 Back-Up Data'!H26</f>
        <v>5197778</v>
      </c>
      <c r="AR26" s="40">
        <f>'2011-12 Back-Up Data'!H26/'2011-12 Back-Up Data'!B26</f>
        <v>138.2351001303157</v>
      </c>
      <c r="AS26" s="4">
        <f>'2011-12 Back-Up Data'!H26/'2011-12 Back-Up Data'!L26</f>
        <v>0.05243569145505251</v>
      </c>
      <c r="AT26" s="33">
        <f>'2011-12 Back-Up Data'!I26</f>
        <v>17706623</v>
      </c>
      <c r="AU26" s="40">
        <f>'2011-12 Back-Up Data'!I26/'2011-12 Back-Up Data'!B26</f>
        <v>470.90830031116195</v>
      </c>
      <c r="AV26" s="4">
        <f>'2011-12 Back-Up Data'!I26/'2011-12 Back-Up Data'!L26</f>
        <v>0.17862613992727974</v>
      </c>
      <c r="AW26" s="33">
        <f>'2011-12 Back-Up Data'!J26</f>
        <v>22703597</v>
      </c>
      <c r="AX26" s="40">
        <f>'2011-12 Back-Up Data'!J26/'2011-12 Back-Up Data'!B26</f>
        <v>603.8030105582299</v>
      </c>
      <c r="AY26" s="4">
        <f>'2011-12 Back-Up Data'!J26/'2011-12 Back-Up Data'!L26</f>
        <v>0.22903610104391836</v>
      </c>
    </row>
    <row r="27" spans="3:51" ht="12.75">
      <c r="C27" s="2" t="str">
        <f>'2011-12 Back-Up Data'!A27</f>
        <v>Orange</v>
      </c>
      <c r="D27" s="33">
        <f>'2011-12 Back-Up Data'!K27</f>
        <v>95858858</v>
      </c>
      <c r="E27" s="34">
        <f>'2011-12 Back-Up Data'!K27/'2011-12 Back-Up Data'!B27</f>
        <v>1795.0760847175147</v>
      </c>
      <c r="F27" s="4">
        <f>'2011-12 Back-Up Data'!K27/'2011-12 Back-Up Data'!L27</f>
        <v>0.9378400322090155</v>
      </c>
      <c r="G27" s="33">
        <f>'2011-12 Back-Up Data'!C27+'2011-12 Back-Up Data'!D27</f>
        <v>6353518</v>
      </c>
      <c r="H27" s="34">
        <f>('2011-12 Back-Up Data'!D26+'2011-12 Back-Up Data'!D27)/'2011-12 Back-Up Data'!B27</f>
        <v>98.42793206119735</v>
      </c>
      <c r="I27" s="4">
        <f>('2011-12 Back-Up Data'!C27+'2011-12 Back-Up Data'!D27)/'2011-12 Back-Up Data'!L27</f>
        <v>0.06215996779098453</v>
      </c>
      <c r="J27" s="33">
        <f>'2011-12 Back-Up Data'!L27</f>
        <v>102212376</v>
      </c>
      <c r="K27" s="34">
        <f>'2011-12 Back-Up Data'!L27/'2011-12 Back-Up Data'!B27</f>
        <v>1914.0535945019756</v>
      </c>
      <c r="P27" s="2" t="str">
        <f>'2011-12 Back-Up Data'!A27</f>
        <v>Orange</v>
      </c>
      <c r="Q27" s="33">
        <f>'2011-12 Back-Up Data'!C27</f>
        <v>4460468</v>
      </c>
      <c r="R27" s="39">
        <f>'2011-12 Back-Up Data'!C27/'2011-12 Back-Up Data'!B27</f>
        <v>83.52779910488567</v>
      </c>
      <c r="S27" s="4">
        <f>'2011-12 Back-Up Data'!C27/'2011-12 Back-Up Data'!L27</f>
        <v>0.04363921644870089</v>
      </c>
      <c r="T27" s="33">
        <f>'2011-12 Back-Up Data'!D27</f>
        <v>1893050</v>
      </c>
      <c r="U27" s="40">
        <f>'2011-12 Back-Up Data'!D27/'2011-12 Back-Up Data'!B27</f>
        <v>35.44971067957529</v>
      </c>
      <c r="V27" s="4">
        <f>'2011-12 Back-Up Data'!D27/'2011-12 Back-Up Data'!L27</f>
        <v>0.018520751342283637</v>
      </c>
      <c r="W27" s="40">
        <f>SUM('2011-12 Back-Up Data'!C27+'2011-12 Back-Up Data'!D27)/'2011-12 Back-Up Data'!B27</f>
        <v>118.97750978446096</v>
      </c>
      <c r="AB27" s="2" t="str">
        <f>'2011-12 Back-Up Data'!A27</f>
        <v>Orange</v>
      </c>
      <c r="AC27" s="33">
        <f>'2011-12 Back-Up Data'!E27</f>
        <v>17807962</v>
      </c>
      <c r="AD27" s="40">
        <f>'2011-12 Back-Up Data'!E27/'2011-12 Back-Up Data'!B27</f>
        <v>333.4761895844647</v>
      </c>
      <c r="AE27" s="4">
        <f>'2011-12 Back-Up Data'!E27/'2011-12 Back-Up Data'!L27</f>
        <v>0.17422510557821297</v>
      </c>
      <c r="AF27" s="33">
        <f>'2011-12 Back-Up Data'!F27</f>
        <v>56723692</v>
      </c>
      <c r="AG27" s="40">
        <f>'2011-12 Back-Up Data'!F27/'2011-12 Back-Up Data'!B27</f>
        <v>1062.2215314319956</v>
      </c>
      <c r="AH27" s="4">
        <f>'2011-12 Back-Up Data'!F27/'2011-12 Back-Up Data'!L27</f>
        <v>0.5549591372379408</v>
      </c>
      <c r="AI27" s="33">
        <f>'2011-12 Back-Up Data'!G27</f>
        <v>2284915</v>
      </c>
      <c r="AJ27" s="40">
        <f>'2011-12 Back-Up Data'!G27/'2011-12 Back-Up Data'!B27</f>
        <v>42.78786914102732</v>
      </c>
      <c r="AK27" s="4">
        <f>'2011-12 Back-Up Data'!G27/'2011-12 Back-Up Data'!L27</f>
        <v>0.02235458258009774</v>
      </c>
      <c r="AP27" s="2" t="str">
        <f>'2011-12 Back-Up Data'!A27</f>
        <v>Orange</v>
      </c>
      <c r="AQ27" s="33">
        <f>'2011-12 Back-Up Data'!H27</f>
        <v>4569338</v>
      </c>
      <c r="AR27" s="40">
        <f>'2011-12 Back-Up Data'!H27/'2011-12 Back-Up Data'!B27</f>
        <v>85.56652497144248</v>
      </c>
      <c r="AS27" s="4">
        <f>'2011-12 Back-Up Data'!H27/'2011-12 Back-Up Data'!L27</f>
        <v>0.044704351653071836</v>
      </c>
      <c r="AT27" s="33">
        <f>'2011-12 Back-Up Data'!I27</f>
        <v>10743467</v>
      </c>
      <c r="AU27" s="40">
        <f>'2011-12 Back-Up Data'!I27/'2011-12 Back-Up Data'!B27</f>
        <v>201.18475309451134</v>
      </c>
      <c r="AV27" s="4">
        <f>'2011-12 Back-Up Data'!I27/'2011-12 Back-Up Data'!L27</f>
        <v>0.10510925800218165</v>
      </c>
      <c r="AW27" s="33">
        <f>'2011-12 Back-Up Data'!J27</f>
        <v>3729484</v>
      </c>
      <c r="AX27" s="40">
        <f>'2011-12 Back-Up Data'!J27/'2011-12 Back-Up Data'!B27</f>
        <v>69.83921649407314</v>
      </c>
      <c r="AY27" s="4">
        <f>'2011-12 Back-Up Data'!J27/'2011-12 Back-Up Data'!L27</f>
        <v>0.03648759715751056</v>
      </c>
    </row>
    <row r="28" spans="3:51" ht="12.75">
      <c r="C28" s="2" t="str">
        <f>'2011-12 Back-Up Data'!A28</f>
        <v>Orleans</v>
      </c>
      <c r="D28" s="33">
        <f>'2011-12 Back-Up Data'!K28</f>
        <v>48265358</v>
      </c>
      <c r="E28" s="34">
        <f>'2011-12 Back-Up Data'!K28/'2011-12 Back-Up Data'!B28</f>
        <v>1381.1411320322784</v>
      </c>
      <c r="F28" s="4">
        <f>'2011-12 Back-Up Data'!K28/'2011-12 Back-Up Data'!L28</f>
        <v>0.9387825536458269</v>
      </c>
      <c r="G28" s="33">
        <f>'2011-12 Back-Up Data'!C28+'2011-12 Back-Up Data'!D28</f>
        <v>3147355</v>
      </c>
      <c r="H28" s="34">
        <f>('2011-12 Back-Up Data'!C28+'2011-12 Back-Up Data'!D28)/'2011-12 Back-Up Data'!B28</f>
        <v>90.06338350598065</v>
      </c>
      <c r="I28" s="4">
        <f>('2011-12 Back-Up Data'!C28+'2011-12 Back-Up Data'!D28)/'2011-12 Back-Up Data'!L28</f>
        <v>0.06121744635417314</v>
      </c>
      <c r="J28" s="33">
        <f>'2011-12 Back-Up Data'!L28</f>
        <v>51412713</v>
      </c>
      <c r="K28" s="34">
        <f>'2011-12 Back-Up Data'!L28/'2011-12 Back-Up Data'!B28</f>
        <v>1471.204515538259</v>
      </c>
      <c r="P28" s="2" t="str">
        <f>'2011-12 Back-Up Data'!A28</f>
        <v>Orleans</v>
      </c>
      <c r="Q28" s="33">
        <f>'2011-12 Back-Up Data'!C28</f>
        <v>2152755</v>
      </c>
      <c r="R28" s="39">
        <f>'2011-12 Back-Up Data'!C28/'2011-12 Back-Up Data'!B28</f>
        <v>61.60232930807532</v>
      </c>
      <c r="S28" s="4">
        <f>'2011-12 Back-Up Data'!C28/'2011-12 Back-Up Data'!L28</f>
        <v>0.041872036591416605</v>
      </c>
      <c r="T28" s="33">
        <f>'2011-12 Back-Up Data'!D28</f>
        <v>994600</v>
      </c>
      <c r="U28" s="40">
        <f>'2011-12 Back-Up Data'!D28/'2011-12 Back-Up Data'!B28</f>
        <v>28.46105419790534</v>
      </c>
      <c r="V28" s="4">
        <f>'2011-12 Back-Up Data'!D28/'2011-12 Back-Up Data'!L28</f>
        <v>0.01934540976275654</v>
      </c>
      <c r="W28" s="40">
        <f>SUM('2011-12 Back-Up Data'!C28+'2011-12 Back-Up Data'!D28)/'2011-12 Back-Up Data'!B28</f>
        <v>90.06338350598065</v>
      </c>
      <c r="AB28" s="2" t="str">
        <f>'2011-12 Back-Up Data'!A28</f>
        <v>Orleans</v>
      </c>
      <c r="AC28" s="33">
        <f>'2011-12 Back-Up Data'!E28</f>
        <v>11286030</v>
      </c>
      <c r="AD28" s="40">
        <f>'2011-12 Back-Up Data'!E28/'2011-12 Back-Up Data'!B28</f>
        <v>322.95627539632574</v>
      </c>
      <c r="AE28" s="4">
        <f>'2011-12 Back-Up Data'!E28/'2011-12 Back-Up Data'!L28</f>
        <v>0.21951827362232373</v>
      </c>
      <c r="AF28" s="33">
        <f>'2011-12 Back-Up Data'!F28</f>
        <v>19095560</v>
      </c>
      <c r="AG28" s="40">
        <f>'2011-12 Back-Up Data'!F28/'2011-12 Back-Up Data'!B28</f>
        <v>546.4304927602586</v>
      </c>
      <c r="AH28" s="4">
        <f>'2011-12 Back-Up Data'!F28/'2011-12 Back-Up Data'!L28</f>
        <v>0.37141708510889127</v>
      </c>
      <c r="AI28" s="33">
        <f>'2011-12 Back-Up Data'!G28</f>
        <v>2098204</v>
      </c>
      <c r="AJ28" s="40">
        <f>'2011-12 Back-Up Data'!G28/'2011-12 Back-Up Data'!B28</f>
        <v>60.04132089509529</v>
      </c>
      <c r="AK28" s="4">
        <f>'2011-12 Back-Up Data'!G28/'2011-12 Back-Up Data'!L28</f>
        <v>0.04081099552167185</v>
      </c>
      <c r="AP28" s="2" t="str">
        <f>'2011-12 Back-Up Data'!A28</f>
        <v>Orleans</v>
      </c>
      <c r="AQ28" s="33">
        <f>'2011-12 Back-Up Data'!H28</f>
        <v>4636576</v>
      </c>
      <c r="AR28" s="40">
        <f>'2011-12 Back-Up Data'!H28/'2011-12 Back-Up Data'!B28</f>
        <v>132.67830366851715</v>
      </c>
      <c r="AS28" s="4">
        <f>'2011-12 Back-Up Data'!H28/'2011-12 Back-Up Data'!L28</f>
        <v>0.09018345326378711</v>
      </c>
      <c r="AT28" s="33">
        <f>'2011-12 Back-Up Data'!I28</f>
        <v>4787762</v>
      </c>
      <c r="AU28" s="40">
        <f>'2011-12 Back-Up Data'!I28/'2011-12 Back-Up Data'!B28</f>
        <v>137.00457849253132</v>
      </c>
      <c r="AV28" s="4">
        <f>'2011-12 Back-Up Data'!I28/'2011-12 Back-Up Data'!L28</f>
        <v>0.09312408781073273</v>
      </c>
      <c r="AW28" s="33">
        <f>'2011-12 Back-Up Data'!J28</f>
        <v>6361226</v>
      </c>
      <c r="AX28" s="40">
        <f>'2011-12 Back-Up Data'!J28/'2011-12 Back-Up Data'!B28</f>
        <v>182.03016081955016</v>
      </c>
      <c r="AY28" s="4">
        <f>'2011-12 Back-Up Data'!J28/'2011-12 Back-Up Data'!L28</f>
        <v>0.1237286583184202</v>
      </c>
    </row>
    <row r="29" spans="3:51" ht="12.75">
      <c r="C29" s="2" t="str">
        <f>'2011-12 Back-Up Data'!A29</f>
        <v>Oswego</v>
      </c>
      <c r="D29" s="33">
        <f>'2011-12 Back-Up Data'!K29</f>
        <v>34940065</v>
      </c>
      <c r="E29" s="34">
        <f>'2011-12 Back-Up Data'!K29/'2011-12 Back-Up Data'!B29</f>
        <v>1638.8398217636022</v>
      </c>
      <c r="F29" s="4">
        <f>'2011-12 Back-Up Data'!K29/'2011-12 Back-Up Data'!L29</f>
        <v>0.867788064990698</v>
      </c>
      <c r="G29" s="33">
        <f>'2011-12 Back-Up Data'!C29+'2011-12 Back-Up Data'!D29</f>
        <v>5323297</v>
      </c>
      <c r="H29" s="34">
        <f>('2011-12 Back-Up Data'!C29+'2011-12 Back-Up Data'!D29)/'2011-12 Back-Up Data'!B29</f>
        <v>249.68560037523451</v>
      </c>
      <c r="I29" s="4">
        <f>('2011-12 Back-Up Data'!C29+'2011-12 Back-Up Data'!D29)/'2011-12 Back-Up Data'!L29</f>
        <v>0.132211935009302</v>
      </c>
      <c r="J29" s="33">
        <f>'2011-12 Back-Up Data'!L29</f>
        <v>40263362</v>
      </c>
      <c r="K29" s="34">
        <f>'2011-12 Back-Up Data'!L29/'2011-12 Back-Up Data'!B29</f>
        <v>1888.5254221388368</v>
      </c>
      <c r="P29" s="2" t="str">
        <f>'2011-12 Back-Up Data'!A29</f>
        <v>Oswego</v>
      </c>
      <c r="Q29" s="33">
        <f>'2011-12 Back-Up Data'!C29</f>
        <v>5137022</v>
      </c>
      <c r="R29" s="39">
        <f>'2011-12 Back-Up Data'!C29/'2011-12 Back-Up Data'!B29</f>
        <v>240.9484990619137</v>
      </c>
      <c r="S29" s="4">
        <f>'2011-12 Back-Up Data'!C29/'2011-12 Back-Up Data'!L29</f>
        <v>0.1275855205534004</v>
      </c>
      <c r="T29" s="33">
        <f>'2011-12 Back-Up Data'!D29</f>
        <v>186275</v>
      </c>
      <c r="U29" s="40">
        <f>'2011-12 Back-Up Data'!D29/'2011-12 Back-Up Data'!B29</f>
        <v>8.737101313320826</v>
      </c>
      <c r="V29" s="4">
        <f>'2011-12 Back-Up Data'!D29/'2011-12 Back-Up Data'!L29</f>
        <v>0.004626414455901621</v>
      </c>
      <c r="W29" s="40">
        <f>SUM('2011-12 Back-Up Data'!C29+'2011-12 Back-Up Data'!D29)/'2011-12 Back-Up Data'!B29</f>
        <v>249.68560037523451</v>
      </c>
      <c r="AB29" s="2" t="str">
        <f>'2011-12 Back-Up Data'!A29</f>
        <v>Oswego</v>
      </c>
      <c r="AC29" s="33">
        <f>'2011-12 Back-Up Data'!E29</f>
        <v>5759420</v>
      </c>
      <c r="AD29" s="40">
        <f>'2011-12 Back-Up Data'!E29/'2011-12 Back-Up Data'!B29</f>
        <v>270.1416510318949</v>
      </c>
      <c r="AE29" s="4">
        <f>'2011-12 Back-Up Data'!E29/'2011-12 Back-Up Data'!L29</f>
        <v>0.14304369317197108</v>
      </c>
      <c r="AF29" s="33">
        <f>'2011-12 Back-Up Data'!F29</f>
        <v>10614271</v>
      </c>
      <c r="AG29" s="40">
        <f>'2011-12 Back-Up Data'!F29/'2011-12 Back-Up Data'!B29</f>
        <v>497.8551125703565</v>
      </c>
      <c r="AH29" s="4">
        <f>'2011-12 Back-Up Data'!F29/'2011-12 Back-Up Data'!L29</f>
        <v>0.26362108062411677</v>
      </c>
      <c r="AI29" s="33">
        <f>'2011-12 Back-Up Data'!G29</f>
        <v>3935186</v>
      </c>
      <c r="AJ29" s="40">
        <f>'2011-12 Back-Up Data'!G29/'2011-12 Back-Up Data'!B29</f>
        <v>184.57720450281425</v>
      </c>
      <c r="AK29" s="4">
        <f>'2011-12 Back-Up Data'!G29/'2011-12 Back-Up Data'!L29</f>
        <v>0.0977361502996198</v>
      </c>
      <c r="AP29" s="2" t="str">
        <f>'2011-12 Back-Up Data'!A29</f>
        <v>Oswego</v>
      </c>
      <c r="AQ29" s="33">
        <f>'2011-12 Back-Up Data'!H29</f>
        <v>3465977</v>
      </c>
      <c r="AR29" s="40">
        <f>'2011-12 Back-Up Data'!H29/'2011-12 Back-Up Data'!B29</f>
        <v>162.56927767354597</v>
      </c>
      <c r="AS29" s="4">
        <f>'2011-12 Back-Up Data'!H29/'2011-12 Back-Up Data'!L29</f>
        <v>0.08608265251173014</v>
      </c>
      <c r="AT29" s="33">
        <f>'2011-12 Back-Up Data'!I29</f>
        <v>5751052</v>
      </c>
      <c r="AU29" s="40">
        <f>'2011-12 Back-Up Data'!I29/'2011-12 Back-Up Data'!B29</f>
        <v>269.74915572232646</v>
      </c>
      <c r="AV29" s="4">
        <f>'2011-12 Back-Up Data'!I29/'2011-12 Back-Up Data'!L29</f>
        <v>0.14283586154578945</v>
      </c>
      <c r="AW29" s="33">
        <f>'2011-12 Back-Up Data'!J29</f>
        <v>5414159</v>
      </c>
      <c r="AX29" s="40">
        <f>'2011-12 Back-Up Data'!J29/'2011-12 Back-Up Data'!B29</f>
        <v>253.94742026266417</v>
      </c>
      <c r="AY29" s="4">
        <f>'2011-12 Back-Up Data'!J29/'2011-12 Back-Up Data'!L29</f>
        <v>0.13446862683747074</v>
      </c>
    </row>
    <row r="30" spans="3:51" ht="12.75">
      <c r="C30" s="2" t="str">
        <f>'2011-12 Back-Up Data'!A30</f>
        <v>Otsego</v>
      </c>
      <c r="D30" s="33">
        <f>'2011-12 Back-Up Data'!K30</f>
        <v>19125237</v>
      </c>
      <c r="E30" s="34">
        <f>'2011-12 Back-Up Data'!K30/'2011-12 Back-Up Data'!B30</f>
        <v>2083.3591503267976</v>
      </c>
      <c r="F30" s="4">
        <f>'2011-12 Back-Up Data'!K30/'2011-12 Back-Up Data'!L30</f>
        <v>0.8607260369302475</v>
      </c>
      <c r="G30" s="33">
        <f>'2011-12 Back-Up Data'!C30+'2011-12 Back-Up Data'!D30</f>
        <v>3094652</v>
      </c>
      <c r="H30" s="34">
        <f>('2011-12 Back-Up Data'!F29+'2011-12 Back-Up Data'!D30)/'2011-12 Back-Up Data'!B30</f>
        <v>1216.7375816993465</v>
      </c>
      <c r="I30" s="4">
        <f>('2011-12 Back-Up Data'!C30+'2011-12 Back-Up Data'!D30)/'2011-12 Back-Up Data'!L30</f>
        <v>0.1392739630697525</v>
      </c>
      <c r="J30" s="33">
        <f>'2011-12 Back-Up Data'!L30</f>
        <v>22219889</v>
      </c>
      <c r="K30" s="34">
        <f>'2011-12 Back-Up Data'!L30/'2011-12 Back-Up Data'!B30</f>
        <v>2420.467211328976</v>
      </c>
      <c r="P30" s="2" t="str">
        <f>'2011-12 Back-Up Data'!A30</f>
        <v>Otsego</v>
      </c>
      <c r="Q30" s="33">
        <f>'2011-12 Back-Up Data'!C30</f>
        <v>2539272</v>
      </c>
      <c r="R30" s="39">
        <f>'2011-12 Back-Up Data'!C30/'2011-12 Back-Up Data'!B30</f>
        <v>276.60915032679736</v>
      </c>
      <c r="S30" s="4">
        <f>'2011-12 Back-Up Data'!C30/'2011-12 Back-Up Data'!L30</f>
        <v>0.11427923874867242</v>
      </c>
      <c r="T30" s="33">
        <f>'2011-12 Back-Up Data'!D30</f>
        <v>555380</v>
      </c>
      <c r="U30" s="40">
        <f>'2011-12 Back-Up Data'!D30/'2011-12 Back-Up Data'!B30</f>
        <v>60.49891067538126</v>
      </c>
      <c r="V30" s="4">
        <f>'2011-12 Back-Up Data'!D30/'2011-12 Back-Up Data'!L30</f>
        <v>0.024994724321080092</v>
      </c>
      <c r="W30" s="40">
        <f>SUM('2011-12 Back-Up Data'!C30+'2011-12 Back-Up Data'!D30)/'2011-12 Back-Up Data'!B30</f>
        <v>337.10806100217866</v>
      </c>
      <c r="AB30" s="2" t="str">
        <f>'2011-12 Back-Up Data'!A30</f>
        <v>Otsego</v>
      </c>
      <c r="AC30" s="33">
        <f>'2011-12 Back-Up Data'!E30</f>
        <v>4986409</v>
      </c>
      <c r="AD30" s="40">
        <f>'2011-12 Back-Up Data'!E30/'2011-12 Back-Up Data'!B30</f>
        <v>543.1818082788672</v>
      </c>
      <c r="AE30" s="4">
        <f>'2011-12 Back-Up Data'!E30/'2011-12 Back-Up Data'!L30</f>
        <v>0.2244119671344893</v>
      </c>
      <c r="AF30" s="33">
        <f>'2011-12 Back-Up Data'!F30</f>
        <v>3765728</v>
      </c>
      <c r="AG30" s="40">
        <f>'2011-12 Back-Up Data'!F30/'2011-12 Back-Up Data'!B30</f>
        <v>410.21002178649235</v>
      </c>
      <c r="AH30" s="4">
        <f>'2011-12 Back-Up Data'!F30/'2011-12 Back-Up Data'!L30</f>
        <v>0.16947555408580123</v>
      </c>
      <c r="AI30" s="33">
        <f>'2011-12 Back-Up Data'!G30</f>
        <v>3972425</v>
      </c>
      <c r="AJ30" s="40">
        <f>'2011-12 Back-Up Data'!G30/'2011-12 Back-Up Data'!B30</f>
        <v>432.7260348583878</v>
      </c>
      <c r="AK30" s="4">
        <f>'2011-12 Back-Up Data'!G30/'2011-12 Back-Up Data'!L30</f>
        <v>0.17877789578516795</v>
      </c>
      <c r="AP30" s="2" t="str">
        <f>'2011-12 Back-Up Data'!A30</f>
        <v>Otsego</v>
      </c>
      <c r="AQ30" s="33">
        <f>'2011-12 Back-Up Data'!H30</f>
        <v>794224</v>
      </c>
      <c r="AR30" s="40">
        <f>'2011-12 Back-Up Data'!H30/'2011-12 Back-Up Data'!B30</f>
        <v>86.51677559912854</v>
      </c>
      <c r="AS30" s="4">
        <f>'2011-12 Back-Up Data'!H30/'2011-12 Back-Up Data'!L30</f>
        <v>0.035743832923737826</v>
      </c>
      <c r="AT30" s="33">
        <f>'2011-12 Back-Up Data'!I30</f>
        <v>1567672</v>
      </c>
      <c r="AU30" s="40">
        <f>'2011-12 Back-Up Data'!I30/'2011-12 Back-Up Data'!B30</f>
        <v>170.77037037037036</v>
      </c>
      <c r="AV30" s="4">
        <f>'2011-12 Back-Up Data'!I30/'2011-12 Back-Up Data'!L30</f>
        <v>0.07055264767524266</v>
      </c>
      <c r="AW30" s="33">
        <f>'2011-12 Back-Up Data'!J30</f>
        <v>4038779</v>
      </c>
      <c r="AX30" s="40">
        <f>'2011-12 Back-Up Data'!J30/'2011-12 Back-Up Data'!B30</f>
        <v>439.9541394335512</v>
      </c>
      <c r="AY30" s="4">
        <f>'2011-12 Back-Up Data'!J30/'2011-12 Back-Up Data'!L30</f>
        <v>0.1817641393258085</v>
      </c>
    </row>
    <row r="31" spans="3:51" ht="12.75">
      <c r="C31" s="2" t="str">
        <f>'2011-12 Back-Up Data'!A31</f>
        <v>Putnam</v>
      </c>
      <c r="D31" s="33">
        <f>'2011-12 Back-Up Data'!K31</f>
        <v>46411187</v>
      </c>
      <c r="E31" s="34">
        <f>'2011-12 Back-Up Data'!K31/'2011-12 Back-Up Data'!B31</f>
        <v>827.6332007775023</v>
      </c>
      <c r="F31" s="4">
        <f>'2011-12 Back-Up Data'!K31/'2011-12 Back-Up Data'!L31</f>
        <v>0.8356887292692015</v>
      </c>
      <c r="G31" s="33">
        <f>'2011-12 Back-Up Data'!C31+'2011-12 Back-Up Data'!D31</f>
        <v>9125265</v>
      </c>
      <c r="H31" s="34">
        <f>('2011-12 Back-Up Data'!E31+'2011-12 Back-Up Data'!D31)/'2011-12 Back-Up Data'!B31</f>
        <v>232.45016673502505</v>
      </c>
      <c r="I31" s="4">
        <f>('2011-12 Back-Up Data'!C31+'2011-12 Back-Up Data'!D31)/'2011-12 Back-Up Data'!L31</f>
        <v>0.16431127073079857</v>
      </c>
      <c r="J31" s="33">
        <f>'2011-12 Back-Up Data'!L31</f>
        <v>55536452</v>
      </c>
      <c r="K31" s="34">
        <f>'2011-12 Back-Up Data'!L31/'2011-12 Back-Up Data'!B31</f>
        <v>990.3606113023164</v>
      </c>
      <c r="P31" s="2" t="str">
        <f>'2011-12 Back-Up Data'!A31</f>
        <v>Putnam</v>
      </c>
      <c r="Q31" s="33">
        <f>'2011-12 Back-Up Data'!C31</f>
        <v>8444265</v>
      </c>
      <c r="R31" s="39">
        <f>'2011-12 Back-Up Data'!C31/'2011-12 Back-Up Data'!B31</f>
        <v>150.5833942614619</v>
      </c>
      <c r="S31" s="4">
        <f>'2011-12 Back-Up Data'!C31/'2011-12 Back-Up Data'!L31</f>
        <v>0.15204905419597203</v>
      </c>
      <c r="T31" s="33">
        <f>'2011-12 Back-Up Data'!D31</f>
        <v>681000</v>
      </c>
      <c r="U31" s="40">
        <f>'2011-12 Back-Up Data'!D31/'2011-12 Back-Up Data'!B31</f>
        <v>12.144016263352176</v>
      </c>
      <c r="V31" s="4">
        <f>'2011-12 Back-Up Data'!D31/'2011-12 Back-Up Data'!L31</f>
        <v>0.012262216534826531</v>
      </c>
      <c r="W31" s="40">
        <f>SUM('2011-12 Back-Up Data'!C31+'2011-12 Back-Up Data'!D31)/'2011-12 Back-Up Data'!B31</f>
        <v>162.7274105248141</v>
      </c>
      <c r="AB31" s="2" t="str">
        <f>'2011-12 Back-Up Data'!A31</f>
        <v>Putnam</v>
      </c>
      <c r="AC31" s="33">
        <f>'2011-12 Back-Up Data'!E31</f>
        <v>12354108</v>
      </c>
      <c r="AD31" s="40">
        <f>'2011-12 Back-Up Data'!E31/'2011-12 Back-Up Data'!B31</f>
        <v>220.30615047167288</v>
      </c>
      <c r="AE31" s="4">
        <f>'2011-12 Back-Up Data'!E31/'2011-12 Back-Up Data'!L31</f>
        <v>0.22245043669696438</v>
      </c>
      <c r="AF31" s="33">
        <f>'2011-12 Back-Up Data'!F31</f>
        <v>18761533</v>
      </c>
      <c r="AG31" s="40">
        <f>'2011-12 Back-Up Data'!F31/'2011-12 Back-Up Data'!B31</f>
        <v>334.56734490076144</v>
      </c>
      <c r="AH31" s="4">
        <f>'2011-12 Back-Up Data'!F31/'2011-12 Back-Up Data'!L31</f>
        <v>0.3378237594292124</v>
      </c>
      <c r="AI31" s="33">
        <f>'2011-12 Back-Up Data'!G31</f>
        <v>4411458</v>
      </c>
      <c r="AJ31" s="40">
        <f>'2011-12 Back-Up Data'!G31/'2011-12 Back-Up Data'!B31</f>
        <v>78.66786739661536</v>
      </c>
      <c r="AK31" s="4">
        <f>'2011-12 Back-Up Data'!G31/'2011-12 Back-Up Data'!L31</f>
        <v>0.07943355834110541</v>
      </c>
      <c r="AP31" s="2" t="str">
        <f>'2011-12 Back-Up Data'!A31</f>
        <v>Putnam</v>
      </c>
      <c r="AQ31" s="33">
        <f>'2011-12 Back-Up Data'!H31</f>
        <v>4645414</v>
      </c>
      <c r="AR31" s="40">
        <f>'2011-12 Back-Up Data'!H31/'2011-12 Back-Up Data'!B31</f>
        <v>82.83991654332436</v>
      </c>
      <c r="AS31" s="4">
        <f>'2011-12 Back-Up Data'!H31/'2011-12 Back-Up Data'!L31</f>
        <v>0.08364621492204795</v>
      </c>
      <c r="AT31" s="33">
        <f>'2011-12 Back-Up Data'!I31</f>
        <v>3224700</v>
      </c>
      <c r="AU31" s="40">
        <f>'2011-12 Back-Up Data'!I31/'2011-12 Back-Up Data'!B31</f>
        <v>57.50485938976764</v>
      </c>
      <c r="AV31" s="4">
        <f>'2011-12 Back-Up Data'!I31/'2011-12 Back-Up Data'!L31</f>
        <v>0.05806456631403101</v>
      </c>
      <c r="AW31" s="33">
        <f>'2011-12 Back-Up Data'!J31</f>
        <v>3013974</v>
      </c>
      <c r="AX31" s="40">
        <f>'2011-12 Back-Up Data'!J31/'2011-12 Back-Up Data'!B31</f>
        <v>53.74706207536067</v>
      </c>
      <c r="AY31" s="4">
        <f>'2011-12 Back-Up Data'!J31/'2011-12 Back-Up Data'!L31</f>
        <v>0.05427019356584033</v>
      </c>
    </row>
    <row r="32" spans="3:51" ht="12.75">
      <c r="C32" s="2" t="str">
        <f>'2011-12 Back-Up Data'!A32</f>
        <v>Rensselaer</v>
      </c>
      <c r="D32" s="33">
        <f>'2011-12 Back-Up Data'!K32</f>
        <v>44493635</v>
      </c>
      <c r="E32" s="34">
        <f>'2011-12 Back-Up Data'!K32/'2011-12 Back-Up Data'!B32</f>
        <v>1334.5021145136618</v>
      </c>
      <c r="F32" s="4">
        <f>'2011-12 Back-Up Data'!K32/'2011-12 Back-Up Data'!L32</f>
        <v>0.8815617414202905</v>
      </c>
      <c r="G32" s="33">
        <f>'2011-12 Back-Up Data'!C32+'2011-12 Back-Up Data'!D32</f>
        <v>5977742</v>
      </c>
      <c r="H32" s="34">
        <f>('2011-12 Back-Up Data'!E32+'2011-12 Back-Up Data'!D32)/'2011-12 Back-Up Data'!B32</f>
        <v>337.73060196154887</v>
      </c>
      <c r="I32" s="4">
        <f>('2011-12 Back-Up Data'!C32+'2011-12 Back-Up Data'!D32)/'2011-12 Back-Up Data'!L32</f>
        <v>0.11843825857970945</v>
      </c>
      <c r="J32" s="33">
        <f>'2011-12 Back-Up Data'!L32</f>
        <v>50471377</v>
      </c>
      <c r="K32" s="34">
        <f>'2011-12 Back-Up Data'!L32/'2011-12 Back-Up Data'!B32</f>
        <v>1513.793137578357</v>
      </c>
      <c r="P32" s="2" t="str">
        <f>'2011-12 Back-Up Data'!A32</f>
        <v>Rensselaer</v>
      </c>
      <c r="Q32" s="33">
        <f>'2011-12 Back-Up Data'!C32</f>
        <v>4118053</v>
      </c>
      <c r="R32" s="39">
        <f>'2011-12 Back-Up Data'!C32/'2011-12 Back-Up Data'!B32</f>
        <v>123.51318196814732</v>
      </c>
      <c r="S32" s="4">
        <f>'2011-12 Back-Up Data'!C32/'2011-12 Back-Up Data'!L32</f>
        <v>0.08159184957446276</v>
      </c>
      <c r="T32" s="33">
        <f>'2011-12 Back-Up Data'!D32</f>
        <v>1859689</v>
      </c>
      <c r="U32" s="40">
        <f>'2011-12 Back-Up Data'!D32/'2011-12 Back-Up Data'!B32</f>
        <v>55.777841096547796</v>
      </c>
      <c r="V32" s="4">
        <f>'2011-12 Back-Up Data'!D32/'2011-12 Back-Up Data'!L32</f>
        <v>0.036846409005246675</v>
      </c>
      <c r="W32" s="40">
        <f>SUM('2011-12 Back-Up Data'!C32+'2011-12 Back-Up Data'!D32)/'2011-12 Back-Up Data'!B32</f>
        <v>179.2910230646951</v>
      </c>
      <c r="AB32" s="2" t="str">
        <f>'2011-12 Back-Up Data'!A32</f>
        <v>Rensselaer</v>
      </c>
      <c r="AC32" s="33">
        <f>'2011-12 Back-Up Data'!E32</f>
        <v>9400587</v>
      </c>
      <c r="AD32" s="40">
        <f>'2011-12 Back-Up Data'!E32/'2011-12 Back-Up Data'!B32</f>
        <v>281.95276086500104</v>
      </c>
      <c r="AE32" s="4">
        <f>'2011-12 Back-Up Data'!E32/'2011-12 Back-Up Data'!L32</f>
        <v>0.18625580593927524</v>
      </c>
      <c r="AF32" s="33">
        <f>'2011-12 Back-Up Data'!F32</f>
        <v>18447929</v>
      </c>
      <c r="AG32" s="40">
        <f>'2011-12 Back-Up Data'!F32/'2011-12 Back-Up Data'!B32</f>
        <v>553.3106085600311</v>
      </c>
      <c r="AH32" s="4">
        <f>'2011-12 Back-Up Data'!F32/'2011-12 Back-Up Data'!L32</f>
        <v>0.36551269445254086</v>
      </c>
      <c r="AI32" s="33">
        <f>'2011-12 Back-Up Data'!G32</f>
        <v>1384809</v>
      </c>
      <c r="AJ32" s="40">
        <f>'2011-12 Back-Up Data'!G32/'2011-12 Back-Up Data'!B32</f>
        <v>41.53471701508653</v>
      </c>
      <c r="AK32" s="4">
        <f>'2011-12 Back-Up Data'!G32/'2011-12 Back-Up Data'!L32</f>
        <v>0.02743751176037856</v>
      </c>
      <c r="AP32" s="2" t="str">
        <f>'2011-12 Back-Up Data'!A32</f>
        <v>Rensselaer</v>
      </c>
      <c r="AQ32" s="33">
        <f>'2011-12 Back-Up Data'!H32</f>
        <v>2743026</v>
      </c>
      <c r="AR32" s="40">
        <f>'2011-12 Back-Up Data'!H32/'2011-12 Back-Up Data'!B32</f>
        <v>82.27185747278126</v>
      </c>
      <c r="AS32" s="4">
        <f>'2011-12 Back-Up Data'!H32/'2011-12 Back-Up Data'!L32</f>
        <v>0.054348150635953524</v>
      </c>
      <c r="AT32" s="33">
        <f>'2011-12 Back-Up Data'!I32</f>
        <v>4433102</v>
      </c>
      <c r="AU32" s="40">
        <f>'2011-12 Back-Up Data'!I32/'2011-12 Back-Up Data'!B32</f>
        <v>132.96247862991513</v>
      </c>
      <c r="AV32" s="4">
        <f>'2011-12 Back-Up Data'!I32/'2011-12 Back-Up Data'!L32</f>
        <v>0.08783398162487226</v>
      </c>
      <c r="AW32" s="33">
        <f>'2011-12 Back-Up Data'!J32</f>
        <v>8084182</v>
      </c>
      <c r="AX32" s="40">
        <f>'2011-12 Back-Up Data'!J32/'2011-12 Back-Up Data'!B32</f>
        <v>242.4696919708467</v>
      </c>
      <c r="AY32" s="4">
        <f>'2011-12 Back-Up Data'!J32/'2011-12 Back-Up Data'!L32</f>
        <v>0.16017359700727007</v>
      </c>
    </row>
    <row r="33" spans="3:51" ht="12.75">
      <c r="C33" s="2" t="str">
        <f>'2011-12 Back-Up Data'!A33</f>
        <v>Rockland</v>
      </c>
      <c r="D33" s="33">
        <f>'2011-12 Back-Up Data'!K33</f>
        <v>80452711</v>
      </c>
      <c r="E33" s="34">
        <f>'2011-12 Back-Up Data'!K33/'2011-12 Back-Up Data'!B33</f>
        <v>1958.010927498844</v>
      </c>
      <c r="F33" s="4">
        <f>'2011-12 Back-Up Data'!K33/'2011-12 Back-Up Data'!L33</f>
        <v>0.9295354959735486</v>
      </c>
      <c r="G33" s="33">
        <f>'2011-12 Back-Up Data'!C33+'2011-12 Back-Up Data'!D33</f>
        <v>6098810</v>
      </c>
      <c r="H33" s="34">
        <f>('2011-12 Back-Up Data'!E33+'2011-12 Back-Up Data'!D33)/'2011-12 Back-Up Data'!B33</f>
        <v>172.47652656428727</v>
      </c>
      <c r="I33" s="4">
        <f>('2011-12 Back-Up Data'!C33+'2011-12 Back-Up Data'!D33)/'2011-12 Back-Up Data'!L33</f>
        <v>0.07046450402645148</v>
      </c>
      <c r="J33" s="33">
        <f>'2011-12 Back-Up Data'!L33</f>
        <v>86551521</v>
      </c>
      <c r="K33" s="34">
        <f>'2011-12 Back-Up Data'!L33/'2011-12 Back-Up Data'!B33</f>
        <v>2106.440190805325</v>
      </c>
      <c r="P33" s="2" t="str">
        <f>'2011-12 Back-Up Data'!A33</f>
        <v>Rockland</v>
      </c>
      <c r="Q33" s="33">
        <f>'2011-12 Back-Up Data'!C33</f>
        <v>4727057</v>
      </c>
      <c r="R33" s="39">
        <f>'2011-12 Back-Up Data'!C33/'2011-12 Back-Up Data'!B33</f>
        <v>115.04434276813745</v>
      </c>
      <c r="S33" s="4">
        <f>'2011-12 Back-Up Data'!C33/'2011-12 Back-Up Data'!L33</f>
        <v>0.054615527784890115</v>
      </c>
      <c r="T33" s="33">
        <f>'2011-12 Back-Up Data'!D33</f>
        <v>1371753</v>
      </c>
      <c r="U33" s="40">
        <f>'2011-12 Back-Up Data'!D33/'2011-12 Back-Up Data'!B33</f>
        <v>33.38492053834359</v>
      </c>
      <c r="V33" s="4">
        <f>'2011-12 Back-Up Data'!D33/'2011-12 Back-Up Data'!L33</f>
        <v>0.01584897624156137</v>
      </c>
      <c r="W33" s="40">
        <f>SUM('2011-12 Back-Up Data'!C33+'2011-12 Back-Up Data'!D33)/'2011-12 Back-Up Data'!B33</f>
        <v>148.42926330648106</v>
      </c>
      <c r="AB33" s="2" t="str">
        <f>'2011-12 Back-Up Data'!A33</f>
        <v>Rockland</v>
      </c>
      <c r="AC33" s="33">
        <f>'2011-12 Back-Up Data'!E33</f>
        <v>5715135</v>
      </c>
      <c r="AD33" s="40">
        <f>'2011-12 Back-Up Data'!E33/'2011-12 Back-Up Data'!B33</f>
        <v>139.0916060259437</v>
      </c>
      <c r="AE33" s="4">
        <f>'2011-12 Back-Up Data'!E33/'2011-12 Back-Up Data'!L33</f>
        <v>0.06603159521598702</v>
      </c>
      <c r="AF33" s="33">
        <f>'2011-12 Back-Up Data'!F33</f>
        <v>51500918</v>
      </c>
      <c r="AG33" s="40">
        <f>'2011-12 Back-Up Data'!F33/'2011-12 Back-Up Data'!B33</f>
        <v>1253.399157925479</v>
      </c>
      <c r="AH33" s="4">
        <f>'2011-12 Back-Up Data'!F33/'2011-12 Back-Up Data'!L33</f>
        <v>0.5950319232402629</v>
      </c>
      <c r="AI33" s="33">
        <f>'2011-12 Back-Up Data'!G33</f>
        <v>2127800</v>
      </c>
      <c r="AJ33" s="40">
        <f>'2011-12 Back-Up Data'!G33/'2011-12 Back-Up Data'!B33</f>
        <v>51.78514931003431</v>
      </c>
      <c r="AK33" s="4">
        <f>'2011-12 Back-Up Data'!G33/'2011-12 Back-Up Data'!L33</f>
        <v>0.024584201125708697</v>
      </c>
      <c r="AP33" s="2" t="str">
        <f>'2011-12 Back-Up Data'!A33</f>
        <v>Rockland</v>
      </c>
      <c r="AQ33" s="33">
        <f>'2011-12 Back-Up Data'!H33</f>
        <v>2938414</v>
      </c>
      <c r="AR33" s="40">
        <f>'2011-12 Back-Up Data'!H33/'2011-12 Back-Up Data'!B33</f>
        <v>71.51339774635547</v>
      </c>
      <c r="AS33" s="4">
        <f>'2011-12 Back-Up Data'!H33/'2011-12 Back-Up Data'!L33</f>
        <v>0.03394988286803186</v>
      </c>
      <c r="AT33" s="33">
        <f>'2011-12 Back-Up Data'!I33</f>
        <v>10268899</v>
      </c>
      <c r="AU33" s="40">
        <f>'2011-12 Back-Up Data'!I33/'2011-12 Back-Up Data'!B33</f>
        <v>249.91844532599967</v>
      </c>
      <c r="AV33" s="4">
        <f>'2011-12 Back-Up Data'!I33/'2011-12 Back-Up Data'!L33</f>
        <v>0.11864492826186152</v>
      </c>
      <c r="AW33" s="33">
        <f>'2011-12 Back-Up Data'!J33</f>
        <v>7901545</v>
      </c>
      <c r="AX33" s="40">
        <f>'2011-12 Back-Up Data'!J33/'2011-12 Back-Up Data'!B33</f>
        <v>192.303171165032</v>
      </c>
      <c r="AY33" s="4">
        <f>'2011-12 Back-Up Data'!J33/'2011-12 Back-Up Data'!L33</f>
        <v>0.09129296526169656</v>
      </c>
    </row>
    <row r="34" spans="3:51" ht="12.75">
      <c r="C34" s="2" t="str">
        <f>'2011-12 Back-Up Data'!A34</f>
        <v>Schuyler</v>
      </c>
      <c r="D34" s="33">
        <f>'2011-12 Back-Up Data'!K34</f>
        <v>75245094</v>
      </c>
      <c r="E34" s="34">
        <f>'2011-12 Back-Up Data'!K34/'2011-12 Back-Up Data'!B34</f>
        <v>2347.887356465302</v>
      </c>
      <c r="F34" s="4">
        <f>'2011-12 Back-Up Data'!K34/'2011-12 Back-Up Data'!L34</f>
        <v>0.8946704472534556</v>
      </c>
      <c r="G34" s="33">
        <f>'2011-12 Back-Up Data'!C34+'2011-12 Back-Up Data'!D34</f>
        <v>8858605</v>
      </c>
      <c r="H34" s="34">
        <f>('2011-12 Back-Up Data'!C34+'2011-12 Back-Up Data'!D34)/'2011-12 Back-Up Data'!B34</f>
        <v>276.4167810783824</v>
      </c>
      <c r="I34" s="4">
        <f>('2011-12 Back-Up Data'!C34+'2011-12 Back-Up Data'!D34)/'2011-12 Back-Up Data'!L34</f>
        <v>0.10532955274654447</v>
      </c>
      <c r="J34" s="33">
        <f>'2011-12 Back-Up Data'!L34</f>
        <v>84103699</v>
      </c>
      <c r="K34" s="34">
        <f>'2011-12 Back-Up Data'!L34/'2011-12 Back-Up Data'!B34</f>
        <v>2624.3041375436846</v>
      </c>
      <c r="P34" s="2" t="str">
        <f>'2011-12 Back-Up Data'!A34</f>
        <v>Schuyler</v>
      </c>
      <c r="Q34" s="33">
        <f>'2011-12 Back-Up Data'!C34</f>
        <v>6548377</v>
      </c>
      <c r="R34" s="39">
        <f>'2011-12 Back-Up Data'!C34/'2011-12 Back-Up Data'!B34</f>
        <v>204.3302858212681</v>
      </c>
      <c r="S34" s="4">
        <f>'2011-12 Back-Up Data'!C34/'2011-12 Back-Up Data'!L34</f>
        <v>0.07786074902603272</v>
      </c>
      <c r="T34" s="33">
        <f>'2011-12 Back-Up Data'!D34</f>
        <v>2310228</v>
      </c>
      <c r="U34" s="40">
        <f>'2011-12 Back-Up Data'!D34/'2011-12 Back-Up Data'!B34</f>
        <v>72.08649525711432</v>
      </c>
      <c r="V34" s="4">
        <f>'2011-12 Back-Up Data'!D34/'2011-12 Back-Up Data'!L34</f>
        <v>0.027468803720511747</v>
      </c>
      <c r="W34" s="40">
        <f>SUM('2011-12 Back-Up Data'!C34+'2011-12 Back-Up Data'!D34)/'2011-12 Back-Up Data'!B34</f>
        <v>276.4167810783824</v>
      </c>
      <c r="AB34" s="2" t="str">
        <f>'2011-12 Back-Up Data'!A34</f>
        <v>Schuyler</v>
      </c>
      <c r="AC34" s="33">
        <f>'2011-12 Back-Up Data'!E34</f>
        <v>14713098</v>
      </c>
      <c r="AD34" s="40">
        <f>'2011-12 Back-Up Data'!E34/'2011-12 Back-Up Data'!B34</f>
        <v>459.09566899650525</v>
      </c>
      <c r="AE34" s="4">
        <f>'2011-12 Back-Up Data'!E34/'2011-12 Back-Up Data'!L34</f>
        <v>0.17493996310435764</v>
      </c>
      <c r="AF34" s="33">
        <f>'2011-12 Back-Up Data'!F34</f>
        <v>21161082</v>
      </c>
      <c r="AG34" s="40">
        <f>'2011-12 Back-Up Data'!F34/'2011-12 Back-Up Data'!B34</f>
        <v>660.293372441338</v>
      </c>
      <c r="AH34" s="4">
        <f>'2011-12 Back-Up Data'!F34/'2011-12 Back-Up Data'!L34</f>
        <v>0.2516070309820737</v>
      </c>
      <c r="AI34" s="33">
        <f>'2011-12 Back-Up Data'!G34</f>
        <v>3972370</v>
      </c>
      <c r="AJ34" s="40">
        <f>'2011-12 Back-Up Data'!G34/'2011-12 Back-Up Data'!B34</f>
        <v>123.95063654518222</v>
      </c>
      <c r="AK34" s="4">
        <f>'2011-12 Back-Up Data'!G34/'2011-12 Back-Up Data'!L34</f>
        <v>0.04723181081488461</v>
      </c>
      <c r="AP34" s="2" t="str">
        <f>'2011-12 Back-Up Data'!A34</f>
        <v>Schuyler</v>
      </c>
      <c r="AQ34" s="33">
        <f>'2011-12 Back-Up Data'!H34</f>
        <v>4315670</v>
      </c>
      <c r="AR34" s="40">
        <f>'2011-12 Back-Up Data'!H34/'2011-12 Back-Up Data'!B34</f>
        <v>134.66269345981027</v>
      </c>
      <c r="AS34" s="4">
        <f>'2011-12 Back-Up Data'!H34/'2011-12 Back-Up Data'!L34</f>
        <v>0.051313676465050605</v>
      </c>
      <c r="AT34" s="33">
        <f>'2011-12 Back-Up Data'!I34</f>
        <v>10274355</v>
      </c>
      <c r="AU34" s="40">
        <f>'2011-12 Back-Up Data'!I34/'2011-12 Back-Up Data'!B34</f>
        <v>320.5927046929606</v>
      </c>
      <c r="AV34" s="4">
        <f>'2011-12 Back-Up Data'!I34/'2011-12 Back-Up Data'!L34</f>
        <v>0.1221629383982267</v>
      </c>
      <c r="AW34" s="33">
        <f>'2011-12 Back-Up Data'!J34</f>
        <v>20808519</v>
      </c>
      <c r="AX34" s="40">
        <f>'2011-12 Back-Up Data'!J34/'2011-12 Back-Up Data'!B34</f>
        <v>649.2922803295057</v>
      </c>
      <c r="AY34" s="4">
        <f>'2011-12 Back-Up Data'!J34/'2011-12 Back-Up Data'!L34</f>
        <v>0.2474150274888623</v>
      </c>
    </row>
    <row r="35" spans="3:51" ht="12.75">
      <c r="C35" s="2" t="str">
        <f>'2011-12 Back-Up Data'!A35</f>
        <v>St. Lawrence</v>
      </c>
      <c r="D35" s="33">
        <f>'2011-12 Back-Up Data'!K35</f>
        <v>38579497</v>
      </c>
      <c r="E35" s="34">
        <f>'2011-12 Back-Up Data'!K35/'2011-12 Back-Up Data'!B35</f>
        <v>2464.9860711775605</v>
      </c>
      <c r="F35" s="4">
        <f>'2011-12 Back-Up Data'!K35/'2011-12 Back-Up Data'!L35</f>
        <v>0.8750010262911525</v>
      </c>
      <c r="G35" s="33">
        <f>'2011-12 Back-Up Data'!C35+'2011-12 Back-Up Data'!D35</f>
        <v>5511305</v>
      </c>
      <c r="H35" s="34">
        <f>('2011-12 Back-Up Data'!C35+'2011-12 Back-Up Data'!D35)/'2011-12 Back-Up Data'!B35</f>
        <v>352.1375630950099</v>
      </c>
      <c r="I35" s="4">
        <f>('2011-12 Back-Up Data'!C35+'2011-12 Back-Up Data'!D35)/'2011-12 Back-Up Data'!L35</f>
        <v>0.12499897370884748</v>
      </c>
      <c r="J35" s="33">
        <f>'2011-12 Back-Up Data'!L35</f>
        <v>44090802</v>
      </c>
      <c r="K35" s="34">
        <f>'2011-12 Back-Up Data'!L35/'2011-12 Back-Up Data'!B35</f>
        <v>2817.1236342725706</v>
      </c>
      <c r="P35" s="2" t="str">
        <f>'2011-12 Back-Up Data'!A35</f>
        <v>St. Lawrence</v>
      </c>
      <c r="Q35" s="33">
        <f>'2011-12 Back-Up Data'!C35</f>
        <v>3675155</v>
      </c>
      <c r="R35" s="39">
        <f>'2011-12 Back-Up Data'!C35/'2011-12 Back-Up Data'!B35</f>
        <v>234.81918088301066</v>
      </c>
      <c r="S35" s="4">
        <f>'2011-12 Back-Up Data'!C35/'2011-12 Back-Up Data'!L35</f>
        <v>0.08335423338409675</v>
      </c>
      <c r="T35" s="33">
        <f>'2011-12 Back-Up Data'!D35</f>
        <v>1836150</v>
      </c>
      <c r="U35" s="40">
        <f>'2011-12 Back-Up Data'!D35/'2011-12 Back-Up Data'!B35</f>
        <v>117.31838221199924</v>
      </c>
      <c r="V35" s="4">
        <f>'2011-12 Back-Up Data'!D35/'2011-12 Back-Up Data'!L35</f>
        <v>0.041644740324750726</v>
      </c>
      <c r="W35" s="40">
        <f>SUM('2011-12 Back-Up Data'!C35+'2011-12 Back-Up Data'!D35)/'2011-12 Back-Up Data'!B35</f>
        <v>352.1375630950099</v>
      </c>
      <c r="AB35" s="2" t="str">
        <f>'2011-12 Back-Up Data'!A35</f>
        <v>St. Lawrence</v>
      </c>
      <c r="AC35" s="33">
        <f>'2011-12 Back-Up Data'!E35</f>
        <v>8103186</v>
      </c>
      <c r="AD35" s="40">
        <f>'2011-12 Back-Up Data'!E35/'2011-12 Back-Up Data'!B35</f>
        <v>517.742380678551</v>
      </c>
      <c r="AE35" s="4">
        <f>'2011-12 Back-Up Data'!E35/'2011-12 Back-Up Data'!L35</f>
        <v>0.18378404638681783</v>
      </c>
      <c r="AF35" s="33">
        <f>'2011-12 Back-Up Data'!F35</f>
        <v>12247370</v>
      </c>
      <c r="AG35" s="40">
        <f>'2011-12 Back-Up Data'!F35/'2011-12 Back-Up Data'!B35</f>
        <v>782.5295508274231</v>
      </c>
      <c r="AH35" s="4">
        <f>'2011-12 Back-Up Data'!F35/'2011-12 Back-Up Data'!L35</f>
        <v>0.27777607674271837</v>
      </c>
      <c r="AI35" s="33">
        <f>'2011-12 Back-Up Data'!G35</f>
        <v>3472720</v>
      </c>
      <c r="AJ35" s="40">
        <f>'2011-12 Back-Up Data'!G35/'2011-12 Back-Up Data'!B35</f>
        <v>221.88486358699126</v>
      </c>
      <c r="AK35" s="4">
        <f>'2011-12 Back-Up Data'!G35/'2011-12 Back-Up Data'!L35</f>
        <v>0.07876291295404425</v>
      </c>
      <c r="AP35" s="2" t="str">
        <f>'2011-12 Back-Up Data'!A35</f>
        <v>St. Lawrence</v>
      </c>
      <c r="AQ35" s="33">
        <f>'2011-12 Back-Up Data'!H35</f>
        <v>2628612</v>
      </c>
      <c r="AR35" s="40">
        <f>'2011-12 Back-Up Data'!H35/'2011-12 Back-Up Data'!B35</f>
        <v>167.9516963772283</v>
      </c>
      <c r="AS35" s="4">
        <f>'2011-12 Back-Up Data'!H35/'2011-12 Back-Up Data'!L35</f>
        <v>0.05961814892820502</v>
      </c>
      <c r="AT35" s="33">
        <f>'2011-12 Back-Up Data'!I35</f>
        <v>5478197</v>
      </c>
      <c r="AU35" s="40">
        <f>'2011-12 Back-Up Data'!I35/'2011-12 Back-Up Data'!B35</f>
        <v>350.0221711072775</v>
      </c>
      <c r="AV35" s="4">
        <f>'2011-12 Back-Up Data'!I35/'2011-12 Back-Up Data'!L35</f>
        <v>0.12424806879221657</v>
      </c>
      <c r="AW35" s="33">
        <f>'2011-12 Back-Up Data'!J35</f>
        <v>6649412</v>
      </c>
      <c r="AX35" s="40">
        <f>'2011-12 Back-Up Data'!J35/'2011-12 Back-Up Data'!B35</f>
        <v>424.85540860008945</v>
      </c>
      <c r="AY35" s="4">
        <f>'2011-12 Back-Up Data'!J35/'2011-12 Back-Up Data'!L35</f>
        <v>0.1508117724871505</v>
      </c>
    </row>
    <row r="36" spans="3:51" ht="12.75">
      <c r="C36" s="2" t="str">
        <f>'2011-12 Back-Up Data'!A36</f>
        <v>Suffolk 1</v>
      </c>
      <c r="D36" s="33">
        <f>'2011-12 Back-Up Data'!K36</f>
        <v>260788511</v>
      </c>
      <c r="E36" s="34">
        <f>'2011-12 Back-Up Data'!K36/'2011-12 Back-Up Data'!B36</f>
        <v>1594.7734074495343</v>
      </c>
      <c r="F36" s="4">
        <f>'2011-12 Back-Up Data'!K36/'2011-12 Back-Up Data'!L36</f>
        <v>0.8783426984125647</v>
      </c>
      <c r="G36" s="33">
        <f>'2011-12 Back-Up Data'!C36+'2011-12 Back-Up Data'!D36</f>
        <v>36121239</v>
      </c>
      <c r="H36" s="34">
        <f>('2011-12 Back-Up Data'!C36+'2011-12 Back-Up Data'!D36)/'2011-12 Back-Up Data'!B36</f>
        <v>220.8885321689996</v>
      </c>
      <c r="I36" s="4">
        <f>('2011-12 Back-Up Data'!C36+'2011-12 Back-Up Data'!D36)/'2011-12 Back-Up Data'!L36</f>
        <v>0.12165730158743523</v>
      </c>
      <c r="J36" s="33">
        <f>'2011-12 Back-Up Data'!L36</f>
        <v>296909750</v>
      </c>
      <c r="K36" s="34">
        <f>'2011-12 Back-Up Data'!L36/'2011-12 Back-Up Data'!B36</f>
        <v>1815.661939618534</v>
      </c>
      <c r="P36" s="2" t="str">
        <f>'2011-12 Back-Up Data'!A36</f>
        <v>Suffolk 1</v>
      </c>
      <c r="Q36" s="33">
        <f>'2011-12 Back-Up Data'!C36</f>
        <v>28782128</v>
      </c>
      <c r="R36" s="39">
        <f>'2011-12 Back-Up Data'!C36/'2011-12 Back-Up Data'!B36</f>
        <v>176.00841451258813</v>
      </c>
      <c r="S36" s="4">
        <f>'2011-12 Back-Up Data'!C36/'2011-12 Back-Up Data'!L36</f>
        <v>0.09693897893215025</v>
      </c>
      <c r="T36" s="33">
        <f>'2011-12 Back-Up Data'!D36</f>
        <v>7339111</v>
      </c>
      <c r="U36" s="40">
        <f>'2011-12 Back-Up Data'!D36/'2011-12 Back-Up Data'!B36</f>
        <v>44.88011765641148</v>
      </c>
      <c r="V36" s="4">
        <f>'2011-12 Back-Up Data'!D36/'2011-12 Back-Up Data'!L36</f>
        <v>0.02471832265528498</v>
      </c>
      <c r="W36" s="40">
        <f>SUM('2011-12 Back-Up Data'!C36+'2011-12 Back-Up Data'!D36)/'2011-12 Back-Up Data'!B36</f>
        <v>220.8885321689996</v>
      </c>
      <c r="AB36" s="2" t="str">
        <f>'2011-12 Back-Up Data'!A36</f>
        <v>Suffolk 1</v>
      </c>
      <c r="AC36" s="33">
        <f>'2011-12 Back-Up Data'!E36</f>
        <v>31963898</v>
      </c>
      <c r="AD36" s="40">
        <f>'2011-12 Back-Up Data'!E36/'2011-12 Back-Up Data'!B36</f>
        <v>195.46556837708758</v>
      </c>
      <c r="AE36" s="4">
        <f>'2011-12 Back-Up Data'!E36/'2011-12 Back-Up Data'!L36</f>
        <v>0.10765526561522483</v>
      </c>
      <c r="AF36" s="33">
        <f>'2011-12 Back-Up Data'!F36</f>
        <v>126746467</v>
      </c>
      <c r="AG36" s="40">
        <f>'2011-12 Back-Up Data'!F36/'2011-12 Back-Up Data'!B36</f>
        <v>775.0797544136442</v>
      </c>
      <c r="AH36" s="4">
        <f>'2011-12 Back-Up Data'!F36/'2011-12 Back-Up Data'!L36</f>
        <v>0.42688549971834877</v>
      </c>
      <c r="AI36" s="33">
        <f>'2011-12 Back-Up Data'!G36</f>
        <v>6383102</v>
      </c>
      <c r="AJ36" s="40">
        <f>'2011-12 Back-Up Data'!G36/'2011-12 Back-Up Data'!B36</f>
        <v>39.033933234267124</v>
      </c>
      <c r="AK36" s="4">
        <f>'2011-12 Back-Up Data'!G36/'2011-12 Back-Up Data'!L36</f>
        <v>0.021498458706728223</v>
      </c>
      <c r="AP36" s="2" t="str">
        <f>'2011-12 Back-Up Data'!A36</f>
        <v>Suffolk 1</v>
      </c>
      <c r="AQ36" s="33">
        <f>'2011-12 Back-Up Data'!H36</f>
        <v>11173229</v>
      </c>
      <c r="AR36" s="40">
        <f>'2011-12 Back-Up Data'!H36/'2011-12 Back-Up Data'!B36</f>
        <v>68.32650877225167</v>
      </c>
      <c r="AS36" s="4">
        <f>'2011-12 Back-Up Data'!H36/'2011-12 Back-Up Data'!L36</f>
        <v>0.037631734895873244</v>
      </c>
      <c r="AT36" s="33">
        <f>'2011-12 Back-Up Data'!I36</f>
        <v>22512153</v>
      </c>
      <c r="AU36" s="40">
        <f>'2011-12 Back-Up Data'!I36/'2011-12 Back-Up Data'!B36</f>
        <v>137.66627529398815</v>
      </c>
      <c r="AV36" s="4">
        <f>'2011-12 Back-Up Data'!I36/'2011-12 Back-Up Data'!L36</f>
        <v>0.07582153499506163</v>
      </c>
      <c r="AW36" s="33">
        <f>'2011-12 Back-Up Data'!J36</f>
        <v>62009662</v>
      </c>
      <c r="AX36" s="40">
        <f>'2011-12 Back-Up Data'!J36/'2011-12 Back-Up Data'!B36</f>
        <v>379.20136735829556</v>
      </c>
      <c r="AY36" s="4">
        <f>'2011-12 Back-Up Data'!J36/'2011-12 Back-Up Data'!L36</f>
        <v>0.20885020448132807</v>
      </c>
    </row>
    <row r="37" spans="3:51" ht="12.75">
      <c r="C37" s="2" t="str">
        <f>'2011-12 Back-Up Data'!A37</f>
        <v>Suffolk 2</v>
      </c>
      <c r="D37" s="33">
        <f>'2011-12 Back-Up Data'!K37</f>
        <v>137593046</v>
      </c>
      <c r="E37" s="34">
        <f>'2011-12 Back-Up Data'!K37/'2011-12 Back-Up Data'!B37</f>
        <v>1551.3755172452672</v>
      </c>
      <c r="F37" s="4">
        <f>'2011-12 Back-Up Data'!K37/'2011-12 Back-Up Data'!L37</f>
        <v>0.9055355129884969</v>
      </c>
      <c r="G37" s="33">
        <f>'2011-12 Back-Up Data'!C37+'2011-12 Back-Up Data'!D37</f>
        <v>14353558</v>
      </c>
      <c r="H37" s="34">
        <f>('2011-12 Back-Up Data'!C37+'2011-12 Back-Up Data'!D37)/'2011-12 Back-Up Data'!B37</f>
        <v>161.83781894442504</v>
      </c>
      <c r="I37" s="4">
        <f>('2011-12 Back-Up Data'!C37+'2011-12 Back-Up Data'!D37)/'2011-12 Back-Up Data'!L37</f>
        <v>0.09446448701150306</v>
      </c>
      <c r="J37" s="33">
        <f>'2011-12 Back-Up Data'!L37</f>
        <v>151946604</v>
      </c>
      <c r="K37" s="34">
        <f>'2011-12 Back-Up Data'!L37/'2011-12 Back-Up Data'!B37</f>
        <v>1713.2133361896922</v>
      </c>
      <c r="P37" s="2" t="str">
        <f>'2011-12 Back-Up Data'!A37</f>
        <v>Suffolk 2</v>
      </c>
      <c r="Q37" s="33">
        <f>'2011-12 Back-Up Data'!C37</f>
        <v>11152558</v>
      </c>
      <c r="R37" s="39">
        <f>'2011-12 Back-Up Data'!C37/'2011-12 Back-Up Data'!B37</f>
        <v>125.7462200223247</v>
      </c>
      <c r="S37" s="4">
        <f>'2011-12 Back-Up Data'!C37/'2011-12 Back-Up Data'!L37</f>
        <v>0.07339787600649501</v>
      </c>
      <c r="T37" s="33">
        <f>'2011-12 Back-Up Data'!D37</f>
        <v>3201000</v>
      </c>
      <c r="U37" s="40">
        <f>'2011-12 Back-Up Data'!D37/'2011-12 Back-Up Data'!B37</f>
        <v>36.091598922100324</v>
      </c>
      <c r="V37" s="4">
        <f>'2011-12 Back-Up Data'!D37/'2011-12 Back-Up Data'!L37</f>
        <v>0.02106661100500805</v>
      </c>
      <c r="W37" s="40">
        <f>SUM('2011-12 Back-Up Data'!C37+'2011-12 Back-Up Data'!D37)/'2011-12 Back-Up Data'!B37</f>
        <v>161.83781894442504</v>
      </c>
      <c r="AB37" s="2" t="str">
        <f>'2011-12 Back-Up Data'!A37</f>
        <v>Suffolk 2</v>
      </c>
      <c r="AC37" s="33">
        <f>'2011-12 Back-Up Data'!E37</f>
        <v>28110487</v>
      </c>
      <c r="AD37" s="40">
        <f>'2011-12 Back-Up Data'!E37/'2011-12 Back-Up Data'!B37</f>
        <v>316.9485855385552</v>
      </c>
      <c r="AE37" s="4">
        <f>'2011-12 Back-Up Data'!E37/'2011-12 Back-Up Data'!L37</f>
        <v>0.1850024038707703</v>
      </c>
      <c r="AF37" s="33">
        <f>'2011-12 Back-Up Data'!F37</f>
        <v>79321968</v>
      </c>
      <c r="AG37" s="40">
        <f>'2011-12 Back-Up Data'!F37/'2011-12 Back-Up Data'!B37</f>
        <v>894.3632161098645</v>
      </c>
      <c r="AH37" s="4">
        <f>'2011-12 Back-Up Data'!F37/'2011-12 Back-Up Data'!L37</f>
        <v>0.5220384392401426</v>
      </c>
      <c r="AI37" s="33">
        <f>'2011-12 Back-Up Data'!G37</f>
        <v>877575</v>
      </c>
      <c r="AJ37" s="40">
        <f>'2011-12 Back-Up Data'!G37/'2011-12 Back-Up Data'!B37</f>
        <v>9.8947469303537</v>
      </c>
      <c r="AK37" s="4">
        <f>'2011-12 Back-Up Data'!G37/'2011-12 Back-Up Data'!L37</f>
        <v>0.005775548626279268</v>
      </c>
      <c r="AP37" s="2" t="str">
        <f>'2011-12 Back-Up Data'!A37</f>
        <v>Suffolk 2</v>
      </c>
      <c r="AQ37" s="33">
        <f>'2011-12 Back-Up Data'!H37</f>
        <v>7265375</v>
      </c>
      <c r="AR37" s="40">
        <f>'2011-12 Back-Up Data'!H37/'2011-12 Back-Up Data'!B37</f>
        <v>81.91783833759908</v>
      </c>
      <c r="AS37" s="4">
        <f>'2011-12 Back-Up Data'!H37/'2011-12 Back-Up Data'!L37</f>
        <v>0.047815316754298766</v>
      </c>
      <c r="AT37" s="33">
        <f>'2011-12 Back-Up Data'!I37</f>
        <v>15803673</v>
      </c>
      <c r="AU37" s="40">
        <f>'2011-12 Back-Up Data'!I37/'2011-12 Back-Up Data'!B37</f>
        <v>178.1880123124105</v>
      </c>
      <c r="AV37" s="4">
        <f>'2011-12 Back-Up Data'!I37/'2011-12 Back-Up Data'!L37</f>
        <v>0.10400806983484803</v>
      </c>
      <c r="AW37" s="33">
        <f>'2011-12 Back-Up Data'!J37</f>
        <v>6213968</v>
      </c>
      <c r="AX37" s="40">
        <f>'2011-12 Back-Up Data'!J37/'2011-12 Back-Up Data'!B37</f>
        <v>70.0631180164842</v>
      </c>
      <c r="AY37" s="4">
        <f>'2011-12 Back-Up Data'!J37/'2011-12 Back-Up Data'!L37</f>
        <v>0.04089573466215803</v>
      </c>
    </row>
    <row r="38" spans="3:51" ht="12.75">
      <c r="C38" s="2" t="str">
        <f>'2011-12 Back-Up Data'!A38</f>
        <v>Sullivan</v>
      </c>
      <c r="D38" s="33">
        <f>'2011-12 Back-Up Data'!K38</f>
        <v>24590371</v>
      </c>
      <c r="E38" s="34">
        <f>'2011-12 Back-Up Data'!K38/'2011-12 Back-Up Data'!B38</f>
        <v>2320.722064930162</v>
      </c>
      <c r="F38" s="4">
        <f>'2011-12 Back-Up Data'!K38/'2011-12 Back-Up Data'!L38</f>
        <v>0.8773655553905986</v>
      </c>
      <c r="G38" s="33">
        <f>'2011-12 Back-Up Data'!C38+'2011-12 Back-Up Data'!D38</f>
        <v>3437138</v>
      </c>
      <c r="H38" s="34">
        <f>('2011-12 Back-Up Data'!C38+'2011-12 Back-Up Data'!D38)/'2011-12 Back-Up Data'!B38</f>
        <v>324.38070970177426</v>
      </c>
      <c r="I38" s="4">
        <f>('2011-12 Back-Up Data'!C38+'2011-12 Back-Up Data'!D38)/'2011-12 Back-Up Data'!L38</f>
        <v>0.12263444460940143</v>
      </c>
      <c r="J38" s="33">
        <f>'2011-12 Back-Up Data'!L38</f>
        <v>28027509</v>
      </c>
      <c r="K38" s="34">
        <f>'2011-12 Back-Up Data'!L38/'2011-12 Back-Up Data'!B38</f>
        <v>2645.1027746319364</v>
      </c>
      <c r="P38" s="2" t="str">
        <f>'2011-12 Back-Up Data'!A38</f>
        <v>Sullivan</v>
      </c>
      <c r="Q38" s="33">
        <f>'2011-12 Back-Up Data'!C38</f>
        <v>2259005</v>
      </c>
      <c r="R38" s="39">
        <f>'2011-12 Back-Up Data'!C38/'2011-12 Back-Up Data'!B38</f>
        <v>213.19412986032464</v>
      </c>
      <c r="S38" s="4">
        <f>'2011-12 Back-Up Data'!C38/'2011-12 Back-Up Data'!L38</f>
        <v>0.08059956380711536</v>
      </c>
      <c r="T38" s="33">
        <f>'2011-12 Back-Up Data'!D38</f>
        <v>1178133</v>
      </c>
      <c r="U38" s="40">
        <f>'2011-12 Back-Up Data'!D38/'2011-12 Back-Up Data'!B38</f>
        <v>111.1865798414496</v>
      </c>
      <c r="V38" s="4">
        <f>'2011-12 Back-Up Data'!D38/'2011-12 Back-Up Data'!L38</f>
        <v>0.04203488080228607</v>
      </c>
      <c r="W38" s="40">
        <f>SUM('2011-12 Back-Up Data'!C38+'2011-12 Back-Up Data'!D38)/'2011-12 Back-Up Data'!B38</f>
        <v>324.38070970177426</v>
      </c>
      <c r="AB38" s="2" t="str">
        <f>'2011-12 Back-Up Data'!A38</f>
        <v>Sullivan</v>
      </c>
      <c r="AC38" s="33">
        <f>'2011-12 Back-Up Data'!E38</f>
        <v>5347882</v>
      </c>
      <c r="AD38" s="40">
        <f>'2011-12 Back-Up Data'!E38/'2011-12 Back-Up Data'!B38</f>
        <v>504.7076255190638</v>
      </c>
      <c r="AE38" s="4">
        <f>'2011-12 Back-Up Data'!E38/'2011-12 Back-Up Data'!L38</f>
        <v>0.19080832335117617</v>
      </c>
      <c r="AF38" s="33">
        <f>'2011-12 Back-Up Data'!F38</f>
        <v>13316990</v>
      </c>
      <c r="AG38" s="40">
        <f>'2011-12 Back-Up Data'!F38/'2011-12 Back-Up Data'!B38</f>
        <v>1256.794073235183</v>
      </c>
      <c r="AH38" s="4">
        <f>'2011-12 Back-Up Data'!F38/'2011-12 Back-Up Data'!L38</f>
        <v>0.47513997765552407</v>
      </c>
      <c r="AI38" s="33">
        <f>'2011-12 Back-Up Data'!G38</f>
        <v>905967</v>
      </c>
      <c r="AJ38" s="40">
        <f>'2011-12 Back-Up Data'!G38/'2011-12 Back-Up Data'!B38</f>
        <v>85.50084937712344</v>
      </c>
      <c r="AK38" s="4">
        <f>'2011-12 Back-Up Data'!G38/'2011-12 Back-Up Data'!L38</f>
        <v>0.03232420690686425</v>
      </c>
      <c r="AP38" s="2" t="str">
        <f>'2011-12 Back-Up Data'!A38</f>
        <v>Sullivan</v>
      </c>
      <c r="AQ38" s="33">
        <f>'2011-12 Back-Up Data'!H38</f>
        <v>2665861</v>
      </c>
      <c r="AR38" s="40">
        <f>'2011-12 Back-Up Data'!H38/'2011-12 Back-Up Data'!B38</f>
        <v>251.59126085315214</v>
      </c>
      <c r="AS38" s="4">
        <f>'2011-12 Back-Up Data'!H38/'2011-12 Back-Up Data'!L38</f>
        <v>0.09511587347987294</v>
      </c>
      <c r="AT38" s="33">
        <f>'2011-12 Back-Up Data'!I38</f>
        <v>1008791</v>
      </c>
      <c r="AU38" s="40">
        <f>'2011-12 Back-Up Data'!I38/'2011-12 Back-Up Data'!B38</f>
        <v>95.20488863722159</v>
      </c>
      <c r="AV38" s="4">
        <f>'2011-12 Back-Up Data'!I38/'2011-12 Back-Up Data'!L38</f>
        <v>0.03599288827273234</v>
      </c>
      <c r="AW38" s="33">
        <f>'2011-12 Back-Up Data'!J38</f>
        <v>1344880</v>
      </c>
      <c r="AX38" s="40">
        <f>'2011-12 Back-Up Data'!J38/'2011-12 Back-Up Data'!B38</f>
        <v>126.92336730841826</v>
      </c>
      <c r="AY38" s="4">
        <f>'2011-12 Back-Up Data'!J38/'2011-12 Back-Up Data'!L38</f>
        <v>0.04798428572442881</v>
      </c>
    </row>
    <row r="39" spans="3:51" ht="12.75">
      <c r="C39" s="2" t="str">
        <f>'2011-12 Back-Up Data'!A39</f>
        <v>Tompkins</v>
      </c>
      <c r="D39" s="33">
        <f>'2011-12 Back-Up Data'!K39</f>
        <v>28785613</v>
      </c>
      <c r="E39" s="34">
        <f>'2011-12 Back-Up Data'!K39/'2011-12 Back-Up Data'!B39</f>
        <v>2256.6331922232675</v>
      </c>
      <c r="F39" s="4">
        <f>'2011-12 Back-Up Data'!K39/'2011-12 Back-Up Data'!L39</f>
        <v>0.8849375160110025</v>
      </c>
      <c r="G39" s="33">
        <f>'2011-12 Back-Up Data'!C39+'2011-12 Back-Up Data'!D39</f>
        <v>3742800</v>
      </c>
      <c r="H39" s="34">
        <f>('2011-12 Back-Up Data'!C39+'2011-12 Back-Up Data'!D39)/'2011-12 Back-Up Data'!B39</f>
        <v>293.414863593603</v>
      </c>
      <c r="I39" s="4">
        <f>('2011-12 Back-Up Data'!C39+'2011-12 Back-Up Data'!D39)/'2011-12 Back-Up Data'!L39</f>
        <v>0.11506248398899756</v>
      </c>
      <c r="J39" s="33">
        <f>'2011-12 Back-Up Data'!L39</f>
        <v>32528413</v>
      </c>
      <c r="K39" s="34">
        <f>'2011-12 Back-Up Data'!L39/'2011-12 Back-Up Data'!B39</f>
        <v>2550.0480558168706</v>
      </c>
      <c r="P39" s="2" t="str">
        <f>'2011-12 Back-Up Data'!A39</f>
        <v>Tompkins</v>
      </c>
      <c r="Q39" s="33">
        <f>'2011-12 Back-Up Data'!C39</f>
        <v>3159282</v>
      </c>
      <c r="R39" s="39">
        <f>'2011-12 Back-Up Data'!C39/'2011-12 Back-Up Data'!B39</f>
        <v>247.67027281279397</v>
      </c>
      <c r="S39" s="4">
        <f>'2011-12 Back-Up Data'!C39/'2011-12 Back-Up Data'!L39</f>
        <v>0.09712376684346698</v>
      </c>
      <c r="T39" s="33">
        <f>'2011-12 Back-Up Data'!D39</f>
        <v>583518</v>
      </c>
      <c r="U39" s="40">
        <f>'2011-12 Back-Up Data'!D39/'2011-12 Back-Up Data'!B39</f>
        <v>45.744590780809034</v>
      </c>
      <c r="V39" s="4">
        <f>'2011-12 Back-Up Data'!D39/'2011-12 Back-Up Data'!L39</f>
        <v>0.017938717145530587</v>
      </c>
      <c r="W39" s="40">
        <f>SUM('2011-12 Back-Up Data'!C39+'2011-12 Back-Up Data'!D39)/'2011-12 Back-Up Data'!B39</f>
        <v>293.414863593603</v>
      </c>
      <c r="AB39" s="2" t="str">
        <f>'2011-12 Back-Up Data'!A39</f>
        <v>Tompkins</v>
      </c>
      <c r="AC39" s="33">
        <f>'2011-12 Back-Up Data'!E39</f>
        <v>4808616</v>
      </c>
      <c r="AD39" s="40">
        <f>'2011-12 Back-Up Data'!E39/'2011-12 Back-Up Data'!B39</f>
        <v>376.9689557855127</v>
      </c>
      <c r="AE39" s="4">
        <f>'2011-12 Back-Up Data'!E39/'2011-12 Back-Up Data'!L39</f>
        <v>0.14782817716929503</v>
      </c>
      <c r="AF39" s="33">
        <f>'2011-12 Back-Up Data'!F39</f>
        <v>9373458</v>
      </c>
      <c r="AG39" s="40">
        <f>'2011-12 Back-Up Data'!F39/'2011-12 Back-Up Data'!B39</f>
        <v>734.8273753527752</v>
      </c>
      <c r="AH39" s="4">
        <f>'2011-12 Back-Up Data'!F39/'2011-12 Back-Up Data'!L39</f>
        <v>0.28816216764094826</v>
      </c>
      <c r="AI39" s="33">
        <f>'2011-12 Back-Up Data'!G39</f>
        <v>1934063</v>
      </c>
      <c r="AJ39" s="40">
        <f>'2011-12 Back-Up Data'!G39/'2011-12 Back-Up Data'!B39</f>
        <v>151.61986516149264</v>
      </c>
      <c r="AK39" s="4">
        <f>'2011-12 Back-Up Data'!G39/'2011-12 Back-Up Data'!L39</f>
        <v>0.059457650147272785</v>
      </c>
      <c r="AP39" s="2" t="str">
        <f>'2011-12 Back-Up Data'!A39</f>
        <v>Tompkins</v>
      </c>
      <c r="AQ39" s="33">
        <f>'2011-12 Back-Up Data'!H39</f>
        <v>2535017</v>
      </c>
      <c r="AR39" s="40">
        <f>'2011-12 Back-Up Data'!H39/'2011-12 Back-Up Data'!B39</f>
        <v>198.7313421135152</v>
      </c>
      <c r="AS39" s="4">
        <f>'2011-12 Back-Up Data'!H39/'2011-12 Back-Up Data'!L39</f>
        <v>0.07793239098384541</v>
      </c>
      <c r="AT39" s="33">
        <f>'2011-12 Back-Up Data'!I39</f>
        <v>4349911</v>
      </c>
      <c r="AU39" s="40">
        <f>'2011-12 Back-Up Data'!I39/'2011-12 Back-Up Data'!B39</f>
        <v>341.0090153653183</v>
      </c>
      <c r="AV39" s="4">
        <f>'2011-12 Back-Up Data'!I39/'2011-12 Back-Up Data'!L39</f>
        <v>0.1337265055015134</v>
      </c>
      <c r="AW39" s="33">
        <f>'2011-12 Back-Up Data'!J39</f>
        <v>5784548</v>
      </c>
      <c r="AX39" s="40">
        <f>'2011-12 Back-Up Data'!J39/'2011-12 Back-Up Data'!B39</f>
        <v>453.4766384446535</v>
      </c>
      <c r="AY39" s="4">
        <f>'2011-12 Back-Up Data'!J39/'2011-12 Back-Up Data'!L39</f>
        <v>0.17783062456812757</v>
      </c>
    </row>
    <row r="40" spans="3:51" ht="12.75">
      <c r="C40" s="2" t="str">
        <f>'2011-12 Back-Up Data'!A40</f>
        <v>Ulster</v>
      </c>
      <c r="D40" s="33">
        <f>'2011-12 Back-Up Data'!K40</f>
        <v>46032147</v>
      </c>
      <c r="E40" s="34">
        <f>'2011-12 Back-Up Data'!K40/'2011-12 Back-Up Data'!B40</f>
        <v>2015.3297578915108</v>
      </c>
      <c r="F40" s="4">
        <f>'2011-12 Back-Up Data'!K40/'2011-12 Back-Up Data'!L40</f>
        <v>0.9290763143576345</v>
      </c>
      <c r="G40" s="33">
        <f>'2011-12 Back-Up Data'!C40+'2011-12 Back-Up Data'!D40</f>
        <v>3513995</v>
      </c>
      <c r="H40" s="34">
        <f>('2011-12 Back-Up Data'!C40+'2011-12 Back-Up Data'!D40)/'2011-12 Back-Up Data'!B40</f>
        <v>153.84593494155249</v>
      </c>
      <c r="I40" s="4">
        <f>('2011-12 Back-Up Data'!C40+'2011-12 Back-Up Data'!D40)/'2011-12 Back-Up Data'!L40</f>
        <v>0.07092368564236545</v>
      </c>
      <c r="J40" s="33">
        <f>'2011-12 Back-Up Data'!L40</f>
        <v>49546142</v>
      </c>
      <c r="K40" s="34">
        <f>'2011-12 Back-Up Data'!L40/'2011-12 Back-Up Data'!B40</f>
        <v>2169.1756928330633</v>
      </c>
      <c r="P40" s="2" t="str">
        <f>'2011-12 Back-Up Data'!A40</f>
        <v>Ulster</v>
      </c>
      <c r="Q40" s="33">
        <f>'2011-12 Back-Up Data'!C40</f>
        <v>2423957</v>
      </c>
      <c r="R40" s="39">
        <f>'2011-12 Back-Up Data'!C40/'2011-12 Back-Up Data'!B40</f>
        <v>106.12306816689286</v>
      </c>
      <c r="S40" s="4">
        <f>'2011-12 Back-Up Data'!C40/'2011-12 Back-Up Data'!L40</f>
        <v>0.04892322393134061</v>
      </c>
      <c r="T40" s="33">
        <f>'2011-12 Back-Up Data'!D40</f>
        <v>1090038</v>
      </c>
      <c r="U40" s="40">
        <f>'2011-12 Back-Up Data'!D40/'2011-12 Back-Up Data'!B40</f>
        <v>47.7228667746596</v>
      </c>
      <c r="V40" s="4">
        <f>'2011-12 Back-Up Data'!D40/'2011-12 Back-Up Data'!L40</f>
        <v>0.022000461711024846</v>
      </c>
      <c r="W40" s="40">
        <f>SUM('2011-12 Back-Up Data'!C40+'2011-12 Back-Up Data'!D40)/'2011-12 Back-Up Data'!B40</f>
        <v>153.84593494155249</v>
      </c>
      <c r="AB40" s="2" t="str">
        <f>'2011-12 Back-Up Data'!A40</f>
        <v>Ulster</v>
      </c>
      <c r="AC40" s="33">
        <f>'2011-12 Back-Up Data'!E40</f>
        <v>12824595</v>
      </c>
      <c r="AD40" s="40">
        <f>'2011-12 Back-Up Data'!E40/'2011-12 Back-Up Data'!B40</f>
        <v>561.4725712534478</v>
      </c>
      <c r="AE40" s="4">
        <f>'2011-12 Back-Up Data'!E40/'2011-12 Back-Up Data'!L40</f>
        <v>0.2588414452128281</v>
      </c>
      <c r="AF40" s="33">
        <f>'2011-12 Back-Up Data'!F40</f>
        <v>12258458</v>
      </c>
      <c r="AG40" s="40">
        <f>'2011-12 Back-Up Data'!F40/'2011-12 Back-Up Data'!B40</f>
        <v>536.6865723917517</v>
      </c>
      <c r="AH40" s="4">
        <f>'2011-12 Back-Up Data'!F40/'2011-12 Back-Up Data'!L40</f>
        <v>0.24741498540895474</v>
      </c>
      <c r="AI40" s="33">
        <f>'2011-12 Back-Up Data'!G40</f>
        <v>976065</v>
      </c>
      <c r="AJ40" s="40">
        <f>'2011-12 Back-Up Data'!G40/'2011-12 Back-Up Data'!B40</f>
        <v>42.73302394816339</v>
      </c>
      <c r="AK40" s="4">
        <f>'2011-12 Back-Up Data'!G40/'2011-12 Back-Up Data'!L40</f>
        <v>0.019700121151713487</v>
      </c>
      <c r="AP40" s="2" t="str">
        <f>'2011-12 Back-Up Data'!A40</f>
        <v>Ulster</v>
      </c>
      <c r="AQ40" s="33">
        <f>'2011-12 Back-Up Data'!H40</f>
        <v>3006771</v>
      </c>
      <c r="AR40" s="40">
        <f>'2011-12 Back-Up Data'!H40/'2011-12 Back-Up Data'!B40</f>
        <v>131.6392014360142</v>
      </c>
      <c r="AS40" s="4">
        <f>'2011-12 Back-Up Data'!H40/'2011-12 Back-Up Data'!L40</f>
        <v>0.06068627906487654</v>
      </c>
      <c r="AT40" s="33">
        <f>'2011-12 Back-Up Data'!I40</f>
        <v>6791191</v>
      </c>
      <c r="AU40" s="40">
        <f>'2011-12 Back-Up Data'!I40/'2011-12 Back-Up Data'!B40</f>
        <v>297.3245917429184</v>
      </c>
      <c r="AV40" s="4">
        <f>'2011-12 Back-Up Data'!I40/'2011-12 Back-Up Data'!L40</f>
        <v>0.13706800824169116</v>
      </c>
      <c r="AW40" s="33">
        <f>'2011-12 Back-Up Data'!J40</f>
        <v>10175067</v>
      </c>
      <c r="AX40" s="40">
        <f>'2011-12 Back-Up Data'!J40/'2011-12 Back-Up Data'!B40</f>
        <v>445.4737971192154</v>
      </c>
      <c r="AY40" s="4">
        <f>'2011-12 Back-Up Data'!J40/'2011-12 Back-Up Data'!L40</f>
        <v>0.20536547527757054</v>
      </c>
    </row>
    <row r="41" spans="3:51" ht="12.75">
      <c r="C41" s="2" t="str">
        <f>'2011-12 Back-Up Data'!A41</f>
        <v>Washington</v>
      </c>
      <c r="D41" s="33">
        <f>'2011-12 Back-Up Data'!K41</f>
        <v>55119264</v>
      </c>
      <c r="E41" s="34">
        <f>'2011-12 Back-Up Data'!K41/'2011-12 Back-Up Data'!B41</f>
        <v>1347.5274789751613</v>
      </c>
      <c r="F41" s="4">
        <f>'2011-12 Back-Up Data'!K41/'2011-12 Back-Up Data'!L41</f>
        <v>0.8839858027931566</v>
      </c>
      <c r="G41" s="33">
        <f>'2011-12 Back-Up Data'!C41+'2011-12 Back-Up Data'!D41</f>
        <v>7233846</v>
      </c>
      <c r="H41" s="34">
        <f>('2011-12 Back-Up Data'!C41+'2011-12 Back-Up Data'!D41)/'2011-12 Back-Up Data'!B41</f>
        <v>176.8493545863485</v>
      </c>
      <c r="I41" s="4">
        <f>('2011-12 Back-Up Data'!C41+'2011-12 Back-Up Data'!D41)/'2011-12 Back-Up Data'!L41</f>
        <v>0.11601419720684342</v>
      </c>
      <c r="J41" s="33">
        <f>'2011-12 Back-Up Data'!L41</f>
        <v>62353110</v>
      </c>
      <c r="K41" s="34">
        <f>'2011-12 Back-Up Data'!L41/'2011-12 Back-Up Data'!B41</f>
        <v>1524.3768335615098</v>
      </c>
      <c r="P41" s="2" t="str">
        <f>'2011-12 Back-Up Data'!A41</f>
        <v>Washington</v>
      </c>
      <c r="Q41" s="33">
        <f>'2011-12 Back-Up Data'!C41</f>
        <v>5595326</v>
      </c>
      <c r="R41" s="39">
        <f>'2011-12 Back-Up Data'!C41/'2011-12 Back-Up Data'!B41</f>
        <v>136.7916585175044</v>
      </c>
      <c r="S41" s="4">
        <f>'2011-12 Back-Up Data'!C41/'2011-12 Back-Up Data'!L41</f>
        <v>0.08973611741258776</v>
      </c>
      <c r="T41" s="33">
        <f>'2011-12 Back-Up Data'!D41</f>
        <v>1638520</v>
      </c>
      <c r="U41" s="40">
        <f>'2011-12 Back-Up Data'!D41/'2011-12 Back-Up Data'!B41</f>
        <v>40.05769606884412</v>
      </c>
      <c r="V41" s="4">
        <f>'2011-12 Back-Up Data'!D41/'2011-12 Back-Up Data'!L41</f>
        <v>0.02627807979425565</v>
      </c>
      <c r="W41" s="40">
        <f>SUM('2011-12 Back-Up Data'!C41+'2011-12 Back-Up Data'!D41)/'2011-12 Back-Up Data'!B41</f>
        <v>176.8493545863485</v>
      </c>
      <c r="AB41" s="2" t="str">
        <f>'2011-12 Back-Up Data'!A41</f>
        <v>Washington</v>
      </c>
      <c r="AC41" s="33">
        <f>'2011-12 Back-Up Data'!E41</f>
        <v>11193701</v>
      </c>
      <c r="AD41" s="40">
        <f>'2011-12 Back-Up Data'!E41/'2011-12 Back-Up Data'!B41</f>
        <v>273.657857422257</v>
      </c>
      <c r="AE41" s="4">
        <f>'2011-12 Back-Up Data'!E41/'2011-12 Back-Up Data'!L41</f>
        <v>0.17952113374938314</v>
      </c>
      <c r="AF41" s="33">
        <f>'2011-12 Back-Up Data'!F41</f>
        <v>22818217</v>
      </c>
      <c r="AG41" s="40">
        <f>'2011-12 Back-Up Data'!F41/'2011-12 Back-Up Data'!B41</f>
        <v>557.8480588695483</v>
      </c>
      <c r="AH41" s="4">
        <f>'2011-12 Back-Up Data'!F41/'2011-12 Back-Up Data'!L41</f>
        <v>0.3659515459613803</v>
      </c>
      <c r="AI41" s="33">
        <f>'2011-12 Back-Up Data'!G41</f>
        <v>3552101</v>
      </c>
      <c r="AJ41" s="40">
        <f>'2011-12 Back-Up Data'!G41/'2011-12 Back-Up Data'!B41</f>
        <v>86.83994230393115</v>
      </c>
      <c r="AK41" s="4">
        <f>'2011-12 Back-Up Data'!G41/'2011-12 Back-Up Data'!L41</f>
        <v>0.056967503304967464</v>
      </c>
      <c r="AP41" s="2" t="str">
        <f>'2011-12 Back-Up Data'!A41</f>
        <v>Washington</v>
      </c>
      <c r="AQ41" s="33">
        <f>'2011-12 Back-Up Data'!H41</f>
        <v>3424708</v>
      </c>
      <c r="AR41" s="40">
        <f>'2011-12 Back-Up Data'!H41/'2011-12 Back-Up Data'!B41</f>
        <v>83.72550361822805</v>
      </c>
      <c r="AS41" s="4">
        <f>'2011-12 Back-Up Data'!H41/'2011-12 Back-Up Data'!L41</f>
        <v>0.05492441355371047</v>
      </c>
      <c r="AT41" s="33">
        <f>'2011-12 Back-Up Data'!I41</f>
        <v>8070093</v>
      </c>
      <c r="AU41" s="40">
        <f>'2011-12 Back-Up Data'!I41/'2011-12 Back-Up Data'!B41</f>
        <v>197.29349207901427</v>
      </c>
      <c r="AV41" s="4">
        <f>'2011-12 Back-Up Data'!I41/'2011-12 Back-Up Data'!L41</f>
        <v>0.1294256693852159</v>
      </c>
      <c r="AW41" s="33">
        <f>'2011-12 Back-Up Data'!J41</f>
        <v>6060444</v>
      </c>
      <c r="AX41" s="40">
        <f>'2011-12 Back-Up Data'!J41/'2011-12 Back-Up Data'!B41</f>
        <v>148.16262468218267</v>
      </c>
      <c r="AY41" s="4">
        <f>'2011-12 Back-Up Data'!J41/'2011-12 Back-Up Data'!L41</f>
        <v>0.09719553683849931</v>
      </c>
    </row>
    <row r="42" spans="3:51" ht="12.75">
      <c r="C42" s="2" t="str">
        <f>'2011-12 Back-Up Data'!A42</f>
        <v>Westchester 2</v>
      </c>
      <c r="D42" s="33">
        <f>'2011-12 Back-Up Data'!K42</f>
        <v>131790887</v>
      </c>
      <c r="E42" s="34">
        <f>'2011-12 Back-Up Data'!K42/'2011-12 Back-Up Data'!B42</f>
        <v>1699.0368064150166</v>
      </c>
      <c r="F42" s="4">
        <f>'2011-12 Back-Up Data'!K42/'2011-12 Back-Up Data'!L42</f>
        <v>0.9170877977303862</v>
      </c>
      <c r="G42" s="33">
        <f>'2011-12 Back-Up Data'!C42+'2011-12 Back-Up Data'!D42</f>
        <v>11914969</v>
      </c>
      <c r="H42" s="34">
        <f>('2011-12 Back-Up Data'!E42+'2011-12 Back-Up Data'!D42)/'2011-12 Back-Up Data'!B42</f>
        <v>182.70393719059405</v>
      </c>
      <c r="I42" s="4">
        <f>('2011-12 Back-Up Data'!C42+'2011-12 Back-Up Data'!D42)/'2011-12 Back-Up Data'!L42</f>
        <v>0.08291220226961384</v>
      </c>
      <c r="J42" s="33">
        <f>'2011-12 Back-Up Data'!L42</f>
        <v>143705856</v>
      </c>
      <c r="K42" s="34">
        <f>'2011-12 Back-Up Data'!L42/'2011-12 Back-Up Data'!B42</f>
        <v>1852.6435643564357</v>
      </c>
      <c r="P42" s="2" t="str">
        <f>'2011-12 Back-Up Data'!A42</f>
        <v>Westchester 2</v>
      </c>
      <c r="Q42" s="33">
        <f>'2011-12 Back-Up Data'!C42</f>
        <v>8719251</v>
      </c>
      <c r="R42" s="39">
        <f>'2011-12 Back-Up Data'!C42/'2011-12 Back-Up Data'!B42</f>
        <v>112.40783570544555</v>
      </c>
      <c r="S42" s="4">
        <f>'2011-12 Back-Up Data'!C42/'2011-12 Back-Up Data'!L42</f>
        <v>0.06067429151947712</v>
      </c>
      <c r="T42" s="33">
        <f>'2011-12 Back-Up Data'!D42</f>
        <v>3195718</v>
      </c>
      <c r="U42" s="40">
        <f>'2011-12 Back-Up Data'!D42/'2011-12 Back-Up Data'!B42</f>
        <v>41.1989222359736</v>
      </c>
      <c r="V42" s="4">
        <f>'2011-12 Back-Up Data'!D42/'2011-12 Back-Up Data'!L42</f>
        <v>0.022237910750136723</v>
      </c>
      <c r="W42" s="40">
        <f>SUM('2011-12 Back-Up Data'!C42+'2011-12 Back-Up Data'!D42)/'2011-12 Back-Up Data'!B42</f>
        <v>153.60675794141915</v>
      </c>
      <c r="AB42" s="2" t="str">
        <f>'2011-12 Back-Up Data'!A42</f>
        <v>Westchester 2</v>
      </c>
      <c r="AC42" s="33">
        <f>'2011-12 Back-Up Data'!E42</f>
        <v>10976261</v>
      </c>
      <c r="AD42" s="40">
        <f>'2011-12 Back-Up Data'!E42/'2011-12 Back-Up Data'!B42</f>
        <v>141.50501495462046</v>
      </c>
      <c r="AE42" s="4">
        <f>'2011-12 Back-Up Data'!E42/'2011-12 Back-Up Data'!L42</f>
        <v>0.0763800537119378</v>
      </c>
      <c r="AF42" s="33">
        <f>'2011-12 Back-Up Data'!F42</f>
        <v>46473953</v>
      </c>
      <c r="AG42" s="40">
        <f>'2011-12 Back-Up Data'!F42/'2011-12 Back-Up Data'!B42</f>
        <v>599.1382142120463</v>
      </c>
      <c r="AH42" s="4">
        <f>'2011-12 Back-Up Data'!F42/'2011-12 Back-Up Data'!L42</f>
        <v>0.3233963757190243</v>
      </c>
      <c r="AI42" s="33">
        <f>'2011-12 Back-Up Data'!G42</f>
        <v>1513402</v>
      </c>
      <c r="AJ42" s="40">
        <f>'2011-12 Back-Up Data'!G42/'2011-12 Back-Up Data'!B42</f>
        <v>19.510648721122113</v>
      </c>
      <c r="AK42" s="4">
        <f>'2011-12 Back-Up Data'!G42/'2011-12 Back-Up Data'!L42</f>
        <v>0.010531247940237035</v>
      </c>
      <c r="AP42" s="2" t="str">
        <f>'2011-12 Back-Up Data'!A42</f>
        <v>Westchester 2</v>
      </c>
      <c r="AQ42" s="33">
        <f>'2011-12 Back-Up Data'!H42</f>
        <v>3482800</v>
      </c>
      <c r="AR42" s="40">
        <f>'2011-12 Back-Up Data'!H42/'2011-12 Back-Up Data'!B42</f>
        <v>44.899958745874585</v>
      </c>
      <c r="AS42" s="4">
        <f>'2011-12 Back-Up Data'!H42/'2011-12 Back-Up Data'!L42</f>
        <v>0.02423561639687112</v>
      </c>
      <c r="AT42" s="33">
        <f>'2011-12 Back-Up Data'!I42</f>
        <v>42439384</v>
      </c>
      <c r="AU42" s="40">
        <f>'2011-12 Back-Up Data'!I42/'2011-12 Back-Up Data'!B42</f>
        <v>547.1248968646864</v>
      </c>
      <c r="AV42" s="4">
        <f>'2011-12 Back-Up Data'!I42/'2011-12 Back-Up Data'!L42</f>
        <v>0.2953211871894768</v>
      </c>
      <c r="AW42" s="33">
        <f>'2011-12 Back-Up Data'!J42</f>
        <v>26905087</v>
      </c>
      <c r="AX42" s="40">
        <f>'2011-12 Back-Up Data'!J42/'2011-12 Back-Up Data'!B42</f>
        <v>346.8580729166667</v>
      </c>
      <c r="AY42" s="4">
        <f>'2011-12 Back-Up Data'!J42/'2011-12 Back-Up Data'!L42</f>
        <v>0.1872233167728391</v>
      </c>
    </row>
    <row r="43" spans="3:51" ht="12.75">
      <c r="C43" s="6" t="s">
        <v>54</v>
      </c>
      <c r="D43" s="19">
        <f>SUM(D6:D42)</f>
        <v>2518477058</v>
      </c>
      <c r="E43" s="7"/>
      <c r="F43" s="9"/>
      <c r="G43" s="19">
        <f>SUM(G6:G42)</f>
        <v>272038057</v>
      </c>
      <c r="H43" s="7"/>
      <c r="I43" s="9"/>
      <c r="J43" s="12">
        <f>+SUM(J6:J42)</f>
        <v>2790515114</v>
      </c>
      <c r="K43" s="7"/>
      <c r="P43" s="6" t="s">
        <v>54</v>
      </c>
      <c r="Q43" s="19">
        <f>SUM(Q6:Q42)</f>
        <v>188709632</v>
      </c>
      <c r="R43" s="12"/>
      <c r="S43" s="13"/>
      <c r="T43" s="19">
        <f>+SUM(T6:T42)</f>
        <v>83328425</v>
      </c>
      <c r="U43" s="12"/>
      <c r="V43" s="13"/>
      <c r="W43" s="12"/>
      <c r="AB43" s="6" t="s">
        <v>54</v>
      </c>
      <c r="AC43" s="19">
        <f>SUM(AC6:AC42)</f>
        <v>370149105</v>
      </c>
      <c r="AD43" s="12"/>
      <c r="AE43" s="13"/>
      <c r="AF43" s="19">
        <f>SUM(AF6:AF42)</f>
        <v>1005079061</v>
      </c>
      <c r="AG43" s="12"/>
      <c r="AH43" s="13"/>
      <c r="AI43" s="19">
        <f>SUM(AI6:AI42)</f>
        <v>137121099</v>
      </c>
      <c r="AJ43" s="12"/>
      <c r="AK43" s="13"/>
      <c r="AP43" s="6" t="s">
        <v>54</v>
      </c>
      <c r="AQ43" s="19">
        <f>SUM(AQ6:AQ42)</f>
        <v>160811247</v>
      </c>
      <c r="AR43" s="12"/>
      <c r="AS43" s="13"/>
      <c r="AT43" s="19">
        <f>SUM(AT6:AT42)</f>
        <v>365338541</v>
      </c>
      <c r="AU43" s="12"/>
      <c r="AV43" s="13"/>
      <c r="AW43" s="19">
        <f>SUM(AW6:AW42)</f>
        <v>479978004</v>
      </c>
      <c r="AX43" s="12"/>
      <c r="AY43" s="13"/>
    </row>
    <row r="44" spans="3:51" ht="12.75">
      <c r="C44" s="6" t="s">
        <v>55</v>
      </c>
      <c r="D44" s="20"/>
      <c r="E44" s="12">
        <f>AVERAGE(E6:E42)</f>
        <v>1870.0280171262905</v>
      </c>
      <c r="F44" s="13">
        <f>AVERAGE(F6:F42)</f>
        <v>0.8968506513026497</v>
      </c>
      <c r="G44" s="20"/>
      <c r="H44" s="12">
        <f>AVERAGE(H6:H42)</f>
        <v>267.1519289761799</v>
      </c>
      <c r="I44" s="13">
        <f>AVERAGE(I6:I42)</f>
        <v>0.10049029551458236</v>
      </c>
      <c r="J44" s="8"/>
      <c r="K44" s="8">
        <f>AVERAGE(K6:K42)</f>
        <v>2084.685607577392</v>
      </c>
      <c r="P44" s="6" t="s">
        <v>55</v>
      </c>
      <c r="Q44" s="19"/>
      <c r="R44" s="12">
        <f>AVERAGE(R6:R42)</f>
        <v>142.18677432084226</v>
      </c>
      <c r="S44" s="13">
        <f>AVERAGE(S6:S42)</f>
        <v>0.07000356408919478</v>
      </c>
      <c r="T44" s="19"/>
      <c r="U44" s="12">
        <f>AVERAGE(U6:U42)</f>
        <v>72.47081682445217</v>
      </c>
      <c r="V44" s="13">
        <f>AVERAGE(V6:V42)</f>
        <v>0.03314578504574918</v>
      </c>
      <c r="W44" s="12">
        <f>AVERAGE(W6:W42)</f>
        <v>214.65759114529448</v>
      </c>
      <c r="AB44" s="6" t="s">
        <v>55</v>
      </c>
      <c r="AC44" s="19"/>
      <c r="AD44" s="12">
        <f>AVERAGE(AD6:AD42)</f>
        <v>327.4480457295953</v>
      </c>
      <c r="AE44" s="13">
        <f>AVERAGE(AE6:AE42)</f>
        <v>0.15652506180528417</v>
      </c>
      <c r="AF44" s="19"/>
      <c r="AG44" s="12">
        <f>AVERAGE(AG6:AG42)</f>
        <v>664.1858404908272</v>
      </c>
      <c r="AH44" s="13">
        <f>AVERAGE(AH6:AH42)</f>
        <v>0.32747619081077955</v>
      </c>
      <c r="AI44" s="19"/>
      <c r="AJ44" s="12">
        <f>AVERAGE(AJ6:AJ42)</f>
        <v>134.17527702869006</v>
      </c>
      <c r="AK44" s="13">
        <f>AVERAGE(AK6:AK42)</f>
        <v>0.06275300017508693</v>
      </c>
      <c r="AP44" s="6" t="s">
        <v>55</v>
      </c>
      <c r="AQ44" s="19"/>
      <c r="AR44" s="12">
        <f>AVERAGE(AR6:AR42)</f>
        <v>127.73301364934674</v>
      </c>
      <c r="AS44" s="13">
        <f>AVERAGE(AS6:AS42)</f>
        <v>0.06160206826473333</v>
      </c>
      <c r="AT44" s="19"/>
      <c r="AU44" s="12">
        <f>AVERAGE(AU6:AU42)</f>
        <v>261.7208691022728</v>
      </c>
      <c r="AV44" s="13">
        <f>AVERAGE(AV6:AV42)</f>
        <v>0.12429595488778189</v>
      </c>
      <c r="AW44" s="19"/>
      <c r="AX44" s="12">
        <f>AVERAGE(AX6:AX42)</f>
        <v>354.7649704313655</v>
      </c>
      <c r="AY44" s="13">
        <f>AVERAGE(AY6:AY42)</f>
        <v>0.16419837492139022</v>
      </c>
    </row>
    <row r="45" spans="3:51" ht="12.75">
      <c r="C45" s="6" t="s">
        <v>56</v>
      </c>
      <c r="D45" s="20"/>
      <c r="E45" s="12">
        <f>MEDIAN(E6:E42)</f>
        <v>1778.6041627067098</v>
      </c>
      <c r="F45" s="13">
        <f>MEDIAN(F6:F42)</f>
        <v>0.900990800971304</v>
      </c>
      <c r="G45" s="20"/>
      <c r="H45" s="8">
        <f>MEDIAN(H6:H42)</f>
        <v>202.36642012856848</v>
      </c>
      <c r="I45" s="13">
        <f>MEDIAN(I6:I42)</f>
        <v>0.09900919902869601</v>
      </c>
      <c r="J45" s="8"/>
      <c r="K45" s="8">
        <f>MEDIAN(K6:K42)</f>
        <v>1946.6566610030834</v>
      </c>
      <c r="P45" s="6" t="s">
        <v>56</v>
      </c>
      <c r="Q45" s="19"/>
      <c r="R45" s="12">
        <f>MEDIAN(R6:R42)</f>
        <v>125.7462200223247</v>
      </c>
      <c r="S45" s="13">
        <f>MEDIAN(S6:S42)</f>
        <v>0.06580879392355779</v>
      </c>
      <c r="T45" s="19"/>
      <c r="U45" s="12">
        <f>MEDIAN(U6:U42)</f>
        <v>47.29915329790221</v>
      </c>
      <c r="V45" s="13">
        <f>MEDIAN(V6:V42)</f>
        <v>0.025638835889827332</v>
      </c>
      <c r="W45" s="12">
        <f>MEDIAN(W6:W42)</f>
        <v>179.2910230646951</v>
      </c>
      <c r="AB45" s="6" t="s">
        <v>70</v>
      </c>
      <c r="AC45" s="19"/>
      <c r="AD45" s="12">
        <f>MEDIAN(AD6:AD42)</f>
        <v>289.88955384891995</v>
      </c>
      <c r="AE45" s="13">
        <f>MEDIAN(AE6:AE42)</f>
        <v>0.1701797352762396</v>
      </c>
      <c r="AF45" s="19"/>
      <c r="AG45" s="12">
        <f>MEDIAN(AG6:AG42)</f>
        <v>583.0198251639089</v>
      </c>
      <c r="AH45" s="13">
        <f>MEDIAN(AH6:AH42)</f>
        <v>0.2882826676506472</v>
      </c>
      <c r="AI45" s="19"/>
      <c r="AJ45" s="12">
        <f>MEDIAN(AJ6:AJ42)</f>
        <v>118.27421828219246</v>
      </c>
      <c r="AK45" s="13">
        <f>MEDIAN(AK6:AK42)</f>
        <v>0.05379322637408441</v>
      </c>
      <c r="AP45" s="6" t="s">
        <v>56</v>
      </c>
      <c r="AQ45" s="19"/>
      <c r="AR45" s="12">
        <f>MEDIAN(AR6:AR42)</f>
        <v>119.10603486250079</v>
      </c>
      <c r="AS45" s="13">
        <f>MEDIAN(AS6:AS42)</f>
        <v>0.05492441355371047</v>
      </c>
      <c r="AT45" s="19"/>
      <c r="AU45" s="12">
        <f>MEDIAN(AU6:AU42)</f>
        <v>241.32864474434518</v>
      </c>
      <c r="AV45" s="13">
        <f>MEDIAN(AV6:AV42)</f>
        <v>0.12424806879221657</v>
      </c>
      <c r="AW45" s="19"/>
      <c r="AX45" s="12">
        <f>MEDIAN(AX6:AX42)</f>
        <v>335.732079905993</v>
      </c>
      <c r="AY45" s="13">
        <f>MEDIAN(AY6:AY42)</f>
        <v>0.15085746082405593</v>
      </c>
    </row>
    <row r="46" spans="6:9" ht="12.75">
      <c r="F46" s="5"/>
      <c r="I46" s="5"/>
    </row>
    <row r="47" ht="12.75">
      <c r="I47" s="5"/>
    </row>
  </sheetData>
  <mergeCells count="4">
    <mergeCell ref="C1:K1"/>
    <mergeCell ref="P1:W1"/>
    <mergeCell ref="AB1:AK1"/>
    <mergeCell ref="AP1:AY1"/>
  </mergeCells>
  <printOptions/>
  <pageMargins left="0.53" right="0.43" top="1" bottom="1" header="0.5" footer="0.5"/>
  <pageSetup horizontalDpi="600" verticalDpi="600" orientation="landscape" scale="77" r:id="rId1"/>
  <colBreaks count="3" manualBreakCount="3">
    <brk id="13" max="65535" man="1"/>
    <brk id="25" max="65535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workbookViewId="0" topLeftCell="A15">
      <selection activeCell="P54" sqref="P54"/>
    </sheetView>
  </sheetViews>
  <sheetFormatPr defaultColWidth="9.140625" defaultRowHeight="12.75"/>
  <cols>
    <col min="1" max="1" width="11.7109375" style="0" customWidth="1"/>
    <col min="2" max="2" width="9.7109375" style="0" bestFit="1" customWidth="1"/>
    <col min="3" max="3" width="13.8515625" style="0" customWidth="1"/>
    <col min="4" max="4" width="13.00390625" style="0" customWidth="1"/>
    <col min="5" max="5" width="13.28125" style="0" customWidth="1"/>
    <col min="6" max="6" width="15.57421875" style="0" customWidth="1"/>
    <col min="7" max="8" width="13.7109375" style="0" customWidth="1"/>
    <col min="9" max="9" width="13.00390625" style="0" customWidth="1"/>
    <col min="10" max="10" width="13.140625" style="0" customWidth="1"/>
    <col min="11" max="12" width="14.7109375" style="0" customWidth="1"/>
    <col min="13" max="13" width="12.7109375" style="0" customWidth="1"/>
    <col min="14" max="14" width="15.00390625" style="0" customWidth="1"/>
    <col min="15" max="15" width="11.140625" style="0" customWidth="1"/>
    <col min="16" max="16" width="11.00390625" style="0" customWidth="1"/>
  </cols>
  <sheetData>
    <row r="1" ht="12.75">
      <c r="A1" t="s">
        <v>90</v>
      </c>
    </row>
    <row r="2" ht="12.75">
      <c r="A2" t="s">
        <v>84</v>
      </c>
    </row>
    <row r="3" spans="2:17" ht="12.75">
      <c r="B3" s="2" t="s">
        <v>82</v>
      </c>
      <c r="C3" s="17" t="s">
        <v>11</v>
      </c>
      <c r="F3" s="25" t="s">
        <v>64</v>
      </c>
      <c r="H3" s="17" t="s">
        <v>11</v>
      </c>
      <c r="I3" s="17" t="s">
        <v>16</v>
      </c>
      <c r="K3" s="17" t="s">
        <v>19</v>
      </c>
      <c r="L3" s="17" t="s">
        <v>21</v>
      </c>
      <c r="P3" s="2"/>
      <c r="Q3" s="2"/>
    </row>
    <row r="4" spans="1:17" ht="12.75">
      <c r="A4" s="26" t="s">
        <v>46</v>
      </c>
      <c r="B4" s="26" t="s">
        <v>83</v>
      </c>
      <c r="C4" s="27" t="s">
        <v>12</v>
      </c>
      <c r="D4" s="27" t="s">
        <v>13</v>
      </c>
      <c r="E4" s="27" t="s">
        <v>80</v>
      </c>
      <c r="F4" s="27" t="s">
        <v>63</v>
      </c>
      <c r="G4" s="27" t="s">
        <v>14</v>
      </c>
      <c r="H4" s="27" t="s">
        <v>15</v>
      </c>
      <c r="I4" s="27" t="s">
        <v>17</v>
      </c>
      <c r="J4" s="27" t="s">
        <v>18</v>
      </c>
      <c r="K4" s="27" t="s">
        <v>20</v>
      </c>
      <c r="L4" s="27" t="s">
        <v>19</v>
      </c>
      <c r="M4" s="27" t="s">
        <v>85</v>
      </c>
      <c r="N4" s="27" t="s">
        <v>86</v>
      </c>
      <c r="O4" s="26" t="s">
        <v>81</v>
      </c>
      <c r="P4" s="2"/>
      <c r="Q4" s="2"/>
    </row>
    <row r="5" spans="3:14" ht="12.75">
      <c r="C5" s="16"/>
      <c r="D5" s="16"/>
      <c r="E5" s="16"/>
      <c r="F5" s="16"/>
      <c r="G5" s="16"/>
      <c r="H5" s="16"/>
      <c r="I5" s="16"/>
      <c r="J5" s="16"/>
      <c r="K5" s="16">
        <f aca="true" t="shared" si="0" ref="K5:K42">SUM(E5:J5)</f>
        <v>0</v>
      </c>
      <c r="L5" s="37" t="s">
        <v>87</v>
      </c>
      <c r="M5" s="16"/>
      <c r="N5" s="16"/>
    </row>
    <row r="6" spans="1:18" ht="12.75">
      <c r="A6" s="1" t="s">
        <v>22</v>
      </c>
      <c r="B6" s="35">
        <v>68471</v>
      </c>
      <c r="C6" s="29">
        <v>7763481</v>
      </c>
      <c r="D6" s="29">
        <v>2930032</v>
      </c>
      <c r="E6" s="29">
        <v>11024054</v>
      </c>
      <c r="F6" s="29">
        <v>31333587</v>
      </c>
      <c r="G6" s="29">
        <v>8098354</v>
      </c>
      <c r="H6" s="29">
        <v>5406843</v>
      </c>
      <c r="I6" s="29">
        <f>4923059+2113821+790521</f>
        <v>7827401</v>
      </c>
      <c r="J6" s="29">
        <v>34306747</v>
      </c>
      <c r="K6" s="28">
        <f t="shared" si="0"/>
        <v>97996986</v>
      </c>
      <c r="L6" s="28">
        <f aca="true" t="shared" si="1" ref="L6:L42">SUM(C6:J6)</f>
        <v>108690499</v>
      </c>
      <c r="M6" s="28">
        <v>2380032</v>
      </c>
      <c r="N6" s="28">
        <v>550000</v>
      </c>
      <c r="O6" s="30"/>
      <c r="P6" s="24">
        <f aca="true" t="shared" si="2" ref="P6:P42">(M6+N6+O6)-D6</f>
        <v>0</v>
      </c>
      <c r="R6" t="s">
        <v>88</v>
      </c>
    </row>
    <row r="7" spans="1:16" ht="12.75">
      <c r="A7" s="1" t="s">
        <v>23</v>
      </c>
      <c r="B7" s="35">
        <v>32532</v>
      </c>
      <c r="C7" s="31">
        <v>3009919</v>
      </c>
      <c r="D7" s="31">
        <v>1690981</v>
      </c>
      <c r="E7" s="31">
        <v>8719268</v>
      </c>
      <c r="F7" s="31">
        <v>18250385</v>
      </c>
      <c r="G7" s="31">
        <v>3710375</v>
      </c>
      <c r="H7" s="31">
        <v>7300689</v>
      </c>
      <c r="I7" s="31">
        <v>11148103</v>
      </c>
      <c r="J7" s="31">
        <v>28432071</v>
      </c>
      <c r="K7" s="31">
        <f t="shared" si="0"/>
        <v>77560891</v>
      </c>
      <c r="L7" s="31">
        <f t="shared" si="1"/>
        <v>82261791</v>
      </c>
      <c r="M7" s="31">
        <v>834481</v>
      </c>
      <c r="N7" s="31">
        <v>0</v>
      </c>
      <c r="O7" s="32">
        <v>856500</v>
      </c>
      <c r="P7" s="24">
        <f t="shared" si="2"/>
        <v>0</v>
      </c>
    </row>
    <row r="8" spans="1:16" ht="12.75">
      <c r="A8" s="1" t="s">
        <v>24</v>
      </c>
      <c r="B8" s="35">
        <v>18279</v>
      </c>
      <c r="C8" s="31">
        <v>2776000</v>
      </c>
      <c r="D8" s="31">
        <v>2810000</v>
      </c>
      <c r="E8" s="31">
        <v>8939948</v>
      </c>
      <c r="F8" s="31">
        <v>14866727</v>
      </c>
      <c r="G8" s="31">
        <v>5596392</v>
      </c>
      <c r="H8" s="31">
        <f>403126+4064054</f>
        <v>4467180</v>
      </c>
      <c r="I8" s="31">
        <f>3473835+3288319+2195460</f>
        <v>8957614</v>
      </c>
      <c r="J8" s="31">
        <v>8005139</v>
      </c>
      <c r="K8" s="31">
        <f t="shared" si="0"/>
        <v>50833000</v>
      </c>
      <c r="L8" s="31">
        <f t="shared" si="1"/>
        <v>56419000</v>
      </c>
      <c r="M8" s="31">
        <v>810000</v>
      </c>
      <c r="N8" s="31">
        <v>2000000</v>
      </c>
      <c r="O8" s="24"/>
      <c r="P8" s="24">
        <f t="shared" si="2"/>
        <v>0</v>
      </c>
    </row>
    <row r="9" spans="1:16" ht="12.75">
      <c r="A9" s="1" t="s">
        <v>25</v>
      </c>
      <c r="B9" s="35">
        <v>12812</v>
      </c>
      <c r="C9" s="31">
        <v>1514029</v>
      </c>
      <c r="D9" s="31">
        <v>381268</v>
      </c>
      <c r="E9" s="31">
        <v>5537595</v>
      </c>
      <c r="F9" s="31">
        <v>7469650</v>
      </c>
      <c r="G9" s="31">
        <v>1533738</v>
      </c>
      <c r="H9" s="31">
        <f>452040+2818682</f>
        <v>3270722</v>
      </c>
      <c r="I9" s="31">
        <f>2028750+695188+1479426</f>
        <v>4203364</v>
      </c>
      <c r="J9" s="31">
        <f>4569087+32278</f>
        <v>4601365</v>
      </c>
      <c r="K9" s="31">
        <f t="shared" si="0"/>
        <v>26616434</v>
      </c>
      <c r="L9" s="31">
        <f t="shared" si="1"/>
        <v>28511731</v>
      </c>
      <c r="M9" s="31">
        <v>381268</v>
      </c>
      <c r="N9" s="31">
        <v>0</v>
      </c>
      <c r="O9" s="24"/>
      <c r="P9" s="24">
        <f t="shared" si="2"/>
        <v>0</v>
      </c>
    </row>
    <row r="10" spans="1:16" ht="12.75">
      <c r="A10" s="1" t="s">
        <v>26</v>
      </c>
      <c r="B10" s="35">
        <v>14467</v>
      </c>
      <c r="C10" s="31">
        <v>2121170</v>
      </c>
      <c r="D10" s="31">
        <v>806465</v>
      </c>
      <c r="E10" s="31">
        <v>8579092</v>
      </c>
      <c r="F10" s="31">
        <v>15133401</v>
      </c>
      <c r="G10" s="31">
        <f>264060+3041190</f>
        <v>3305250</v>
      </c>
      <c r="H10" s="31">
        <f>103973+679641</f>
        <v>783614</v>
      </c>
      <c r="I10" s="31">
        <f>1065326+609093+804041</f>
        <v>2478460</v>
      </c>
      <c r="J10" s="31">
        <v>4857036</v>
      </c>
      <c r="K10" s="31">
        <f t="shared" si="0"/>
        <v>35136853</v>
      </c>
      <c r="L10" s="31">
        <f t="shared" si="1"/>
        <v>38064488</v>
      </c>
      <c r="M10" s="31">
        <v>241624</v>
      </c>
      <c r="N10" s="31">
        <v>564841</v>
      </c>
      <c r="O10" s="24"/>
      <c r="P10" s="24">
        <f t="shared" si="2"/>
        <v>0</v>
      </c>
    </row>
    <row r="11" spans="1:16" ht="12.75">
      <c r="A11" s="1" t="s">
        <v>47</v>
      </c>
      <c r="B11" s="35">
        <v>13299</v>
      </c>
      <c r="C11" s="31">
        <v>2142278</v>
      </c>
      <c r="D11" s="31">
        <v>4644298</v>
      </c>
      <c r="E11" s="31">
        <v>7222906</v>
      </c>
      <c r="F11" s="31">
        <v>10647686</v>
      </c>
      <c r="G11" s="31">
        <v>2424283</v>
      </c>
      <c r="H11" s="31">
        <f>171579+2071085</f>
        <v>2242664</v>
      </c>
      <c r="I11" s="31">
        <f>1848956+689743+2966972</f>
        <v>5505671</v>
      </c>
      <c r="J11" s="31">
        <f>7476878+136145</f>
        <v>7613023</v>
      </c>
      <c r="K11" s="31">
        <f t="shared" si="0"/>
        <v>35656233</v>
      </c>
      <c r="L11" s="31">
        <f t="shared" si="1"/>
        <v>42442809</v>
      </c>
      <c r="M11" s="31">
        <v>417385</v>
      </c>
      <c r="N11" s="31">
        <v>4226913</v>
      </c>
      <c r="O11" s="24"/>
      <c r="P11" s="24">
        <f t="shared" si="2"/>
        <v>0</v>
      </c>
    </row>
    <row r="12" spans="1:16" ht="12.75">
      <c r="A12" s="1" t="s">
        <v>6</v>
      </c>
      <c r="B12" s="35">
        <v>44742</v>
      </c>
      <c r="C12" s="31">
        <v>4060142</v>
      </c>
      <c r="D12" s="31">
        <v>1773660</v>
      </c>
      <c r="E12" s="31">
        <v>7050900</v>
      </c>
      <c r="F12" s="31">
        <v>22762468</v>
      </c>
      <c r="G12" s="31">
        <v>1757269</v>
      </c>
      <c r="H12" s="31">
        <v>2581906</v>
      </c>
      <c r="I12" s="31">
        <f>4369319+727420+1649566</f>
        <v>6746305</v>
      </c>
      <c r="J12" s="31">
        <f>6166502+115937</f>
        <v>6282439</v>
      </c>
      <c r="K12" s="31">
        <f t="shared" si="0"/>
        <v>47181287</v>
      </c>
      <c r="L12" s="31">
        <f t="shared" si="1"/>
        <v>53015089</v>
      </c>
      <c r="M12" s="31">
        <v>1273660</v>
      </c>
      <c r="N12" s="31">
        <v>500000</v>
      </c>
      <c r="O12" s="24"/>
      <c r="P12" s="24">
        <f t="shared" si="2"/>
        <v>0</v>
      </c>
    </row>
    <row r="13" spans="1:17" ht="12.75">
      <c r="A13" s="1" t="s">
        <v>3</v>
      </c>
      <c r="B13" s="35">
        <v>70996</v>
      </c>
      <c r="C13" s="31">
        <v>3045582</v>
      </c>
      <c r="D13" s="31">
        <v>2701075</v>
      </c>
      <c r="E13" s="31">
        <v>13528454</v>
      </c>
      <c r="F13" s="31">
        <v>18493921</v>
      </c>
      <c r="G13" s="31">
        <v>8491567</v>
      </c>
      <c r="H13" s="31">
        <v>5714596</v>
      </c>
      <c r="I13" s="31">
        <f>16689458+2636073+1025931</f>
        <v>20351462</v>
      </c>
      <c r="J13" s="31">
        <v>33024265</v>
      </c>
      <c r="K13" s="31">
        <f t="shared" si="0"/>
        <v>99604265</v>
      </c>
      <c r="L13" s="31">
        <f t="shared" si="1"/>
        <v>105350922</v>
      </c>
      <c r="M13" s="31">
        <v>2301075</v>
      </c>
      <c r="N13" s="31">
        <v>400000</v>
      </c>
      <c r="O13" s="24">
        <v>0</v>
      </c>
      <c r="P13" s="24">
        <f t="shared" si="2"/>
        <v>0</v>
      </c>
      <c r="Q13" t="s">
        <v>87</v>
      </c>
    </row>
    <row r="14" spans="1:16" ht="12.75">
      <c r="A14" s="1" t="s">
        <v>27</v>
      </c>
      <c r="B14" s="35">
        <v>38933</v>
      </c>
      <c r="C14" s="31">
        <v>3061146</v>
      </c>
      <c r="D14" s="31">
        <v>1016176</v>
      </c>
      <c r="E14" s="31">
        <v>11286270</v>
      </c>
      <c r="F14" s="31">
        <v>16437727</v>
      </c>
      <c r="G14" s="31">
        <v>7687868</v>
      </c>
      <c r="H14" s="31">
        <f>292439+5677435</f>
        <v>5969874</v>
      </c>
      <c r="I14" s="31">
        <f>2878766+1860130+2373052+1</f>
        <v>7111949</v>
      </c>
      <c r="J14" s="31">
        <v>9191828</v>
      </c>
      <c r="K14" s="31">
        <f>SUM(E14:J14)+1</f>
        <v>57685517</v>
      </c>
      <c r="L14" s="31">
        <f t="shared" si="1"/>
        <v>61762838</v>
      </c>
      <c r="M14" s="31">
        <v>1016176</v>
      </c>
      <c r="N14" s="31">
        <v>0</v>
      </c>
      <c r="O14" s="24"/>
      <c r="P14" s="24">
        <f t="shared" si="2"/>
        <v>0</v>
      </c>
    </row>
    <row r="15" spans="1:16" ht="12.75">
      <c r="A15" s="1" t="s">
        <v>28</v>
      </c>
      <c r="B15" s="35">
        <v>8413</v>
      </c>
      <c r="C15" s="31">
        <v>1581726</v>
      </c>
      <c r="D15" s="31">
        <v>308624</v>
      </c>
      <c r="E15" s="31">
        <v>5062403</v>
      </c>
      <c r="F15" s="31">
        <v>6226563</v>
      </c>
      <c r="G15" s="31">
        <v>1778227</v>
      </c>
      <c r="H15" s="31">
        <f>242360+679914</f>
        <v>922274</v>
      </c>
      <c r="I15" s="31">
        <f>1283170+458344+891681</f>
        <v>2633195</v>
      </c>
      <c r="J15" s="31">
        <v>3326967</v>
      </c>
      <c r="K15" s="31">
        <f t="shared" si="0"/>
        <v>19949629</v>
      </c>
      <c r="L15" s="31">
        <f t="shared" si="1"/>
        <v>21839979</v>
      </c>
      <c r="M15" s="32">
        <v>23624</v>
      </c>
      <c r="N15" s="31">
        <v>285000</v>
      </c>
      <c r="O15" s="24"/>
      <c r="P15" s="24">
        <f t="shared" si="2"/>
        <v>0</v>
      </c>
    </row>
    <row r="16" spans="1:18" ht="12.75">
      <c r="A16" s="1" t="s">
        <v>29</v>
      </c>
      <c r="B16" s="36">
        <v>23169</v>
      </c>
      <c r="C16" s="31">
        <v>2467693</v>
      </c>
      <c r="D16" s="31">
        <v>4402097</v>
      </c>
      <c r="E16" s="31">
        <v>8846310</v>
      </c>
      <c r="F16" s="31">
        <v>7214559</v>
      </c>
      <c r="G16" s="31">
        <v>1960590</v>
      </c>
      <c r="H16" s="31">
        <f>606334+2443884</f>
        <v>3050218</v>
      </c>
      <c r="I16" s="31">
        <f>3038292+1448049+1047375</f>
        <v>5533716</v>
      </c>
      <c r="J16" s="31">
        <v>6938474</v>
      </c>
      <c r="K16" s="31">
        <f t="shared" si="0"/>
        <v>33543867</v>
      </c>
      <c r="L16" s="31">
        <f t="shared" si="1"/>
        <v>40413657</v>
      </c>
      <c r="M16" s="31">
        <v>836022</v>
      </c>
      <c r="N16" s="31">
        <v>3566075</v>
      </c>
      <c r="O16" s="24">
        <v>0</v>
      </c>
      <c r="P16" s="24">
        <f t="shared" si="2"/>
        <v>0</v>
      </c>
      <c r="R16" t="s">
        <v>87</v>
      </c>
    </row>
    <row r="17" spans="1:16" ht="12.75">
      <c r="A17" s="1" t="s">
        <v>32</v>
      </c>
      <c r="B17" s="35">
        <v>15891</v>
      </c>
      <c r="C17" s="31">
        <v>2657057</v>
      </c>
      <c r="D17" s="31">
        <v>2133301</v>
      </c>
      <c r="E17" s="31">
        <v>4434000</v>
      </c>
      <c r="F17" s="31">
        <v>14833820</v>
      </c>
      <c r="G17" s="31">
        <v>875768</v>
      </c>
      <c r="H17" s="31">
        <f>235124+1657590</f>
        <v>1892714</v>
      </c>
      <c r="I17" s="31">
        <f>460616+308554+333639</f>
        <v>1102809</v>
      </c>
      <c r="J17" s="31">
        <v>3004852</v>
      </c>
      <c r="K17" s="31">
        <f t="shared" si="0"/>
        <v>26143963</v>
      </c>
      <c r="L17" s="31">
        <f t="shared" si="1"/>
        <v>30934321</v>
      </c>
      <c r="M17" s="31">
        <v>2133301</v>
      </c>
      <c r="N17" s="31">
        <v>0</v>
      </c>
      <c r="O17" s="24"/>
      <c r="P17" s="24">
        <f t="shared" si="2"/>
        <v>0</v>
      </c>
    </row>
    <row r="18" spans="1:16" ht="12.75">
      <c r="A18" s="1" t="s">
        <v>30</v>
      </c>
      <c r="B18" s="35">
        <v>10522</v>
      </c>
      <c r="C18" s="31">
        <v>2839694</v>
      </c>
      <c r="D18" s="31">
        <v>1841875</v>
      </c>
      <c r="E18" s="31">
        <v>4504157</v>
      </c>
      <c r="F18" s="31">
        <v>4478905</v>
      </c>
      <c r="G18" s="31">
        <v>3154761</v>
      </c>
      <c r="H18" s="31">
        <f>181808+577566</f>
        <v>759374</v>
      </c>
      <c r="I18" s="31">
        <f>1386283+559134+593843</f>
        <v>2539260</v>
      </c>
      <c r="J18" s="31">
        <v>3278016</v>
      </c>
      <c r="K18" s="31">
        <f t="shared" si="0"/>
        <v>18714473</v>
      </c>
      <c r="L18" s="31">
        <f t="shared" si="1"/>
        <v>23396042</v>
      </c>
      <c r="M18" s="31">
        <v>428187</v>
      </c>
      <c r="N18" s="31">
        <v>1413688</v>
      </c>
      <c r="O18" s="24"/>
      <c r="P18" s="24">
        <f t="shared" si="2"/>
        <v>0</v>
      </c>
    </row>
    <row r="19" spans="1:16" ht="12.75">
      <c r="A19" s="1" t="s">
        <v>33</v>
      </c>
      <c r="B19" s="35">
        <v>24174</v>
      </c>
      <c r="C19" s="31">
        <v>3524009</v>
      </c>
      <c r="D19" s="31">
        <v>165740</v>
      </c>
      <c r="E19" s="31">
        <v>9687428</v>
      </c>
      <c r="F19" s="31">
        <v>13957645</v>
      </c>
      <c r="G19" s="31">
        <v>3880688</v>
      </c>
      <c r="H19" s="31">
        <v>2969097</v>
      </c>
      <c r="I19" s="31">
        <f>2806859+1207446+702894</f>
        <v>4717199</v>
      </c>
      <c r="J19" s="31">
        <v>4569517</v>
      </c>
      <c r="K19" s="31">
        <f t="shared" si="0"/>
        <v>39781574</v>
      </c>
      <c r="L19" s="31">
        <f t="shared" si="1"/>
        <v>43471323</v>
      </c>
      <c r="M19" s="32">
        <v>165740</v>
      </c>
      <c r="N19" s="32">
        <v>0</v>
      </c>
      <c r="O19" s="24"/>
      <c r="P19" s="24">
        <f t="shared" si="2"/>
        <v>0</v>
      </c>
    </row>
    <row r="20" spans="1:16" ht="12.75">
      <c r="A20" s="1" t="s">
        <v>31</v>
      </c>
      <c r="B20" s="35">
        <v>15695</v>
      </c>
      <c r="C20" s="31">
        <v>2712487</v>
      </c>
      <c r="D20" s="31">
        <v>1635206</v>
      </c>
      <c r="E20" s="31">
        <v>5901436</v>
      </c>
      <c r="F20" s="31">
        <v>8043263</v>
      </c>
      <c r="G20" s="31">
        <v>1312341</v>
      </c>
      <c r="H20" s="31">
        <f>637334+3239898</f>
        <v>3877232</v>
      </c>
      <c r="I20" s="31">
        <f>7198366+1609365+2312337</f>
        <v>11120068</v>
      </c>
      <c r="J20" s="31">
        <v>19335242</v>
      </c>
      <c r="K20" s="31">
        <f t="shared" si="0"/>
        <v>49589582</v>
      </c>
      <c r="L20" s="31">
        <f t="shared" si="1"/>
        <v>53937275</v>
      </c>
      <c r="M20" s="31">
        <v>161600</v>
      </c>
      <c r="N20" s="32">
        <v>0</v>
      </c>
      <c r="O20" s="24">
        <v>1473606</v>
      </c>
      <c r="P20" s="24">
        <f t="shared" si="2"/>
        <v>0</v>
      </c>
    </row>
    <row r="21" spans="1:16" ht="12.75">
      <c r="A21" s="1" t="s">
        <v>5</v>
      </c>
      <c r="B21" s="35">
        <v>45194</v>
      </c>
      <c r="C21" s="31">
        <v>5292631</v>
      </c>
      <c r="D21" s="31">
        <v>3488823</v>
      </c>
      <c r="E21" s="31">
        <v>7221049</v>
      </c>
      <c r="F21" s="31">
        <v>43791277</v>
      </c>
      <c r="G21" s="31">
        <v>18733459</v>
      </c>
      <c r="H21" s="31">
        <f>826286+1966937</f>
        <v>2793223</v>
      </c>
      <c r="I21" s="31">
        <f>3233497+638793+2852256</f>
        <v>6724546</v>
      </c>
      <c r="J21" s="31">
        <v>16991452</v>
      </c>
      <c r="K21" s="31">
        <f t="shared" si="0"/>
        <v>96255006</v>
      </c>
      <c r="L21" s="31">
        <f t="shared" si="1"/>
        <v>105036460</v>
      </c>
      <c r="M21" s="31">
        <v>2288823</v>
      </c>
      <c r="N21" s="31">
        <v>1200000</v>
      </c>
      <c r="O21" s="24"/>
      <c r="P21" s="24">
        <f t="shared" si="2"/>
        <v>0</v>
      </c>
    </row>
    <row r="22" spans="1:16" ht="12.75">
      <c r="A22" s="1" t="s">
        <v>34</v>
      </c>
      <c r="B22" s="35">
        <v>35224</v>
      </c>
      <c r="C22" s="31">
        <v>4553220</v>
      </c>
      <c r="D22" s="31">
        <v>2119714</v>
      </c>
      <c r="E22" s="31">
        <v>6846521</v>
      </c>
      <c r="F22" s="31">
        <v>24289599</v>
      </c>
      <c r="G22" s="31">
        <v>7406131</v>
      </c>
      <c r="H22" s="31">
        <f>52785+2059378</f>
        <v>2112163</v>
      </c>
      <c r="I22" s="31">
        <f>3056647+1211587+4720245</f>
        <v>8988479</v>
      </c>
      <c r="J22" s="31">
        <v>6613686</v>
      </c>
      <c r="K22" s="31">
        <f t="shared" si="0"/>
        <v>56256579</v>
      </c>
      <c r="L22" s="31">
        <f t="shared" si="1"/>
        <v>62929513</v>
      </c>
      <c r="M22" s="31">
        <v>1767714</v>
      </c>
      <c r="N22" s="31">
        <v>352000</v>
      </c>
      <c r="O22" s="24"/>
      <c r="P22" s="24">
        <f t="shared" si="2"/>
        <v>0</v>
      </c>
    </row>
    <row r="23" spans="1:16" ht="12.75">
      <c r="A23" s="1" t="s">
        <v>0</v>
      </c>
      <c r="B23" s="35">
        <v>203023</v>
      </c>
      <c r="C23" s="31">
        <v>18947178</v>
      </c>
      <c r="D23" s="31">
        <v>9602816</v>
      </c>
      <c r="E23" s="31">
        <v>16702135</v>
      </c>
      <c r="F23" s="31">
        <v>135344740</v>
      </c>
      <c r="G23" s="31">
        <v>100092</v>
      </c>
      <c r="H23" s="31">
        <f>4713054+17391357</f>
        <v>22104411</v>
      </c>
      <c r="I23" s="31">
        <f>15753828+6330073+23159029</f>
        <v>45242930</v>
      </c>
      <c r="J23" s="31">
        <v>39868253</v>
      </c>
      <c r="K23" s="31">
        <f t="shared" si="0"/>
        <v>259362561</v>
      </c>
      <c r="L23" s="31">
        <f t="shared" si="1"/>
        <v>287912555</v>
      </c>
      <c r="M23" s="31">
        <v>3813380</v>
      </c>
      <c r="N23" s="31">
        <v>177800</v>
      </c>
      <c r="O23" s="32">
        <f>5536636+75000</f>
        <v>5611636</v>
      </c>
      <c r="P23" s="24">
        <f t="shared" si="2"/>
        <v>0</v>
      </c>
    </row>
    <row r="24" spans="1:16" ht="12.75">
      <c r="A24" s="1" t="s">
        <v>35</v>
      </c>
      <c r="B24" s="35">
        <v>23414</v>
      </c>
      <c r="C24" s="31">
        <v>2149254</v>
      </c>
      <c r="D24" s="31">
        <v>3390157</v>
      </c>
      <c r="E24" s="31">
        <v>5105839</v>
      </c>
      <c r="F24" s="31">
        <v>13641703</v>
      </c>
      <c r="G24" s="31">
        <v>4161338</v>
      </c>
      <c r="H24" s="31">
        <f>644326+5059866</f>
        <v>5704192</v>
      </c>
      <c r="I24" s="31">
        <f>3473716+708379+3273921</f>
        <v>7456016</v>
      </c>
      <c r="J24" s="31">
        <v>7392107</v>
      </c>
      <c r="K24" s="31">
        <f t="shared" si="0"/>
        <v>43461195</v>
      </c>
      <c r="L24" s="31">
        <f t="shared" si="1"/>
        <v>49000606</v>
      </c>
      <c r="M24" s="31">
        <v>300000</v>
      </c>
      <c r="N24" s="31">
        <v>3090157</v>
      </c>
      <c r="O24" s="24">
        <v>0</v>
      </c>
      <c r="P24" s="24">
        <f t="shared" si="2"/>
        <v>0</v>
      </c>
    </row>
    <row r="25" spans="1:16" ht="12.75">
      <c r="A25" s="1" t="s">
        <v>36</v>
      </c>
      <c r="B25" s="35">
        <v>58533</v>
      </c>
      <c r="C25" s="31">
        <v>5706110</v>
      </c>
      <c r="D25" s="31">
        <v>2208854</v>
      </c>
      <c r="E25" s="31">
        <v>8839722</v>
      </c>
      <c r="F25" s="31">
        <v>22190562</v>
      </c>
      <c r="G25" s="31">
        <v>2887243</v>
      </c>
      <c r="H25" s="31">
        <f>915969+6483502</f>
        <v>7399471</v>
      </c>
      <c r="I25" s="31">
        <f>12336267+1586824+5815878</f>
        <v>19738969</v>
      </c>
      <c r="J25" s="31">
        <v>25146992</v>
      </c>
      <c r="K25" s="31">
        <f t="shared" si="0"/>
        <v>86202959</v>
      </c>
      <c r="L25" s="31">
        <f t="shared" si="1"/>
        <v>94117923</v>
      </c>
      <c r="M25" s="31">
        <v>1758854</v>
      </c>
      <c r="N25" s="31">
        <v>450000</v>
      </c>
      <c r="O25" s="24"/>
      <c r="P25" s="24">
        <f t="shared" si="2"/>
        <v>0</v>
      </c>
    </row>
    <row r="26" spans="1:16" ht="12.75">
      <c r="A26" s="1" t="s">
        <v>37</v>
      </c>
      <c r="B26" s="35">
        <v>37601</v>
      </c>
      <c r="C26" s="31">
        <v>2890895</v>
      </c>
      <c r="D26" s="31">
        <v>3363100</v>
      </c>
      <c r="E26" s="31">
        <v>9758243</v>
      </c>
      <c r="F26" s="31">
        <v>33043279</v>
      </c>
      <c r="G26" s="31">
        <v>4463203</v>
      </c>
      <c r="H26" s="31">
        <f>1448732+3749046</f>
        <v>5197778</v>
      </c>
      <c r="I26" s="31">
        <f>14163351+2645871+897401</f>
        <v>17706623</v>
      </c>
      <c r="J26" s="31">
        <f>21236306+1467291</f>
        <v>22703597</v>
      </c>
      <c r="K26" s="31">
        <f t="shared" si="0"/>
        <v>92872723</v>
      </c>
      <c r="L26" s="31">
        <f t="shared" si="1"/>
        <v>99126718</v>
      </c>
      <c r="M26" s="31">
        <v>2263100</v>
      </c>
      <c r="N26" s="31">
        <v>1100000</v>
      </c>
      <c r="O26" s="24"/>
      <c r="P26" s="24">
        <f t="shared" si="2"/>
        <v>0</v>
      </c>
    </row>
    <row r="27" spans="1:16" ht="12.75">
      <c r="A27" s="1" t="s">
        <v>38</v>
      </c>
      <c r="B27" s="35">
        <v>53401</v>
      </c>
      <c r="C27" s="31">
        <v>4460468</v>
      </c>
      <c r="D27" s="31">
        <v>1893050</v>
      </c>
      <c r="E27" s="31">
        <v>17807962</v>
      </c>
      <c r="F27" s="31">
        <v>56723692</v>
      </c>
      <c r="G27" s="31">
        <v>2284915</v>
      </c>
      <c r="H27" s="31">
        <v>4569338</v>
      </c>
      <c r="I27" s="31">
        <f>7151277+1134196+2457994</f>
        <v>10743467</v>
      </c>
      <c r="J27" s="31">
        <v>3729484</v>
      </c>
      <c r="K27" s="31">
        <f t="shared" si="0"/>
        <v>95858858</v>
      </c>
      <c r="L27" s="31">
        <f t="shared" si="1"/>
        <v>102212376</v>
      </c>
      <c r="M27" s="31">
        <v>860300</v>
      </c>
      <c r="N27" s="31">
        <v>1032750</v>
      </c>
      <c r="O27" s="24"/>
      <c r="P27" s="24">
        <f t="shared" si="2"/>
        <v>0</v>
      </c>
    </row>
    <row r="28" spans="1:16" ht="12.75">
      <c r="A28" s="1" t="s">
        <v>39</v>
      </c>
      <c r="B28" s="35">
        <v>34946</v>
      </c>
      <c r="C28" s="31">
        <v>2152755</v>
      </c>
      <c r="D28" s="31">
        <v>994600</v>
      </c>
      <c r="E28" s="31">
        <v>11286030</v>
      </c>
      <c r="F28" s="31">
        <v>19095560</v>
      </c>
      <c r="G28" s="31">
        <v>2098204</v>
      </c>
      <c r="H28" s="31">
        <f>584753+4051823</f>
        <v>4636576</v>
      </c>
      <c r="I28" s="31">
        <f>3211704+730965+845093</f>
        <v>4787762</v>
      </c>
      <c r="J28" s="31">
        <v>6361226</v>
      </c>
      <c r="K28" s="31">
        <f t="shared" si="0"/>
        <v>48265358</v>
      </c>
      <c r="L28" s="31">
        <f t="shared" si="1"/>
        <v>51412713</v>
      </c>
      <c r="M28" s="31">
        <v>744600</v>
      </c>
      <c r="N28" s="31">
        <v>250000</v>
      </c>
      <c r="O28" s="24"/>
      <c r="P28" s="24">
        <f t="shared" si="2"/>
        <v>0</v>
      </c>
    </row>
    <row r="29" spans="1:16" ht="12.75">
      <c r="A29" s="1" t="s">
        <v>9</v>
      </c>
      <c r="B29" s="35">
        <v>21320</v>
      </c>
      <c r="C29" s="31">
        <v>5137022</v>
      </c>
      <c r="D29" s="31">
        <v>186275</v>
      </c>
      <c r="E29" s="31">
        <v>5759420</v>
      </c>
      <c r="F29" s="31">
        <v>10614271</v>
      </c>
      <c r="G29" s="31">
        <v>3935186</v>
      </c>
      <c r="H29" s="31">
        <f>438786+3027191</f>
        <v>3465977</v>
      </c>
      <c r="I29" s="31">
        <f>3893326+817624+1040102</f>
        <v>5751052</v>
      </c>
      <c r="J29" s="31">
        <v>5414159</v>
      </c>
      <c r="K29" s="31">
        <f t="shared" si="0"/>
        <v>34940065</v>
      </c>
      <c r="L29" s="31">
        <f t="shared" si="1"/>
        <v>40263362</v>
      </c>
      <c r="M29" s="31">
        <v>186275</v>
      </c>
      <c r="N29" s="32">
        <v>0</v>
      </c>
      <c r="O29" s="24"/>
      <c r="P29" s="24">
        <f t="shared" si="2"/>
        <v>0</v>
      </c>
    </row>
    <row r="30" spans="1:16" ht="12.75">
      <c r="A30" s="1" t="s">
        <v>40</v>
      </c>
      <c r="B30" s="35">
        <v>9180</v>
      </c>
      <c r="C30" s="31">
        <v>2539272</v>
      </c>
      <c r="D30" s="31">
        <v>555380</v>
      </c>
      <c r="E30" s="31">
        <v>4986409</v>
      </c>
      <c r="F30" s="31">
        <v>3765728</v>
      </c>
      <c r="G30" s="31">
        <v>3972425</v>
      </c>
      <c r="H30" s="31">
        <f>32494+761730</f>
        <v>794224</v>
      </c>
      <c r="I30" s="31">
        <f>618260+407636+541776</f>
        <v>1567672</v>
      </c>
      <c r="J30" s="31">
        <v>4038779</v>
      </c>
      <c r="K30" s="31">
        <f t="shared" si="0"/>
        <v>19125237</v>
      </c>
      <c r="L30" s="31">
        <f t="shared" si="1"/>
        <v>22219889</v>
      </c>
      <c r="M30" s="31">
        <v>215379</v>
      </c>
      <c r="N30" s="31">
        <v>340001</v>
      </c>
      <c r="O30" s="24"/>
      <c r="P30" s="24">
        <f t="shared" si="2"/>
        <v>0</v>
      </c>
    </row>
    <row r="31" spans="1:16" ht="12.75">
      <c r="A31" s="1" t="s">
        <v>41</v>
      </c>
      <c r="B31" s="35">
        <v>56077</v>
      </c>
      <c r="C31" s="31">
        <v>8444265</v>
      </c>
      <c r="D31" s="31">
        <v>681000</v>
      </c>
      <c r="E31" s="31">
        <v>12354108</v>
      </c>
      <c r="F31" s="31">
        <v>18761533</v>
      </c>
      <c r="G31" s="31">
        <v>4411458</v>
      </c>
      <c r="H31" s="31">
        <f>190466+4454948</f>
        <v>4645414</v>
      </c>
      <c r="I31" s="31">
        <f>215754+766348+2242598</f>
        <v>3224700</v>
      </c>
      <c r="J31" s="31">
        <v>3013974</v>
      </c>
      <c r="K31" s="31">
        <f t="shared" si="0"/>
        <v>46411187</v>
      </c>
      <c r="L31" s="31">
        <f t="shared" si="1"/>
        <v>55536452</v>
      </c>
      <c r="M31" s="31">
        <v>81000</v>
      </c>
      <c r="N31" s="31">
        <v>600000</v>
      </c>
      <c r="O31" s="24"/>
      <c r="P31" s="24">
        <f t="shared" si="2"/>
        <v>0</v>
      </c>
    </row>
    <row r="32" spans="1:16" ht="12.75">
      <c r="A32" s="1" t="s">
        <v>75</v>
      </c>
      <c r="B32" s="35">
        <v>33341</v>
      </c>
      <c r="C32" s="31">
        <v>4118053</v>
      </c>
      <c r="D32" s="31">
        <v>1859689</v>
      </c>
      <c r="E32" s="31">
        <v>9400587</v>
      </c>
      <c r="F32" s="31">
        <v>18447929</v>
      </c>
      <c r="G32" s="31">
        <v>1384809</v>
      </c>
      <c r="H32" s="31">
        <f>74550+2668476</f>
        <v>2743026</v>
      </c>
      <c r="I32" s="31">
        <f>2144096+1560969+728037</f>
        <v>4433102</v>
      </c>
      <c r="J32" s="31">
        <v>8084182</v>
      </c>
      <c r="K32" s="31">
        <f t="shared" si="0"/>
        <v>44493635</v>
      </c>
      <c r="L32" s="31">
        <f t="shared" si="1"/>
        <v>50471377</v>
      </c>
      <c r="M32" s="31">
        <v>1279900</v>
      </c>
      <c r="N32" s="31">
        <v>579789</v>
      </c>
      <c r="O32" s="24">
        <v>0</v>
      </c>
      <c r="P32" s="24">
        <f t="shared" si="2"/>
        <v>0</v>
      </c>
    </row>
    <row r="33" spans="1:16" ht="12.75">
      <c r="A33" s="1" t="s">
        <v>7</v>
      </c>
      <c r="B33" s="35">
        <v>41089</v>
      </c>
      <c r="C33" s="31">
        <v>4727057</v>
      </c>
      <c r="D33" s="31">
        <v>1371753</v>
      </c>
      <c r="E33" s="31">
        <v>5715135</v>
      </c>
      <c r="F33" s="31">
        <v>51500918</v>
      </c>
      <c r="G33" s="31">
        <v>2127800</v>
      </c>
      <c r="H33" s="31">
        <f>964780+1973634</f>
        <v>2938414</v>
      </c>
      <c r="I33" s="31">
        <f>6112065+1228693+2928141</f>
        <v>10268899</v>
      </c>
      <c r="J33" s="31">
        <v>7901545</v>
      </c>
      <c r="K33" s="31">
        <f t="shared" si="0"/>
        <v>80452711</v>
      </c>
      <c r="L33" s="31">
        <f t="shared" si="1"/>
        <v>86551521</v>
      </c>
      <c r="M33" s="31">
        <v>1371753</v>
      </c>
      <c r="N33" s="31">
        <v>0</v>
      </c>
      <c r="O33" s="24"/>
      <c r="P33" s="24">
        <f t="shared" si="2"/>
        <v>0</v>
      </c>
    </row>
    <row r="34" spans="1:16" ht="12.75">
      <c r="A34" s="1" t="s">
        <v>42</v>
      </c>
      <c r="B34" s="35">
        <v>32048</v>
      </c>
      <c r="C34" s="31">
        <v>6548377</v>
      </c>
      <c r="D34" s="31">
        <v>2310228</v>
      </c>
      <c r="E34" s="31">
        <v>14713098</v>
      </c>
      <c r="F34" s="31">
        <v>21161082</v>
      </c>
      <c r="G34" s="31">
        <v>3972370</v>
      </c>
      <c r="H34" s="31">
        <f>727529+3588141</f>
        <v>4315670</v>
      </c>
      <c r="I34" s="31">
        <f>4038178+2435622+3800555</f>
        <v>10274355</v>
      </c>
      <c r="J34" s="31">
        <f>20769885+38634</f>
        <v>20808519</v>
      </c>
      <c r="K34" s="31">
        <f t="shared" si="0"/>
        <v>75245094</v>
      </c>
      <c r="L34" s="31">
        <f t="shared" si="1"/>
        <v>84103699</v>
      </c>
      <c r="M34" s="31">
        <v>910228</v>
      </c>
      <c r="N34" s="31">
        <v>1400000</v>
      </c>
      <c r="O34" s="24"/>
      <c r="P34" s="24">
        <f t="shared" si="2"/>
        <v>0</v>
      </c>
    </row>
    <row r="35" spans="1:16" ht="12.75">
      <c r="A35" s="1" t="s">
        <v>44</v>
      </c>
      <c r="B35" s="35">
        <v>15651</v>
      </c>
      <c r="C35" s="31">
        <v>3675155</v>
      </c>
      <c r="D35" s="31">
        <v>1836150</v>
      </c>
      <c r="E35" s="31">
        <v>8103186</v>
      </c>
      <c r="F35" s="31">
        <v>12247370</v>
      </c>
      <c r="G35" s="31">
        <v>3472720</v>
      </c>
      <c r="H35" s="31">
        <f>348475+2280137</f>
        <v>2628612</v>
      </c>
      <c r="I35" s="31">
        <f>2498217+579347+2400633</f>
        <v>5478197</v>
      </c>
      <c r="J35" s="31">
        <v>6649412</v>
      </c>
      <c r="K35" s="31">
        <f t="shared" si="0"/>
        <v>38579497</v>
      </c>
      <c r="L35" s="31">
        <f t="shared" si="1"/>
        <v>44090802</v>
      </c>
      <c r="M35" s="31">
        <v>499930</v>
      </c>
      <c r="N35" s="31">
        <v>0</v>
      </c>
      <c r="O35" s="24">
        <v>1336220</v>
      </c>
      <c r="P35" s="24">
        <f t="shared" si="2"/>
        <v>0</v>
      </c>
    </row>
    <row r="36" spans="1:16" ht="12.75">
      <c r="A36" s="1" t="s">
        <v>1</v>
      </c>
      <c r="B36" s="35">
        <v>163527</v>
      </c>
      <c r="C36" s="31">
        <v>28782128</v>
      </c>
      <c r="D36" s="31">
        <v>7339111</v>
      </c>
      <c r="E36" s="31">
        <v>31963898</v>
      </c>
      <c r="F36" s="31">
        <v>126746467</v>
      </c>
      <c r="G36" s="31">
        <v>6383102</v>
      </c>
      <c r="H36" s="31">
        <f>1570796+9602433</f>
        <v>11173229</v>
      </c>
      <c r="I36" s="31">
        <f>9409514+7182533+5920106</f>
        <v>22512153</v>
      </c>
      <c r="J36" s="31">
        <v>62009662</v>
      </c>
      <c r="K36" s="31">
        <f t="shared" si="0"/>
        <v>260788511</v>
      </c>
      <c r="L36" s="31">
        <f t="shared" si="1"/>
        <v>296909750</v>
      </c>
      <c r="M36" s="31">
        <v>6839111</v>
      </c>
      <c r="N36" s="31">
        <v>500000</v>
      </c>
      <c r="O36" s="24"/>
      <c r="P36" s="24">
        <f t="shared" si="2"/>
        <v>0</v>
      </c>
    </row>
    <row r="37" spans="1:16" ht="12.75">
      <c r="A37" s="1" t="s">
        <v>2</v>
      </c>
      <c r="B37" s="35">
        <v>88691</v>
      </c>
      <c r="C37" s="31">
        <v>11152558</v>
      </c>
      <c r="D37" s="31">
        <v>3201000</v>
      </c>
      <c r="E37" s="31">
        <v>28110487</v>
      </c>
      <c r="F37" s="31">
        <v>79321968</v>
      </c>
      <c r="G37" s="31">
        <v>877575</v>
      </c>
      <c r="H37" s="31">
        <f>700263+6565112</f>
        <v>7265375</v>
      </c>
      <c r="I37" s="31">
        <f>9262543+2792934+3748196</f>
        <v>15803673</v>
      </c>
      <c r="J37" s="31">
        <f>5988384+225584</f>
        <v>6213968</v>
      </c>
      <c r="K37" s="31">
        <f t="shared" si="0"/>
        <v>137593046</v>
      </c>
      <c r="L37" s="31">
        <f t="shared" si="1"/>
        <v>151946604</v>
      </c>
      <c r="M37" s="31">
        <v>566000</v>
      </c>
      <c r="N37" s="31">
        <v>2635000</v>
      </c>
      <c r="O37" s="24"/>
      <c r="P37" s="24">
        <f t="shared" si="2"/>
        <v>0</v>
      </c>
    </row>
    <row r="38" spans="1:16" ht="12.75">
      <c r="A38" s="1" t="s">
        <v>10</v>
      </c>
      <c r="B38" s="36">
        <v>10596</v>
      </c>
      <c r="C38" s="31">
        <v>2259005</v>
      </c>
      <c r="D38" s="31">
        <v>1178133</v>
      </c>
      <c r="E38" s="31">
        <v>5347882</v>
      </c>
      <c r="F38" s="31">
        <v>13316990</v>
      </c>
      <c r="G38" s="31">
        <v>905967</v>
      </c>
      <c r="H38" s="31">
        <f>119627+2546234</f>
        <v>2665861</v>
      </c>
      <c r="I38" s="31">
        <f>271753+636088+100950</f>
        <v>1008791</v>
      </c>
      <c r="J38" s="31">
        <v>1344880</v>
      </c>
      <c r="K38" s="31">
        <f t="shared" si="0"/>
        <v>24590371</v>
      </c>
      <c r="L38" s="31">
        <f t="shared" si="1"/>
        <v>28027509</v>
      </c>
      <c r="M38" s="31">
        <v>678131</v>
      </c>
      <c r="N38" s="31">
        <v>500002</v>
      </c>
      <c r="O38" s="24"/>
      <c r="P38" s="24">
        <f t="shared" si="2"/>
        <v>0</v>
      </c>
    </row>
    <row r="39" spans="1:16" ht="12.75">
      <c r="A39" s="1" t="s">
        <v>43</v>
      </c>
      <c r="B39" s="35">
        <v>12756</v>
      </c>
      <c r="C39" s="31">
        <v>3159282</v>
      </c>
      <c r="D39" s="31">
        <v>583518</v>
      </c>
      <c r="E39" s="31">
        <v>4808616</v>
      </c>
      <c r="F39" s="31">
        <v>9373458</v>
      </c>
      <c r="G39" s="31">
        <v>1934063</v>
      </c>
      <c r="H39" s="31">
        <f>145543+2389474</f>
        <v>2535017</v>
      </c>
      <c r="I39" s="31">
        <f>2421256+987653+941002</f>
        <v>4349911</v>
      </c>
      <c r="J39" s="31">
        <f>5740218+44330</f>
        <v>5784548</v>
      </c>
      <c r="K39" s="31">
        <f t="shared" si="0"/>
        <v>28785613</v>
      </c>
      <c r="L39" s="31">
        <f t="shared" si="1"/>
        <v>32528413</v>
      </c>
      <c r="M39" s="31">
        <v>296518</v>
      </c>
      <c r="N39" s="31">
        <v>287000</v>
      </c>
      <c r="O39" s="24"/>
      <c r="P39" s="24">
        <f t="shared" si="2"/>
        <v>0</v>
      </c>
    </row>
    <row r="40" spans="1:16" ht="12.75">
      <c r="A40" s="1" t="s">
        <v>8</v>
      </c>
      <c r="B40" s="35">
        <v>22841</v>
      </c>
      <c r="C40" s="31">
        <v>2423957</v>
      </c>
      <c r="D40" s="31">
        <v>1090038</v>
      </c>
      <c r="E40" s="31">
        <v>12824595</v>
      </c>
      <c r="F40" s="31">
        <v>12258458</v>
      </c>
      <c r="G40" s="31">
        <v>976065</v>
      </c>
      <c r="H40" s="31">
        <f>401928+2604843</f>
        <v>3006771</v>
      </c>
      <c r="I40" s="31">
        <f>4433192+1315333+1042666</f>
        <v>6791191</v>
      </c>
      <c r="J40" s="31">
        <v>10175067</v>
      </c>
      <c r="K40" s="31">
        <f t="shared" si="0"/>
        <v>46032147</v>
      </c>
      <c r="L40" s="31">
        <f t="shared" si="1"/>
        <v>49546142</v>
      </c>
      <c r="M40" s="31">
        <v>622578</v>
      </c>
      <c r="N40" s="32">
        <v>467460</v>
      </c>
      <c r="O40" s="24"/>
      <c r="P40" s="24">
        <f t="shared" si="2"/>
        <v>0</v>
      </c>
    </row>
    <row r="41" spans="1:16" ht="12.75">
      <c r="A41" s="1" t="s">
        <v>45</v>
      </c>
      <c r="B41" s="35">
        <v>40904</v>
      </c>
      <c r="C41" s="31">
        <v>5595326</v>
      </c>
      <c r="D41" s="31">
        <v>1638520</v>
      </c>
      <c r="E41" s="31">
        <v>11193701</v>
      </c>
      <c r="F41" s="31">
        <v>22818217</v>
      </c>
      <c r="G41" s="31">
        <v>3552101</v>
      </c>
      <c r="H41" s="31">
        <v>3424708</v>
      </c>
      <c r="I41" s="31">
        <f>5220806+1107259+1742028</f>
        <v>8070093</v>
      </c>
      <c r="J41" s="31">
        <v>6060444</v>
      </c>
      <c r="K41" s="31">
        <f t="shared" si="0"/>
        <v>55119264</v>
      </c>
      <c r="L41" s="31">
        <f t="shared" si="1"/>
        <v>62353110</v>
      </c>
      <c r="M41" s="31">
        <v>1038520</v>
      </c>
      <c r="N41" s="31">
        <v>600000</v>
      </c>
      <c r="O41" s="24"/>
      <c r="P41" s="24">
        <f t="shared" si="2"/>
        <v>0</v>
      </c>
    </row>
    <row r="42" spans="1:16" ht="12.75">
      <c r="A42" s="1" t="s">
        <v>4</v>
      </c>
      <c r="B42" s="36">
        <v>77568</v>
      </c>
      <c r="C42" s="31">
        <v>8719251</v>
      </c>
      <c r="D42" s="31">
        <v>3195718</v>
      </c>
      <c r="E42" s="31">
        <v>10976261</v>
      </c>
      <c r="F42" s="31">
        <v>46473953</v>
      </c>
      <c r="G42" s="31">
        <v>1513402</v>
      </c>
      <c r="H42" s="31">
        <v>3482800</v>
      </c>
      <c r="I42" s="31">
        <f>21210371+4221340+17007673</f>
        <v>42439384</v>
      </c>
      <c r="J42" s="31">
        <v>26905087</v>
      </c>
      <c r="K42" s="31">
        <f t="shared" si="0"/>
        <v>131790887</v>
      </c>
      <c r="L42" s="31">
        <f t="shared" si="1"/>
        <v>143705856</v>
      </c>
      <c r="M42" s="31">
        <v>2945718</v>
      </c>
      <c r="N42" s="31">
        <v>250000</v>
      </c>
      <c r="O42" s="32"/>
      <c r="P42" s="24">
        <f t="shared" si="2"/>
        <v>0</v>
      </c>
    </row>
    <row r="43" spans="2:16" ht="12.75">
      <c r="B43" s="35" t="s">
        <v>87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P43" s="23" t="s">
        <v>87</v>
      </c>
    </row>
    <row r="44" spans="1:16" ht="12.75">
      <c r="A44" t="s">
        <v>87</v>
      </c>
      <c r="B44" s="24">
        <f aca="true" t="shared" si="3" ref="B44:O44">SUM(B6:B43)</f>
        <v>1529320</v>
      </c>
      <c r="C44" s="30">
        <f t="shared" si="3"/>
        <v>188709632</v>
      </c>
      <c r="D44" s="30">
        <f t="shared" si="3"/>
        <v>83328425</v>
      </c>
      <c r="E44" s="30">
        <f t="shared" si="3"/>
        <v>370149105</v>
      </c>
      <c r="F44" s="30">
        <f t="shared" si="3"/>
        <v>1005079061</v>
      </c>
      <c r="G44" s="30">
        <f t="shared" si="3"/>
        <v>137121099</v>
      </c>
      <c r="H44" s="30">
        <f t="shared" si="3"/>
        <v>160811247</v>
      </c>
      <c r="I44" s="30">
        <f t="shared" si="3"/>
        <v>365338541</v>
      </c>
      <c r="J44" s="30">
        <f t="shared" si="3"/>
        <v>479978004</v>
      </c>
      <c r="K44" s="30">
        <f t="shared" si="3"/>
        <v>2518477058</v>
      </c>
      <c r="L44" s="30">
        <f t="shared" si="3"/>
        <v>2790515114</v>
      </c>
      <c r="M44" s="30">
        <f t="shared" si="3"/>
        <v>44731987</v>
      </c>
      <c r="N44" s="30">
        <f t="shared" si="3"/>
        <v>29318476</v>
      </c>
      <c r="O44" s="30">
        <f t="shared" si="3"/>
        <v>9277962</v>
      </c>
      <c r="P44" s="30"/>
    </row>
    <row r="45" spans="3:14" ht="12.7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7" ht="12.75">
      <c r="J47" t="s">
        <v>87</v>
      </c>
    </row>
  </sheetData>
  <printOptions/>
  <pageMargins left="0.75" right="0.75" top="1" bottom="1" header="0.5" footer="0.5"/>
  <pageSetup fitToHeight="1" fitToWidth="1" horizontalDpi="600" verticalDpi="600" orientation="landscape" scale="70" r:id="rId1"/>
  <ignoredErrors>
    <ignoredError sqref="L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esmith</dc:creator>
  <cp:keywords/>
  <dc:description/>
  <cp:lastModifiedBy> </cp:lastModifiedBy>
  <cp:lastPrinted>2008-11-24T16:50:10Z</cp:lastPrinted>
  <dcterms:created xsi:type="dcterms:W3CDTF">2000-07-12T18:49:34Z</dcterms:created>
  <dcterms:modified xsi:type="dcterms:W3CDTF">2013-08-29T16:51:18Z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1070588521</vt:i4>
  </property>
  <property fmtid="{D5CDD505-2E9C-101B-9397-08002B2CF9AE}" pid="3" name="_ReviewingToolsShownOnce">
    <vt:lpwstr/>
  </property>
</Properties>
</file>