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65" windowHeight="11550" activeTab="1"/>
  </bookViews>
  <sheets>
    <sheet name="2013-14 Summary" sheetId="1" r:id="rId1"/>
    <sheet name="2013-14 Back-Up Data" sheetId="2" r:id="rId2"/>
  </sheets>
  <definedNames>
    <definedName name="_xlnm.Print_Titles" localSheetId="0">'2013-14 Summary'!$1:$4</definedName>
  </definedNames>
  <calcPr fullCalcOnLoad="1"/>
</workbook>
</file>

<file path=xl/sharedStrings.xml><?xml version="1.0" encoding="utf-8"?>
<sst xmlns="http://schemas.openxmlformats.org/spreadsheetml/2006/main" count="153" uniqueCount="94">
  <si>
    <t>Nassau</t>
  </si>
  <si>
    <t>Suffolk 1</t>
  </si>
  <si>
    <t>Suffolk 2</t>
  </si>
  <si>
    <t>Erie 1</t>
  </si>
  <si>
    <t>Westchester 2</t>
  </si>
  <si>
    <t>Monroe 1</t>
  </si>
  <si>
    <t>Dutchess</t>
  </si>
  <si>
    <t>Rockland</t>
  </si>
  <si>
    <t>Ulster</t>
  </si>
  <si>
    <t>Oswego</t>
  </si>
  <si>
    <t>Sullivan</t>
  </si>
  <si>
    <t>GENERAL</t>
  </si>
  <si>
    <t>ADMIN.</t>
  </si>
  <si>
    <t>CAPITAL</t>
  </si>
  <si>
    <t>ITINERANT</t>
  </si>
  <si>
    <t>EDUC</t>
  </si>
  <si>
    <t>INST</t>
  </si>
  <si>
    <t>SUPP</t>
  </si>
  <si>
    <t>OTHER</t>
  </si>
  <si>
    <t>TOTAL</t>
  </si>
  <si>
    <t>PROGRAM</t>
  </si>
  <si>
    <t>GRAND</t>
  </si>
  <si>
    <t>Albany</t>
  </si>
  <si>
    <t>Broome</t>
  </si>
  <si>
    <t>Cattaraugus</t>
  </si>
  <si>
    <t>Cayuga</t>
  </si>
  <si>
    <t>Clinton</t>
  </si>
  <si>
    <t>Erie 2</t>
  </si>
  <si>
    <t>Franklin</t>
  </si>
  <si>
    <t>Genesee</t>
  </si>
  <si>
    <t>Herkimer</t>
  </si>
  <si>
    <t>Madison</t>
  </si>
  <si>
    <t>Hamilton</t>
  </si>
  <si>
    <t>Jefferson</t>
  </si>
  <si>
    <t>Monroe 2</t>
  </si>
  <si>
    <t>Oneida</t>
  </si>
  <si>
    <t>Onondaga</t>
  </si>
  <si>
    <t>Ontario</t>
  </si>
  <si>
    <t>Orange</t>
  </si>
  <si>
    <t>Orleans</t>
  </si>
  <si>
    <t>Otsego</t>
  </si>
  <si>
    <t>Putnam</t>
  </si>
  <si>
    <t>Schuyler</t>
  </si>
  <si>
    <t>Tompkins</t>
  </si>
  <si>
    <t>St. Lawrence</t>
  </si>
  <si>
    <t>Washington</t>
  </si>
  <si>
    <t>BOCES</t>
  </si>
  <si>
    <t>Delaware</t>
  </si>
  <si>
    <t>BUDGET</t>
  </si>
  <si>
    <t>PER PUPIL</t>
  </si>
  <si>
    <t>% of TOTAL</t>
  </si>
  <si>
    <t>ADM &amp; CAP</t>
  </si>
  <si>
    <t>% of TOT</t>
  </si>
  <si>
    <t>TOT BUD</t>
  </si>
  <si>
    <t>*TOTAL*</t>
  </si>
  <si>
    <t>*AVERAGE*</t>
  </si>
  <si>
    <t>*MEDIAN*</t>
  </si>
  <si>
    <t>ADMINISTRATION</t>
  </si>
  <si>
    <t>AD BUDGET</t>
  </si>
  <si>
    <t>GEN ADM</t>
  </si>
  <si>
    <t>CP BUDGET</t>
  </si>
  <si>
    <t>% of BUDGET</t>
  </si>
  <si>
    <t>COMBINED</t>
  </si>
  <si>
    <t>EDUCATION</t>
  </si>
  <si>
    <t>SPECIAL</t>
  </si>
  <si>
    <t xml:space="preserve">Budget </t>
  </si>
  <si>
    <t>SP ED</t>
  </si>
  <si>
    <t>PER PUP</t>
  </si>
  <si>
    <t>ITIN</t>
  </si>
  <si>
    <t>SERVICES</t>
  </si>
  <si>
    <t>*MEDAIN*</t>
  </si>
  <si>
    <t>INSTRUCTION</t>
  </si>
  <si>
    <t>SUPPORT</t>
  </si>
  <si>
    <t>GEN INST</t>
  </si>
  <si>
    <t>INS SUPP</t>
  </si>
  <si>
    <t>Rensselaer</t>
  </si>
  <si>
    <t>ADMINISTRATION &amp;</t>
  </si>
  <si>
    <t>CAREER &amp; TECHNICAL</t>
  </si>
  <si>
    <t>C&amp;T ED</t>
  </si>
  <si>
    <t>INSTRUCTIONAL</t>
  </si>
  <si>
    <t>CTE</t>
  </si>
  <si>
    <t>DASNY</t>
  </si>
  <si>
    <t>PUPIL</t>
  </si>
  <si>
    <t>COUNT</t>
  </si>
  <si>
    <t xml:space="preserve">BACK-UP DATA </t>
  </si>
  <si>
    <t>Rent</t>
  </si>
  <si>
    <t>Constr</t>
  </si>
  <si>
    <t xml:space="preserve"> </t>
  </si>
  <si>
    <t>;</t>
  </si>
  <si>
    <t>2013-2014 BOCES Program &amp; Administrative/Capital Budgets Summary</t>
  </si>
  <si>
    <t>2013-2014 BOCES General Administration &amp; Capital Budgets</t>
  </si>
  <si>
    <t>2013-2014 CAREER &amp; TECH., Spec. Ed. and Itin. Ed. Budgets</t>
  </si>
  <si>
    <t>2013-2014 BOCES Gen. Inst., Inst Supp. and Other Prog. Budgets</t>
  </si>
  <si>
    <t>2013-14 BOCES BUDGETS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</si>
</sst>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0_);\(0.00\)"/>
  </numFmts>
  <fonts count="39">
    <font>
      <sz val="10"/>
      <name val="Arial"/>
      <family val="0"/>
    </font>
    <font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4" fontId="0" fillId="33" borderId="0" xfId="44" applyFont="1" applyFill="1" applyAlignment="1">
      <alignment horizontal="center"/>
    </xf>
    <xf numFmtId="10" fontId="0" fillId="33" borderId="0" xfId="59" applyNumberFormat="1" applyFont="1" applyFill="1" applyAlignment="1">
      <alignment horizontal="center"/>
    </xf>
    <xf numFmtId="44" fontId="0" fillId="33" borderId="0" xfId="44" applyFont="1" applyFill="1" applyAlignment="1">
      <alignment/>
    </xf>
    <xf numFmtId="10" fontId="0" fillId="33" borderId="0" xfId="59" applyNumberFormat="1" applyFont="1" applyFill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Alignment="1">
      <alignment horizontal="center"/>
    </xf>
    <xf numFmtId="168" fontId="0" fillId="0" borderId="0" xfId="44" applyNumberFormat="1" applyFont="1" applyAlignment="1">
      <alignment/>
    </xf>
    <xf numFmtId="168" fontId="0" fillId="33" borderId="0" xfId="44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44" applyNumberFormat="1" applyFont="1" applyFill="1" applyAlignment="1">
      <alignment horizontal="center"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1" fontId="4" fillId="0" borderId="0" xfId="42" applyNumberFormat="1" applyFont="1" applyAlignment="1">
      <alignment horizontal="center"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3" fontId="0" fillId="0" borderId="0" xfId="44" applyNumberFormat="1" applyFont="1" applyAlignment="1">
      <alignment/>
    </xf>
    <xf numFmtId="43" fontId="0" fillId="0" borderId="0" xfId="44" applyNumberFormat="1" applyFont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 applyProtection="1">
      <alignment horizontal="center"/>
      <protection locked="0"/>
    </xf>
    <xf numFmtId="172" fontId="0" fillId="0" borderId="0" xfId="44" applyNumberFormat="1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Y47"/>
  <sheetViews>
    <sheetView zoomScalePageLayoutView="0" workbookViewId="0" topLeftCell="A1">
      <selection activeCell="AU32" sqref="AU32"/>
    </sheetView>
  </sheetViews>
  <sheetFormatPr defaultColWidth="9.140625" defaultRowHeight="12.75"/>
  <cols>
    <col min="3" max="3" width="13.140625" style="2" bestFit="1" customWidth="1"/>
    <col min="4" max="4" width="15.140625" style="0" bestFit="1" customWidth="1"/>
    <col min="5" max="5" width="11.28125" style="0" bestFit="1" customWidth="1"/>
    <col min="6" max="6" width="11.140625" style="0" bestFit="1" customWidth="1"/>
    <col min="7" max="7" width="18.140625" style="0" bestFit="1" customWidth="1"/>
    <col min="8" max="8" width="10.7109375" style="0" bestFit="1" customWidth="1"/>
    <col min="9" max="9" width="11.421875" style="0" bestFit="1" customWidth="1"/>
    <col min="10" max="10" width="17.7109375" style="0" bestFit="1" customWidth="1"/>
    <col min="11" max="11" width="10.7109375" style="0" bestFit="1" customWidth="1"/>
    <col min="16" max="16" width="13.140625" style="2" bestFit="1" customWidth="1"/>
    <col min="17" max="17" width="14.140625" style="3" customWidth="1"/>
    <col min="18" max="18" width="12.8515625" style="3" bestFit="1" customWidth="1"/>
    <col min="19" max="19" width="11.00390625" style="4" bestFit="1" customWidth="1"/>
    <col min="20" max="20" width="13.28125" style="16" customWidth="1"/>
    <col min="21" max="21" width="12.8515625" style="3" bestFit="1" customWidth="1"/>
    <col min="22" max="22" width="12.8515625" style="4" bestFit="1" customWidth="1"/>
    <col min="23" max="23" width="12.00390625" style="3" bestFit="1" customWidth="1"/>
    <col min="28" max="28" width="13.140625" style="2" bestFit="1" customWidth="1"/>
    <col min="29" max="29" width="20.7109375" style="16" customWidth="1"/>
    <col min="30" max="30" width="12.00390625" style="3" bestFit="1" customWidth="1"/>
    <col min="31" max="31" width="9.140625" style="4" customWidth="1"/>
    <col min="32" max="32" width="15.57421875" style="16" customWidth="1"/>
    <col min="33" max="33" width="10.421875" style="3" bestFit="1" customWidth="1"/>
    <col min="34" max="34" width="9.140625" style="4" customWidth="1"/>
    <col min="35" max="35" width="13.28125" style="16" customWidth="1"/>
    <col min="36" max="36" width="11.8515625" style="3" bestFit="1" customWidth="1"/>
    <col min="37" max="37" width="9.140625" style="4" customWidth="1"/>
    <col min="42" max="42" width="13.140625" style="2" bestFit="1" customWidth="1"/>
    <col min="43" max="43" width="13.421875" style="16" customWidth="1"/>
    <col min="44" max="44" width="10.7109375" style="3" bestFit="1" customWidth="1"/>
    <col min="45" max="45" width="9.57421875" style="4" bestFit="1" customWidth="1"/>
    <col min="46" max="46" width="14.7109375" style="16" customWidth="1"/>
    <col min="47" max="47" width="10.7109375" style="3" bestFit="1" customWidth="1"/>
    <col min="48" max="48" width="9.7109375" style="4" bestFit="1" customWidth="1"/>
    <col min="49" max="49" width="13.28125" style="16" customWidth="1"/>
    <col min="50" max="50" width="10.7109375" style="3" bestFit="1" customWidth="1"/>
    <col min="51" max="51" width="8.7109375" style="4" bestFit="1" customWidth="1"/>
  </cols>
  <sheetData>
    <row r="1" spans="3:51" ht="15.75">
      <c r="C1" s="32" t="s">
        <v>89</v>
      </c>
      <c r="D1" s="32"/>
      <c r="E1" s="32"/>
      <c r="F1" s="32"/>
      <c r="G1" s="32"/>
      <c r="H1" s="32"/>
      <c r="I1" s="32"/>
      <c r="J1" s="32"/>
      <c r="K1" s="32"/>
      <c r="P1" s="32" t="s">
        <v>90</v>
      </c>
      <c r="Q1" s="32"/>
      <c r="R1" s="32"/>
      <c r="S1" s="32"/>
      <c r="T1" s="32"/>
      <c r="U1" s="32"/>
      <c r="V1" s="32"/>
      <c r="W1" s="32"/>
      <c r="AB1" s="32" t="s">
        <v>91</v>
      </c>
      <c r="AC1" s="32"/>
      <c r="AD1" s="32"/>
      <c r="AE1" s="32"/>
      <c r="AF1" s="32"/>
      <c r="AG1" s="32"/>
      <c r="AH1" s="32"/>
      <c r="AI1" s="32"/>
      <c r="AJ1" s="32"/>
      <c r="AK1" s="32"/>
      <c r="AP1" s="32" t="s">
        <v>92</v>
      </c>
      <c r="AQ1" s="32"/>
      <c r="AR1" s="32"/>
      <c r="AS1" s="32"/>
      <c r="AT1" s="32"/>
      <c r="AU1" s="32"/>
      <c r="AV1" s="32"/>
      <c r="AW1" s="32"/>
      <c r="AX1" s="32"/>
      <c r="AY1" s="32"/>
    </row>
    <row r="3" spans="3:51" ht="12.75">
      <c r="C3" s="6" t="s">
        <v>46</v>
      </c>
      <c r="D3" s="6" t="s">
        <v>19</v>
      </c>
      <c r="E3" s="6" t="s">
        <v>48</v>
      </c>
      <c r="F3" s="6" t="s">
        <v>20</v>
      </c>
      <c r="G3" s="6" t="s">
        <v>76</v>
      </c>
      <c r="H3" s="6" t="s">
        <v>48</v>
      </c>
      <c r="I3" s="6" t="s">
        <v>51</v>
      </c>
      <c r="J3" s="6" t="s">
        <v>19</v>
      </c>
      <c r="K3" s="6" t="s">
        <v>53</v>
      </c>
      <c r="P3" s="6" t="s">
        <v>46</v>
      </c>
      <c r="Q3" s="10" t="s">
        <v>11</v>
      </c>
      <c r="R3" s="10" t="s">
        <v>58</v>
      </c>
      <c r="S3" s="11" t="s">
        <v>59</v>
      </c>
      <c r="T3" s="19" t="s">
        <v>13</v>
      </c>
      <c r="U3" s="10" t="s">
        <v>60</v>
      </c>
      <c r="V3" s="11" t="s">
        <v>13</v>
      </c>
      <c r="W3" s="10" t="s">
        <v>62</v>
      </c>
      <c r="AB3" s="6" t="s">
        <v>46</v>
      </c>
      <c r="AC3" s="19" t="s">
        <v>77</v>
      </c>
      <c r="AD3" s="10" t="s">
        <v>65</v>
      </c>
      <c r="AE3" s="11" t="s">
        <v>78</v>
      </c>
      <c r="AF3" s="19" t="s">
        <v>64</v>
      </c>
      <c r="AG3" s="10" t="s">
        <v>48</v>
      </c>
      <c r="AH3" s="11" t="s">
        <v>66</v>
      </c>
      <c r="AI3" s="19" t="s">
        <v>14</v>
      </c>
      <c r="AJ3" s="10" t="s">
        <v>48</v>
      </c>
      <c r="AK3" s="11" t="s">
        <v>68</v>
      </c>
      <c r="AP3" s="6" t="s">
        <v>46</v>
      </c>
      <c r="AQ3" s="19" t="s">
        <v>11</v>
      </c>
      <c r="AR3" s="10" t="s">
        <v>48</v>
      </c>
      <c r="AS3" s="11" t="s">
        <v>73</v>
      </c>
      <c r="AT3" s="19" t="s">
        <v>79</v>
      </c>
      <c r="AU3" s="10" t="s">
        <v>48</v>
      </c>
      <c r="AV3" s="11" t="s">
        <v>74</v>
      </c>
      <c r="AW3" s="19" t="s">
        <v>18</v>
      </c>
      <c r="AX3" s="10" t="s">
        <v>48</v>
      </c>
      <c r="AY3" s="11" t="s">
        <v>18</v>
      </c>
    </row>
    <row r="4" spans="3:51" ht="12.75">
      <c r="C4" s="6"/>
      <c r="D4" s="6" t="s">
        <v>20</v>
      </c>
      <c r="E4" s="6" t="s">
        <v>49</v>
      </c>
      <c r="F4" s="6" t="s">
        <v>50</v>
      </c>
      <c r="G4" s="6" t="s">
        <v>13</v>
      </c>
      <c r="H4" s="6" t="s">
        <v>49</v>
      </c>
      <c r="I4" s="6" t="s">
        <v>52</v>
      </c>
      <c r="J4" s="6" t="s">
        <v>48</v>
      </c>
      <c r="K4" s="6" t="s">
        <v>67</v>
      </c>
      <c r="P4" s="6"/>
      <c r="Q4" s="10" t="s">
        <v>57</v>
      </c>
      <c r="R4" s="10" t="s">
        <v>49</v>
      </c>
      <c r="S4" s="11" t="s">
        <v>50</v>
      </c>
      <c r="T4" s="19"/>
      <c r="U4" s="10" t="s">
        <v>49</v>
      </c>
      <c r="V4" s="11" t="s">
        <v>61</v>
      </c>
      <c r="W4" s="10" t="s">
        <v>49</v>
      </c>
      <c r="AB4" s="6"/>
      <c r="AC4" s="19" t="s">
        <v>63</v>
      </c>
      <c r="AD4" s="10" t="s">
        <v>49</v>
      </c>
      <c r="AE4" s="11" t="s">
        <v>52</v>
      </c>
      <c r="AF4" s="19" t="s">
        <v>63</v>
      </c>
      <c r="AG4" s="10" t="s">
        <v>67</v>
      </c>
      <c r="AH4" s="11" t="s">
        <v>52</v>
      </c>
      <c r="AI4" s="19" t="s">
        <v>69</v>
      </c>
      <c r="AJ4" s="10" t="s">
        <v>49</v>
      </c>
      <c r="AK4" s="11" t="s">
        <v>52</v>
      </c>
      <c r="AP4" s="6"/>
      <c r="AQ4" s="19" t="s">
        <v>71</v>
      </c>
      <c r="AR4" s="10" t="s">
        <v>49</v>
      </c>
      <c r="AS4" s="11" t="s">
        <v>52</v>
      </c>
      <c r="AT4" s="19" t="s">
        <v>72</v>
      </c>
      <c r="AU4" s="10" t="s">
        <v>49</v>
      </c>
      <c r="AV4" s="11" t="s">
        <v>52</v>
      </c>
      <c r="AW4" s="19" t="s">
        <v>69</v>
      </c>
      <c r="AX4" s="10" t="s">
        <v>49</v>
      </c>
      <c r="AY4" s="11" t="s">
        <v>52</v>
      </c>
    </row>
    <row r="6" spans="3:51" ht="12.75">
      <c r="C6" s="2" t="str">
        <f>'2013-14 Back-Up Data'!A6</f>
        <v>Albany</v>
      </c>
      <c r="D6" s="16">
        <f>'2013-14 Back-Up Data'!K6</f>
        <v>92988529</v>
      </c>
      <c r="E6" s="3">
        <f>'2013-14 Back-Up Data'!K6/'2013-14 Back-Up Data'!B6</f>
        <v>1173.9641833630017</v>
      </c>
      <c r="F6" s="4">
        <f>'2013-14 Back-Up Data'!K6/'2013-14 Back-Up Data'!L6</f>
        <v>0.9029629529288036</v>
      </c>
      <c r="G6" s="16">
        <f>'2013-14 Back-Up Data'!C6+'2013-14 Back-Up Data'!D6</f>
        <v>9993026</v>
      </c>
      <c r="H6" s="3">
        <v>0</v>
      </c>
      <c r="I6" s="4">
        <f>('2013-14 Back-Up Data'!C6+'2013-14 Back-Up Data'!D6)/'2013-14 Back-Up Data'!L6</f>
        <v>0.0970370470711964</v>
      </c>
      <c r="J6" s="16">
        <f>'2013-14 Back-Up Data'!L6</f>
        <v>102981555</v>
      </c>
      <c r="K6" s="3">
        <f>'2013-14 Back-Up Data'!L6/'2013-14 Back-Up Data'!B6</f>
        <v>1300.124417679809</v>
      </c>
      <c r="P6" s="2" t="str">
        <f>'2013-14 Back-Up Data'!A6</f>
        <v>Albany</v>
      </c>
      <c r="Q6" s="16">
        <f>'2013-14 Back-Up Data'!C6</f>
        <v>7738395</v>
      </c>
      <c r="R6" s="3">
        <f>'2013-14 Back-Up Data'!C6/'2013-14 Back-Up Data'!B6</f>
        <v>97.69590576828391</v>
      </c>
      <c r="S6" s="4">
        <f>'2013-14 Back-Up Data'!C6/'2013-14 Back-Up Data'!L6</f>
        <v>0.07514350506748514</v>
      </c>
      <c r="T6" s="16">
        <f>'2013-14 Back-Up Data'!D6</f>
        <v>2254631</v>
      </c>
      <c r="U6" s="3">
        <f>'2013-14 Back-Up Data'!D6/'2013-14 Back-Up Data'!B6</f>
        <v>28.464328548523525</v>
      </c>
      <c r="V6" s="4">
        <f>'2013-14 Back-Up Data'!D6/'2013-14 Back-Up Data'!L6</f>
        <v>0.02189354200371125</v>
      </c>
      <c r="W6" s="3">
        <f>SUM('2013-14 Back-Up Data'!C6+'2013-14 Back-Up Data'!D6)/'2013-14 Back-Up Data'!B6</f>
        <v>126.16023431680743</v>
      </c>
      <c r="AB6" s="2" t="str">
        <f>'2013-14 Back-Up Data'!A6</f>
        <v>Albany</v>
      </c>
      <c r="AC6" s="16">
        <f>'2013-14 Back-Up Data'!E6</f>
        <v>10835451</v>
      </c>
      <c r="AD6" s="3">
        <f>'2013-14 Back-Up Data'!E6/'2013-14 Back-Up Data'!B6</f>
        <v>136.7957050335189</v>
      </c>
      <c r="AE6" s="4">
        <f>'2013-14 Back-Up Data'!E6/'2013-14 Back-Up Data'!L6</f>
        <v>0.1052173954840748</v>
      </c>
      <c r="AF6" s="16">
        <f>'2013-14 Back-Up Data'!F6</f>
        <v>29253083</v>
      </c>
      <c r="AG6" s="3">
        <f>'2013-14 Back-Up Data'!F6/'2013-14 Back-Up Data'!B6</f>
        <v>369.31514095620446</v>
      </c>
      <c r="AH6" s="4">
        <f>'2013-14 Back-Up Data'!F6/'2013-14 Back-Up Data'!L6</f>
        <v>0.28406138361379374</v>
      </c>
      <c r="AI6" s="16">
        <f>'2013-14 Back-Up Data'!G6</f>
        <v>4206974</v>
      </c>
      <c r="AJ6" s="3">
        <f>'2013-14 Back-Up Data'!G6/'2013-14 Back-Up Data'!B6</f>
        <v>53.11232309459783</v>
      </c>
      <c r="AK6" s="4">
        <f>'2013-14 Back-Up Data'!G6/'2013-14 Back-Up Data'!L6</f>
        <v>0.040851723398428</v>
      </c>
      <c r="AP6" s="2" t="str">
        <f>'2013-14 Back-Up Data'!A6</f>
        <v>Albany</v>
      </c>
      <c r="AQ6" s="16">
        <f>'2013-14 Back-Up Data'!H6</f>
        <v>5159982</v>
      </c>
      <c r="AR6" s="3">
        <f>'2013-14 Back-Up Data'!H6/'2013-14 Back-Up Data'!B6</f>
        <v>65.14388516456464</v>
      </c>
      <c r="AS6" s="4">
        <f>'2013-14 Back-Up Data'!H6/'2013-14 Back-Up Data'!L6</f>
        <v>0.050105885466577</v>
      </c>
      <c r="AT6" s="16">
        <f>'2013-14 Back-Up Data'!I6</f>
        <v>7701120</v>
      </c>
      <c r="AU6" s="3">
        <f>'2013-14 Back-Up Data'!I6/'2013-14 Back-Up Data'!B6</f>
        <v>97.22531530507896</v>
      </c>
      <c r="AV6" s="4">
        <f>'2013-14 Back-Up Data'!I6/'2013-14 Back-Up Data'!L6</f>
        <v>0.07478154704500238</v>
      </c>
      <c r="AW6" s="16">
        <f>'2013-14 Back-Up Data'!J6</f>
        <v>35831919</v>
      </c>
      <c r="AX6" s="3">
        <f>'2013-14 Back-Up Data'!J6/'2013-14 Back-Up Data'!B6</f>
        <v>452.37181380903684</v>
      </c>
      <c r="AY6" s="4">
        <f>'2013-14 Back-Up Data'!J6/'2013-14 Back-Up Data'!L6</f>
        <v>0.3479450179209277</v>
      </c>
    </row>
    <row r="7" spans="3:51" ht="12.75">
      <c r="C7" s="2" t="str">
        <f>'2013-14 Back-Up Data'!A7</f>
        <v>Broome</v>
      </c>
      <c r="D7" s="27">
        <f>'2013-14 Back-Up Data'!K7</f>
        <v>85128089</v>
      </c>
      <c r="E7" s="28">
        <f>'2013-14 Back-Up Data'!K7/'2013-14 Back-Up Data'!B7</f>
        <v>2683.735466582598</v>
      </c>
      <c r="F7" s="4">
        <f>'2013-14 Back-Up Data'!K7/'2013-14 Back-Up Data'!L7</f>
        <v>0.9477820805801194</v>
      </c>
      <c r="G7" s="27">
        <f>'2013-14 Back-Up Data'!C7+'2013-14 Back-Up Data'!D7</f>
        <v>4690120</v>
      </c>
      <c r="H7" s="28">
        <f>('2013-14 Back-Up Data'!C8+'2013-14 Back-Up Data'!D8)/'2013-14 Back-Up Data'!B7</f>
        <v>170.64943253467843</v>
      </c>
      <c r="I7" s="4">
        <f>('2013-14 Back-Up Data'!C7+'2013-14 Back-Up Data'!D7)/'2013-14 Back-Up Data'!L7</f>
        <v>0.05221791941988066</v>
      </c>
      <c r="J7" s="27">
        <f>'2013-14 Back-Up Data'!L7</f>
        <v>89818209</v>
      </c>
      <c r="K7" s="28">
        <f>'2013-14 Back-Up Data'!L7/'2013-14 Back-Up Data'!B7</f>
        <v>2831.5954918032785</v>
      </c>
      <c r="P7" s="2" t="str">
        <f>'2013-14 Back-Up Data'!A7</f>
        <v>Broome</v>
      </c>
      <c r="Q7" s="27">
        <f>'2013-14 Back-Up Data'!C7</f>
        <v>3002110</v>
      </c>
      <c r="R7" s="31">
        <f>'2013-14 Back-Up Data'!C8/'2013-14 Back-Up Data'!B7</f>
        <v>82.37704918032787</v>
      </c>
      <c r="S7" s="4">
        <f>'2013-14 Back-Up Data'!C7/'2013-14 Back-Up Data'!L7</f>
        <v>0.03342429150418708</v>
      </c>
      <c r="T7" s="27">
        <f>'2013-14 Back-Up Data'!D7</f>
        <v>1688010</v>
      </c>
      <c r="U7" s="31">
        <f>'2013-14 Back-Up Data'!D8/'2013-14 Back-Up Data'!B7</f>
        <v>88.27238335435057</v>
      </c>
      <c r="V7" s="4">
        <f>'2013-14 Back-Up Data'!D7/'2013-14 Back-Up Data'!L7</f>
        <v>0.018793627915693577</v>
      </c>
      <c r="W7" s="31">
        <f>SUM('2013-14 Back-Up Data'!C8+'2013-14 Back-Up Data'!D8)/'2013-14 Back-Up Data'!B7</f>
        <v>170.64943253467843</v>
      </c>
      <c r="AB7" s="2" t="str">
        <f>'2013-14 Back-Up Data'!A7</f>
        <v>Broome</v>
      </c>
      <c r="AC7" s="27">
        <f>'2013-14 Back-Up Data'!E7</f>
        <v>8441339</v>
      </c>
      <c r="AD7" s="3">
        <f>'2013-14 Back-Up Data'!E7/'2013-14 Back-Up Data'!B7</f>
        <v>266.12039722572507</v>
      </c>
      <c r="AE7" s="4">
        <f>'2013-14 Back-Up Data'!E7/'2013-14 Back-Up Data'!L7</f>
        <v>0.09398249078869965</v>
      </c>
      <c r="AF7" s="27">
        <f>'2013-14 Back-Up Data'!F7</f>
        <v>27038891</v>
      </c>
      <c r="AG7" s="31">
        <f>'2013-14 Back-Up Data'!F8/'2013-14 Back-Up Data'!B7</f>
        <v>484.5139344262295</v>
      </c>
      <c r="AH7" s="4">
        <f>'2013-14 Back-Up Data'!F7/'2013-14 Back-Up Data'!L7</f>
        <v>0.3010401933086864</v>
      </c>
      <c r="AI7" s="27">
        <f>'2013-14 Back-Up Data'!G7</f>
        <v>2076906</v>
      </c>
      <c r="AJ7" s="31">
        <f>'2013-14 Back-Up Data'!G7/'2013-14 Back-Up Data'!B7</f>
        <v>65.47622950819672</v>
      </c>
      <c r="AK7" s="4">
        <f>'2013-14 Back-Up Data'!G7/'2013-14 Back-Up Data'!L7</f>
        <v>0.023123440370537783</v>
      </c>
      <c r="AP7" s="2" t="str">
        <f>'2013-14 Back-Up Data'!A7</f>
        <v>Broome</v>
      </c>
      <c r="AQ7" s="27">
        <f>'2013-14 Back-Up Data'!H7</f>
        <v>6166215</v>
      </c>
      <c r="AR7" s="31">
        <f>'2013-14 Back-Up Data'!H7/'2013-14 Back-Up Data'!B7</f>
        <v>194.3951765447667</v>
      </c>
      <c r="AS7" s="4">
        <f>'2013-14 Back-Up Data'!H7/'2013-14 Back-Up Data'!L7</f>
        <v>0.0686521705192318</v>
      </c>
      <c r="AT7" s="27">
        <f>'2013-14 Back-Up Data'!I7</f>
        <v>8796419</v>
      </c>
      <c r="AU7" s="31">
        <f>'2013-14 Back-Up Data'!I7/'2013-14 Back-Up Data'!B7</f>
        <v>277.3145964691047</v>
      </c>
      <c r="AV7" s="4">
        <f>'2013-14 Back-Up Data'!I7/'2013-14 Back-Up Data'!L7</f>
        <v>0.09793580943035726</v>
      </c>
      <c r="AW7" s="27">
        <f>'2013-14 Back-Up Data'!J7</f>
        <v>32608319</v>
      </c>
      <c r="AX7" s="31">
        <f>'2013-14 Back-Up Data'!J7/'2013-14 Back-Up Data'!B7</f>
        <v>1028.0050126103404</v>
      </c>
      <c r="AY7" s="4">
        <f>'2013-14 Back-Up Data'!J7/'2013-14 Back-Up Data'!L7</f>
        <v>0.3630479761626064</v>
      </c>
    </row>
    <row r="8" spans="3:51" ht="12.75">
      <c r="C8" s="2" t="str">
        <f>'2013-14 Back-Up Data'!A8</f>
        <v>Cattaraugus</v>
      </c>
      <c r="D8" s="27">
        <f>'2013-14 Back-Up Data'!K8</f>
        <v>53889000</v>
      </c>
      <c r="E8" s="28">
        <f>'2013-14 Back-Up Data'!K8/'2013-14 Back-Up Data'!B8</f>
        <v>3069.723725434349</v>
      </c>
      <c r="F8" s="4">
        <f>'2013-14 Back-Up Data'!K8/'2013-14 Back-Up Data'!L8</f>
        <v>0.9087214596472294</v>
      </c>
      <c r="G8" s="27">
        <f>'2013-14 Back-Up Data'!C8+'2013-14 Back-Up Data'!D8</f>
        <v>5413000</v>
      </c>
      <c r="H8" s="28" t="e">
        <f>('2013-14 Back-Up Data'!#REF!+'2013-14 Back-Up Data'!#REF!)/'2013-14 Back-Up Data'!B8</f>
        <v>#REF!</v>
      </c>
      <c r="I8" s="4">
        <f>('2013-14 Back-Up Data'!C8+'2013-14 Back-Up Data'!D8)/'2013-14 Back-Up Data'!L8</f>
        <v>0.09127854035277057</v>
      </c>
      <c r="J8" s="27">
        <f>'2013-14 Back-Up Data'!L8</f>
        <v>59302000</v>
      </c>
      <c r="K8" s="28">
        <f>'2013-14 Back-Up Data'!L8/'2013-14 Back-Up Data'!B8</f>
        <v>3378.068926231843</v>
      </c>
      <c r="P8" s="2" t="str">
        <f>'2013-14 Back-Up Data'!A8</f>
        <v>Cattaraugus</v>
      </c>
      <c r="Q8" s="27">
        <f>'2013-14 Back-Up Data'!C8</f>
        <v>2613000</v>
      </c>
      <c r="R8" s="31" t="e">
        <f>'2013-14 Back-Up Data'!#REF!/'2013-14 Back-Up Data'!B8</f>
        <v>#REF!</v>
      </c>
      <c r="S8" s="4">
        <f>'2013-14 Back-Up Data'!C8/'2013-14 Back-Up Data'!L8</f>
        <v>0.044062594853461944</v>
      </c>
      <c r="T8" s="27">
        <f>'2013-14 Back-Up Data'!D8</f>
        <v>2800000</v>
      </c>
      <c r="U8" s="31" t="e">
        <f>'2013-14 Back-Up Data'!#REF!/'2013-14 Back-Up Data'!B8</f>
        <v>#REF!</v>
      </c>
      <c r="V8" s="4">
        <f>'2013-14 Back-Up Data'!D8/'2013-14 Back-Up Data'!L8</f>
        <v>0.047215945499308624</v>
      </c>
      <c r="W8" s="31" t="e">
        <f>SUM('2013-14 Back-Up Data'!#REF!+'2013-14 Back-Up Data'!#REF!)/'2013-14 Back-Up Data'!B8</f>
        <v>#REF!</v>
      </c>
      <c r="AB8" s="2" t="str">
        <f>'2013-14 Back-Up Data'!A8</f>
        <v>Cattaraugus</v>
      </c>
      <c r="AC8" s="27">
        <f>'2013-14 Back-Up Data'!E8</f>
        <v>8922815</v>
      </c>
      <c r="AD8" s="3">
        <f>'2013-14 Back-Up Data'!E8/'2013-14 Back-Up Data'!B8</f>
        <v>508.27769866135003</v>
      </c>
      <c r="AE8" s="4">
        <f>'2013-14 Back-Up Data'!E8/'2013-14 Back-Up Data'!L8</f>
        <v>0.1504639809787191</v>
      </c>
      <c r="AF8" s="27">
        <f>'2013-14 Back-Up Data'!F8</f>
        <v>15368782</v>
      </c>
      <c r="AG8" s="31" t="e">
        <f>'2013-14 Back-Up Data'!#REF!/'2013-14 Back-Up Data'!B8</f>
        <v>#REF!</v>
      </c>
      <c r="AH8" s="4">
        <f>'2013-14 Back-Up Data'!F8/'2013-14 Back-Up Data'!L8</f>
        <v>0.2591612761795555</v>
      </c>
      <c r="AI8" s="27">
        <f>'2013-14 Back-Up Data'!G8</f>
        <v>5103911</v>
      </c>
      <c r="AJ8" s="31">
        <f>'2013-14 Back-Up Data'!G8/'2013-14 Back-Up Data'!B8</f>
        <v>290.73830817430934</v>
      </c>
      <c r="AK8" s="4">
        <f>'2013-14 Back-Up Data'!G8/'2013-14 Back-Up Data'!L8</f>
        <v>0.08606642271761492</v>
      </c>
      <c r="AP8" s="2" t="str">
        <f>'2013-14 Back-Up Data'!A8</f>
        <v>Cattaraugus</v>
      </c>
      <c r="AQ8" s="27">
        <f>'2013-14 Back-Up Data'!H8</f>
        <v>4062221</v>
      </c>
      <c r="AR8" s="31">
        <f>'2013-14 Back-Up Data'!H8/'2013-14 Back-Up Data'!B8</f>
        <v>231.3996582170322</v>
      </c>
      <c r="AS8" s="4">
        <f>'2013-14 Back-Up Data'!H8/'2013-14 Back-Up Data'!L8</f>
        <v>0.06850057333648106</v>
      </c>
      <c r="AT8" s="27">
        <f>'2013-14 Back-Up Data'!I8</f>
        <v>9507207</v>
      </c>
      <c r="AU8" s="31">
        <f>'2013-14 Back-Up Data'!I8/'2013-14 Back-Up Data'!B8</f>
        <v>541.5669040159498</v>
      </c>
      <c r="AV8" s="4">
        <f>'2013-14 Back-Up Data'!I8/'2013-14 Back-Up Data'!L8</f>
        <v>0.16031848841523053</v>
      </c>
      <c r="AW8" s="27">
        <f>'2013-14 Back-Up Data'!J8</f>
        <v>10924064</v>
      </c>
      <c r="AX8" s="31">
        <f>'2013-14 Back-Up Data'!J8/'2013-14 Back-Up Data'!B8</f>
        <v>622.2765024209627</v>
      </c>
      <c r="AY8" s="4">
        <f>'2013-14 Back-Up Data'!J8/'2013-14 Back-Up Data'!L8</f>
        <v>0.18421071801962835</v>
      </c>
    </row>
    <row r="9" spans="3:51" ht="12.75">
      <c r="C9" s="2" t="str">
        <f>'2013-14 Back-Up Data'!A9</f>
        <v>Cayuga</v>
      </c>
      <c r="D9" s="27">
        <f>'2013-14 Back-Up Data'!K9</f>
        <v>29283755</v>
      </c>
      <c r="E9" s="28">
        <f>'2013-14 Back-Up Data'!K9/'2013-14 Back-Up Data'!B9</f>
        <v>2355.89340305712</v>
      </c>
      <c r="F9" s="4">
        <f>'2013-14 Back-Up Data'!K9/'2013-14 Back-Up Data'!L9</f>
        <v>0.9371205536443443</v>
      </c>
      <c r="G9" s="27">
        <f>'2013-14 Back-Up Data'!C9+'2013-14 Back-Up Data'!D9</f>
        <v>1964898</v>
      </c>
      <c r="H9" s="28">
        <f>('2013-14 Back-Up Data'!C9+'2013-14 Back-Up Data'!D9)/'2013-14 Back-Up Data'!B9</f>
        <v>158.0770716009654</v>
      </c>
      <c r="I9" s="4">
        <f>('2013-14 Back-Up Data'!C9+'2013-14 Back-Up Data'!D9)/'2013-14 Back-Up Data'!L9</f>
        <v>0.06287944635565572</v>
      </c>
      <c r="J9" s="27">
        <f>'2013-14 Back-Up Data'!L9</f>
        <v>31248653</v>
      </c>
      <c r="K9" s="28">
        <f>'2013-14 Back-Up Data'!L9/'2013-14 Back-Up Data'!B9</f>
        <v>2513.970474658085</v>
      </c>
      <c r="P9" s="2" t="str">
        <f>'2013-14 Back-Up Data'!A9</f>
        <v>Cayuga</v>
      </c>
      <c r="Q9" s="27">
        <f>'2013-14 Back-Up Data'!C9</f>
        <v>1623298</v>
      </c>
      <c r="R9" s="31">
        <f>'2013-14 Back-Up Data'!C9/'2013-14 Back-Up Data'!B9</f>
        <v>130.5951729686243</v>
      </c>
      <c r="S9" s="4">
        <f>'2013-14 Back-Up Data'!C9/'2013-14 Back-Up Data'!L9</f>
        <v>0.05194777515690036</v>
      </c>
      <c r="T9" s="27">
        <f>'2013-14 Back-Up Data'!D9</f>
        <v>341600</v>
      </c>
      <c r="U9" s="31">
        <f>'2013-14 Back-Up Data'!D9/'2013-14 Back-Up Data'!B9</f>
        <v>27.48189863234111</v>
      </c>
      <c r="V9" s="4">
        <f>'2013-14 Back-Up Data'!D9/'2013-14 Back-Up Data'!L9</f>
        <v>0.010931671198755351</v>
      </c>
      <c r="W9" s="31">
        <f>SUM('2013-14 Back-Up Data'!C9+'2013-14 Back-Up Data'!D9)/'2013-14 Back-Up Data'!B9</f>
        <v>158.0770716009654</v>
      </c>
      <c r="AB9" s="2" t="str">
        <f>'2013-14 Back-Up Data'!A9</f>
        <v>Cayuga</v>
      </c>
      <c r="AC9" s="27">
        <f>'2013-14 Back-Up Data'!E9</f>
        <v>5942418</v>
      </c>
      <c r="AD9" s="31">
        <f>'2013-14 Back-Up Data'!E9/'2013-14 Back-Up Data'!B9</f>
        <v>478.0706355591311</v>
      </c>
      <c r="AE9" s="4">
        <f>'2013-14 Back-Up Data'!E9/'2013-14 Back-Up Data'!L9</f>
        <v>0.19016557289685415</v>
      </c>
      <c r="AF9" s="27">
        <f>'2013-14 Back-Up Data'!F9</f>
        <v>8829354</v>
      </c>
      <c r="AG9" s="31">
        <f>'2013-14 Back-Up Data'!F9/'2013-14 Back-Up Data'!B9</f>
        <v>710.3261464199518</v>
      </c>
      <c r="AH9" s="4">
        <f>'2013-14 Back-Up Data'!F9/'2013-14 Back-Up Data'!L9</f>
        <v>0.282551507100162</v>
      </c>
      <c r="AI9" s="27">
        <f>'2013-14 Back-Up Data'!G9</f>
        <v>1417691</v>
      </c>
      <c r="AJ9" s="31">
        <f>'2013-14 Back-Up Data'!G9/'2013-14 Back-Up Data'!B9</f>
        <v>114.05398230088495</v>
      </c>
      <c r="AK9" s="4">
        <f>'2013-14 Back-Up Data'!G9/'2013-14 Back-Up Data'!L9</f>
        <v>0.045368067545183466</v>
      </c>
      <c r="AP9" s="2" t="str">
        <f>'2013-14 Back-Up Data'!A9</f>
        <v>Cayuga</v>
      </c>
      <c r="AQ9" s="27">
        <f>'2013-14 Back-Up Data'!H9</f>
        <v>3485936</v>
      </c>
      <c r="AR9" s="31">
        <f>'2013-14 Back-Up Data'!H9/'2013-14 Back-Up Data'!B9</f>
        <v>280.4453740949316</v>
      </c>
      <c r="AS9" s="4">
        <f>'2013-14 Back-Up Data'!H9/'2013-14 Back-Up Data'!L9</f>
        <v>0.11155476045639472</v>
      </c>
      <c r="AT9" s="27">
        <f>'2013-14 Back-Up Data'!I9</f>
        <v>4338773</v>
      </c>
      <c r="AU9" s="31">
        <f>'2013-14 Back-Up Data'!I9/'2013-14 Back-Up Data'!B9</f>
        <v>349.05655671761866</v>
      </c>
      <c r="AV9" s="4">
        <f>'2013-14 Back-Up Data'!I9/'2013-14 Back-Up Data'!L9</f>
        <v>0.13884672084905547</v>
      </c>
      <c r="AW9" s="27">
        <f>'2013-14 Back-Up Data'!J9</f>
        <v>5269583</v>
      </c>
      <c r="AX9" s="31">
        <f>'2013-14 Back-Up Data'!J9/'2013-14 Back-Up Data'!B9</f>
        <v>423.94070796460176</v>
      </c>
      <c r="AY9" s="4">
        <f>'2013-14 Back-Up Data'!J9/'2013-14 Back-Up Data'!L9</f>
        <v>0.16863392479669442</v>
      </c>
    </row>
    <row r="10" spans="3:51" ht="12.75">
      <c r="C10" s="2" t="str">
        <f>'2013-14 Back-Up Data'!A10</f>
        <v>Clinton</v>
      </c>
      <c r="D10" s="27">
        <f>'2013-14 Back-Up Data'!K10</f>
        <v>29281744</v>
      </c>
      <c r="E10" s="28">
        <f>'2013-14 Back-Up Data'!K10/'2013-14 Back-Up Data'!B10</f>
        <v>2108.2687018503852</v>
      </c>
      <c r="F10" s="4">
        <f>'2013-14 Back-Up Data'!K10/'2013-14 Back-Up Data'!L10</f>
        <v>0.8925625104800502</v>
      </c>
      <c r="G10" s="27">
        <f>'2013-14 Back-Up Data'!C10+'2013-14 Back-Up Data'!D10</f>
        <v>3524635</v>
      </c>
      <c r="H10" s="28">
        <f>('2013-14 Back-Up Data'!C10+'2013-14 Back-Up Data'!D10)/'2013-14 Back-Up Data'!B10</f>
        <v>253.77168982648138</v>
      </c>
      <c r="I10" s="4">
        <f>('2013-14 Back-Up Data'!C10+'2013-14 Back-Up Data'!D10)/'2013-14 Back-Up Data'!L10</f>
        <v>0.10743748951994976</v>
      </c>
      <c r="J10" s="27">
        <f>'2013-14 Back-Up Data'!L10</f>
        <v>32806379</v>
      </c>
      <c r="K10" s="28">
        <f>'2013-14 Back-Up Data'!L10/'2013-14 Back-Up Data'!B10</f>
        <v>2362.0403916768664</v>
      </c>
      <c r="P10" s="2" t="str">
        <f>'2013-14 Back-Up Data'!A10</f>
        <v>Clinton</v>
      </c>
      <c r="Q10" s="27">
        <f>'2013-14 Back-Up Data'!C10</f>
        <v>3195726</v>
      </c>
      <c r="R10" s="31">
        <f>'2013-14 Back-Up Data'!C10/'2013-14 Back-Up Data'!B10</f>
        <v>230.0904312765498</v>
      </c>
      <c r="S10" s="4">
        <f>'2013-14 Back-Up Data'!C10/'2013-14 Back-Up Data'!L10</f>
        <v>0.09741172593293518</v>
      </c>
      <c r="T10" s="27">
        <f>'2013-14 Back-Up Data'!D10</f>
        <v>328909</v>
      </c>
      <c r="U10" s="31">
        <f>'2013-14 Back-Up Data'!D10/'2013-14 Back-Up Data'!B10</f>
        <v>23.681258549931602</v>
      </c>
      <c r="V10" s="4">
        <f>'2013-14 Back-Up Data'!D10/'2013-14 Back-Up Data'!L10</f>
        <v>0.010025763587014586</v>
      </c>
      <c r="W10" s="31">
        <f>SUM('2013-14 Back-Up Data'!C10+'2013-14 Back-Up Data'!D10)/'2013-14 Back-Up Data'!B10</f>
        <v>253.77168982648138</v>
      </c>
      <c r="AB10" s="2" t="str">
        <f>'2013-14 Back-Up Data'!A10</f>
        <v>Clinton</v>
      </c>
      <c r="AC10" s="27">
        <f>'2013-14 Back-Up Data'!E10</f>
        <v>8182277</v>
      </c>
      <c r="AD10" s="31">
        <f>'2013-14 Back-Up Data'!E10/'2013-14 Back-Up Data'!B10</f>
        <v>589.1192310461516</v>
      </c>
      <c r="AE10" s="4">
        <f>'2013-14 Back-Up Data'!E10/'2013-14 Back-Up Data'!L10</f>
        <v>0.24941115872617334</v>
      </c>
      <c r="AF10" s="27">
        <f>'2013-14 Back-Up Data'!F10</f>
        <v>10746565</v>
      </c>
      <c r="AG10" s="31">
        <f>'2013-14 Back-Up Data'!F10/'2013-14 Back-Up Data'!B10</f>
        <v>773.7464900280797</v>
      </c>
      <c r="AH10" s="4">
        <f>'2013-14 Back-Up Data'!F10/'2013-14 Back-Up Data'!L10</f>
        <v>0.3275754693927056</v>
      </c>
      <c r="AI10" s="27">
        <f>'2013-14 Back-Up Data'!G10</f>
        <v>2592592</v>
      </c>
      <c r="AJ10" s="31">
        <f>'2013-14 Back-Up Data'!G10/'2013-14 Back-Up Data'!B10</f>
        <v>186.66513067895457</v>
      </c>
      <c r="AK10" s="4">
        <f>'2013-14 Back-Up Data'!G10/'2013-14 Back-Up Data'!L10</f>
        <v>0.07902706970494976</v>
      </c>
      <c r="AP10" s="2" t="str">
        <f>'2013-14 Back-Up Data'!A10</f>
        <v>Clinton</v>
      </c>
      <c r="AQ10" s="27">
        <f>'2013-14 Back-Up Data'!H10</f>
        <v>659202</v>
      </c>
      <c r="AR10" s="31">
        <f>'2013-14 Back-Up Data'!H10/'2013-14 Back-Up Data'!B10</f>
        <v>47.46216430268558</v>
      </c>
      <c r="AS10" s="4">
        <f>'2013-14 Back-Up Data'!H10/'2013-14 Back-Up Data'!L10</f>
        <v>0.020093714091396677</v>
      </c>
      <c r="AT10" s="27">
        <f>'2013-14 Back-Up Data'!I10</f>
        <v>2438373</v>
      </c>
      <c r="AU10" s="31">
        <f>'2013-14 Back-Up Data'!I10/'2013-14 Back-Up Data'!B10</f>
        <v>175.56145150838793</v>
      </c>
      <c r="AV10" s="4">
        <f>'2013-14 Back-Up Data'!I10/'2013-14 Back-Up Data'!L10</f>
        <v>0.07432618516051406</v>
      </c>
      <c r="AW10" s="27">
        <f>'2013-14 Back-Up Data'!J10</f>
        <v>4662735</v>
      </c>
      <c r="AX10" s="31">
        <f>'2013-14 Back-Up Data'!J10/'2013-14 Back-Up Data'!B10</f>
        <v>335.7142342861257</v>
      </c>
      <c r="AY10" s="4">
        <f>'2013-14 Back-Up Data'!J10/'2013-14 Back-Up Data'!L10</f>
        <v>0.1421289134043108</v>
      </c>
    </row>
    <row r="11" spans="3:51" ht="12.75">
      <c r="C11" s="2" t="str">
        <f>'2013-14 Back-Up Data'!A11</f>
        <v>Delaware</v>
      </c>
      <c r="D11" s="27">
        <f>'2013-14 Back-Up Data'!K11</f>
        <v>37503725</v>
      </c>
      <c r="E11" s="28">
        <f>'2013-14 Back-Up Data'!K11/'2013-14 Back-Up Data'!B11</f>
        <v>2986.4409141583055</v>
      </c>
      <c r="F11" s="4">
        <f>'2013-14 Back-Up Data'!K11/'2013-14 Back-Up Data'!L11</f>
        <v>0.8488904790612195</v>
      </c>
      <c r="G11" s="27">
        <f>'2013-14 Back-Up Data'!C11+'2013-14 Back-Up Data'!D11</f>
        <v>6675973</v>
      </c>
      <c r="H11" s="28">
        <f>('2013-14 Back-Up Data'!C11+'2013-14 Back-Up Data'!D11)/'2013-14 Back-Up Data'!B11</f>
        <v>531.6111641981207</v>
      </c>
      <c r="I11" s="4">
        <f>('2013-14 Back-Up Data'!C11+'2013-14 Back-Up Data'!D11)/'2013-14 Back-Up Data'!L11</f>
        <v>0.15110952093878052</v>
      </c>
      <c r="J11" s="27">
        <f>'2013-14 Back-Up Data'!L11</f>
        <v>44179698</v>
      </c>
      <c r="K11" s="28">
        <f>'2013-14 Back-Up Data'!L11/'2013-14 Back-Up Data'!B11</f>
        <v>3518.052078356426</v>
      </c>
      <c r="P11" s="2" t="str">
        <f>'2013-14 Back-Up Data'!A11</f>
        <v>Delaware</v>
      </c>
      <c r="Q11" s="27">
        <f>'2013-14 Back-Up Data'!C11</f>
        <v>2094425</v>
      </c>
      <c r="R11" s="31">
        <f>'2013-14 Back-Up Data'!C11/'2013-14 Back-Up Data'!B11</f>
        <v>166.78014014970537</v>
      </c>
      <c r="S11" s="4">
        <f>'2013-14 Back-Up Data'!C11/'2013-14 Back-Up Data'!L11</f>
        <v>0.047406956018576675</v>
      </c>
      <c r="T11" s="27">
        <f>'2013-14 Back-Up Data'!D11</f>
        <v>4581548</v>
      </c>
      <c r="U11" s="31">
        <f>'2013-14 Back-Up Data'!D11/'2013-14 Back-Up Data'!B11</f>
        <v>364.8310240484154</v>
      </c>
      <c r="V11" s="4">
        <f>'2013-14 Back-Up Data'!D11/'2013-14 Back-Up Data'!L11</f>
        <v>0.10370256492020384</v>
      </c>
      <c r="W11" s="31">
        <f>SUM('2013-14 Back-Up Data'!C11+'2013-14 Back-Up Data'!D11)/'2013-14 Back-Up Data'!B11</f>
        <v>531.6111641981207</v>
      </c>
      <c r="AB11" s="2" t="str">
        <f>'2013-14 Back-Up Data'!A11</f>
        <v>Delaware</v>
      </c>
      <c r="AC11" s="27">
        <f>'2013-14 Back-Up Data'!E11</f>
        <v>7989612</v>
      </c>
      <c r="AD11" s="31">
        <f>'2013-14 Back-Up Data'!E11/'2013-14 Back-Up Data'!B11</f>
        <v>636.2169135212614</v>
      </c>
      <c r="AE11" s="4">
        <f>'2013-14 Back-Up Data'!E11/'2013-14 Back-Up Data'!L11</f>
        <v>0.1808435177623894</v>
      </c>
      <c r="AF11" s="27">
        <f>'2013-14 Back-Up Data'!F11</f>
        <v>9776017</v>
      </c>
      <c r="AG11" s="31">
        <f>'2013-14 Back-Up Data'!F11/'2013-14 Back-Up Data'!B11</f>
        <v>778.4692626214365</v>
      </c>
      <c r="AH11" s="4">
        <f>'2013-14 Back-Up Data'!F11/'2013-14 Back-Up Data'!L11</f>
        <v>0.2212784931214333</v>
      </c>
      <c r="AI11" s="27">
        <f>'2013-14 Back-Up Data'!G11</f>
        <v>2958340</v>
      </c>
      <c r="AJ11" s="31">
        <f>'2013-14 Back-Up Data'!G11/'2013-14 Back-Up Data'!B11</f>
        <v>235.57413600891863</v>
      </c>
      <c r="AK11" s="4">
        <f>'2013-14 Back-Up Data'!G11/'2013-14 Back-Up Data'!L11</f>
        <v>0.06696152608376817</v>
      </c>
      <c r="AP11" s="2" t="str">
        <f>'2013-14 Back-Up Data'!A11</f>
        <v>Delaware</v>
      </c>
      <c r="AQ11" s="27">
        <f>'2013-14 Back-Up Data'!H11</f>
        <v>2470017</v>
      </c>
      <c r="AR11" s="31">
        <f>'2013-14 Back-Up Data'!H11/'2013-14 Back-Up Data'!B11</f>
        <v>196.6887243191591</v>
      </c>
      <c r="AS11" s="4">
        <f>'2013-14 Back-Up Data'!H11/'2013-14 Back-Up Data'!L11</f>
        <v>0.055908417481712984</v>
      </c>
      <c r="AT11" s="27">
        <f>'2013-14 Back-Up Data'!I11</f>
        <v>5387342</v>
      </c>
      <c r="AU11" s="31">
        <f>'2013-14 Back-Up Data'!I11/'2013-14 Back-Up Data'!B11</f>
        <v>428.99681477942346</v>
      </c>
      <c r="AV11" s="4">
        <f>'2013-14 Back-Up Data'!I11/'2013-14 Back-Up Data'!L11</f>
        <v>0.1219415759700304</v>
      </c>
      <c r="AW11" s="27">
        <f>'2013-14 Back-Up Data'!J11</f>
        <v>8922397</v>
      </c>
      <c r="AX11" s="31">
        <f>'2013-14 Back-Up Data'!J11/'2013-14 Back-Up Data'!B11</f>
        <v>710.4950629081064</v>
      </c>
      <c r="AY11" s="4">
        <f>'2013-14 Back-Up Data'!J11/'2013-14 Back-Up Data'!L11</f>
        <v>0.20195694864188524</v>
      </c>
    </row>
    <row r="12" spans="3:51" ht="12.75">
      <c r="C12" s="2" t="str">
        <f>'2013-14 Back-Up Data'!A12</f>
        <v>Dutchess</v>
      </c>
      <c r="D12" s="27">
        <f>'2013-14 Back-Up Data'!K12</f>
        <v>49433109</v>
      </c>
      <c r="E12" s="28">
        <f>'2013-14 Back-Up Data'!K12/'2013-14 Back-Up Data'!B12</f>
        <v>1159.6122123437096</v>
      </c>
      <c r="F12" s="4">
        <f>'2013-14 Back-Up Data'!K12/'2013-14 Back-Up Data'!L12</f>
        <v>0.8905468408175848</v>
      </c>
      <c r="G12" s="27">
        <f>'2013-14 Back-Up Data'!C12+'2013-14 Back-Up Data'!D12</f>
        <v>6075604</v>
      </c>
      <c r="H12" s="28">
        <f>('2013-14 Back-Up Data'!C12+'2013-14 Back-Up Data'!D12)/'2013-14 Back-Up Data'!B12</f>
        <v>142.5227896502381</v>
      </c>
      <c r="I12" s="4">
        <f>('2013-14 Back-Up Data'!C12+'2013-14 Back-Up Data'!D12)/'2013-14 Back-Up Data'!L12</f>
        <v>0.1094531591824152</v>
      </c>
      <c r="J12" s="27">
        <f>'2013-14 Back-Up Data'!L12</f>
        <v>55508713</v>
      </c>
      <c r="K12" s="28">
        <f>'2013-14 Back-Up Data'!L12/'2013-14 Back-Up Data'!B12</f>
        <v>1302.1350019939478</v>
      </c>
      <c r="P12" s="2" t="str">
        <f>'2013-14 Back-Up Data'!A12</f>
        <v>Dutchess</v>
      </c>
      <c r="Q12" s="27">
        <f>'2013-14 Back-Up Data'!C12</f>
        <v>4540875</v>
      </c>
      <c r="R12" s="31">
        <f>'2013-14 Back-Up Data'!C12/'2013-14 Back-Up Data'!B12</f>
        <v>106.52079570245607</v>
      </c>
      <c r="S12" s="4">
        <f>'2013-14 Back-Up Data'!C12/'2013-14 Back-Up Data'!L12</f>
        <v>0.08180472496272792</v>
      </c>
      <c r="T12" s="27">
        <f>'2013-14 Back-Up Data'!D12</f>
        <v>1534729</v>
      </c>
      <c r="U12" s="31">
        <f>'2013-14 Back-Up Data'!D12/'2013-14 Back-Up Data'!B12</f>
        <v>36.001993947782026</v>
      </c>
      <c r="V12" s="4">
        <f>'2013-14 Back-Up Data'!D12/'2013-14 Back-Up Data'!L12</f>
        <v>0.02764843421968728</v>
      </c>
      <c r="W12" s="31">
        <f>SUM('2013-14 Back-Up Data'!C12+'2013-14 Back-Up Data'!D12)/'2013-14 Back-Up Data'!B12</f>
        <v>142.5227896502381</v>
      </c>
      <c r="AB12" s="2" t="str">
        <f>'2013-14 Back-Up Data'!A12</f>
        <v>Dutchess</v>
      </c>
      <c r="AC12" s="27">
        <f>'2013-14 Back-Up Data'!E12</f>
        <v>6789582</v>
      </c>
      <c r="AD12" s="31">
        <f>'2013-14 Back-Up Data'!E12/'2013-14 Back-Up Data'!B12</f>
        <v>159.2714349386568</v>
      </c>
      <c r="AE12" s="4">
        <f>'2013-14 Back-Up Data'!E12/'2013-14 Back-Up Data'!L12</f>
        <v>0.12231560836224036</v>
      </c>
      <c r="AF12" s="27">
        <f>'2013-14 Back-Up Data'!F12</f>
        <v>22241202</v>
      </c>
      <c r="AG12" s="31">
        <f>'2013-14 Back-Up Data'!F12/'2013-14 Back-Up Data'!B12</f>
        <v>521.7387693823454</v>
      </c>
      <c r="AH12" s="4">
        <f>'2013-14 Back-Up Data'!F12/'2013-14 Back-Up Data'!L12</f>
        <v>0.40067947531047965</v>
      </c>
      <c r="AI12" s="27">
        <f>'2013-14 Back-Up Data'!G12</f>
        <v>1778794</v>
      </c>
      <c r="AJ12" s="31">
        <f>'2013-14 Back-Up Data'!G12/'2013-14 Back-Up Data'!B12</f>
        <v>41.7273217762556</v>
      </c>
      <c r="AK12" s="4">
        <f>'2013-14 Back-Up Data'!G12/'2013-14 Back-Up Data'!L12</f>
        <v>0.03204531151713065</v>
      </c>
      <c r="AP12" s="2" t="str">
        <f>'2013-14 Back-Up Data'!A12</f>
        <v>Dutchess</v>
      </c>
      <c r="AQ12" s="27">
        <f>'2013-14 Back-Up Data'!H12</f>
        <v>2491068</v>
      </c>
      <c r="AR12" s="31">
        <f>'2013-14 Back-Up Data'!H12/'2013-14 Back-Up Data'!B12</f>
        <v>58.43599427619696</v>
      </c>
      <c r="AS12" s="4">
        <f>'2013-14 Back-Up Data'!H12/'2013-14 Back-Up Data'!L12</f>
        <v>0.04487706281354425</v>
      </c>
      <c r="AT12" s="27">
        <f>'2013-14 Back-Up Data'!I12</f>
        <v>7840338</v>
      </c>
      <c r="AU12" s="31">
        <f>'2013-14 Back-Up Data'!I12/'2013-14 Back-Up Data'!B12</f>
        <v>183.92028900513733</v>
      </c>
      <c r="AV12" s="4">
        <f>'2013-14 Back-Up Data'!I12/'2013-14 Back-Up Data'!L12</f>
        <v>0.14124517713102086</v>
      </c>
      <c r="AW12" s="27">
        <f>'2013-14 Back-Up Data'!J12</f>
        <v>8292125</v>
      </c>
      <c r="AX12" s="31">
        <f>'2013-14 Back-Up Data'!J12/'2013-14 Back-Up Data'!B12</f>
        <v>194.51840296511764</v>
      </c>
      <c r="AY12" s="4">
        <f>'2013-14 Back-Up Data'!J12/'2013-14 Back-Up Data'!L12</f>
        <v>0.14938420568316904</v>
      </c>
    </row>
    <row r="13" spans="3:51" ht="12.75">
      <c r="C13" s="2" t="str">
        <f>'2013-14 Back-Up Data'!A13</f>
        <v>Erie 1</v>
      </c>
      <c r="D13" s="27">
        <f>'2013-14 Back-Up Data'!K13</f>
        <v>103285078</v>
      </c>
      <c r="E13" s="28">
        <f>'2013-14 Back-Up Data'!K13/'2013-14 Back-Up Data'!B13</f>
        <v>955.7238641621171</v>
      </c>
      <c r="F13" s="4">
        <f>'2013-14 Back-Up Data'!K13/'2013-14 Back-Up Data'!L13</f>
        <v>0.947394463560637</v>
      </c>
      <c r="G13" s="27">
        <f>'2013-14 Back-Up Data'!C13+'2013-14 Back-Up Data'!D13</f>
        <v>5735063</v>
      </c>
      <c r="H13" s="28">
        <f>('2013-14 Back-Up Data'!C13+'2013-14 Back-Up Data'!D13)/'2013-14 Back-Up Data'!B13</f>
        <v>53.06803923382993</v>
      </c>
      <c r="I13" s="4">
        <f>('2013-14 Back-Up Data'!C13+'2013-14 Back-Up Data'!D13)/'2013-14 Back-Up Data'!L13</f>
        <v>0.05260553643936307</v>
      </c>
      <c r="J13" s="27">
        <f>'2013-14 Back-Up Data'!L13</f>
        <v>109020141</v>
      </c>
      <c r="K13" s="28">
        <f>'2013-14 Back-Up Data'!L13/'2013-14 Back-Up Data'!B13</f>
        <v>1008.7919033959471</v>
      </c>
      <c r="P13" s="2" t="str">
        <f>'2013-14 Back-Up Data'!A13</f>
        <v>Erie 1</v>
      </c>
      <c r="Q13" s="27">
        <f>'2013-14 Back-Up Data'!C13</f>
        <v>3137076</v>
      </c>
      <c r="R13" s="31">
        <f>'2013-14 Back-Up Data'!C13/'2013-14 Back-Up Data'!B13</f>
        <v>29.028185435365966</v>
      </c>
      <c r="S13" s="4">
        <f>'2013-14 Back-Up Data'!C13/'2013-14 Back-Up Data'!L13</f>
        <v>0.02877519668590412</v>
      </c>
      <c r="T13" s="27">
        <f>'2013-14 Back-Up Data'!D13</f>
        <v>2597987</v>
      </c>
      <c r="U13" s="31">
        <f>'2013-14 Back-Up Data'!D13/'2013-14 Back-Up Data'!B13</f>
        <v>24.03985379846396</v>
      </c>
      <c r="V13" s="4">
        <f>'2013-14 Back-Up Data'!D13/'2013-14 Back-Up Data'!L13</f>
        <v>0.02383033975345895</v>
      </c>
      <c r="W13" s="31">
        <f>SUM('2013-14 Back-Up Data'!C13+'2013-14 Back-Up Data'!D13)/'2013-14 Back-Up Data'!B13</f>
        <v>53.06803923382993</v>
      </c>
      <c r="AB13" s="2" t="str">
        <f>'2013-14 Back-Up Data'!A13</f>
        <v>Erie 1</v>
      </c>
      <c r="AC13" s="27">
        <f>'2013-14 Back-Up Data'!E13</f>
        <v>14277732</v>
      </c>
      <c r="AD13" s="31">
        <f>'2013-14 Back-Up Data'!E13/'2013-14 Back-Up Data'!B13</f>
        <v>132.1155917460905</v>
      </c>
      <c r="AE13" s="4">
        <f>'2013-14 Back-Up Data'!E13/'2013-14 Back-Up Data'!L13</f>
        <v>0.13096416743764805</v>
      </c>
      <c r="AF13" s="27">
        <f>'2013-14 Back-Up Data'!F13</f>
        <v>16732695</v>
      </c>
      <c r="AG13" s="31">
        <f>'2013-14 Back-Up Data'!F13/'2013-14 Back-Up Data'!B13</f>
        <v>154.83200703247894</v>
      </c>
      <c r="AH13" s="4">
        <f>'2013-14 Back-Up Data'!F13/'2013-14 Back-Up Data'!L13</f>
        <v>0.15348260281556597</v>
      </c>
      <c r="AI13" s="27">
        <f>'2013-14 Back-Up Data'!G13</f>
        <v>7475298</v>
      </c>
      <c r="AJ13" s="31">
        <f>'2013-14 Back-Up Data'!G13/'2013-14 Back-Up Data'!B13</f>
        <v>69.17088923845655</v>
      </c>
      <c r="AK13" s="4">
        <f>'2013-14 Back-Up Data'!G13/'2013-14 Back-Up Data'!L13</f>
        <v>0.06856804560544459</v>
      </c>
      <c r="AP13" s="2" t="str">
        <f>'2013-14 Back-Up Data'!A13</f>
        <v>Erie 1</v>
      </c>
      <c r="AQ13" s="27">
        <f>'2013-14 Back-Up Data'!H13</f>
        <v>3955543</v>
      </c>
      <c r="AR13" s="31">
        <f>'2013-14 Back-Up Data'!H13/'2013-14 Back-Up Data'!B13</f>
        <v>36.601674840381236</v>
      </c>
      <c r="AS13" s="4">
        <f>'2013-14 Back-Up Data'!H13/'2013-14 Back-Up Data'!L13</f>
        <v>0.03628268101396053</v>
      </c>
      <c r="AT13" s="27">
        <f>'2013-14 Back-Up Data'!I13</f>
        <v>22368219</v>
      </c>
      <c r="AU13" s="31">
        <f>'2013-14 Back-Up Data'!I13/'2013-14 Back-Up Data'!B13</f>
        <v>206.97898584250947</v>
      </c>
      <c r="AV13" s="4">
        <f>'2013-14 Back-Up Data'!I13/'2013-14 Back-Up Data'!L13</f>
        <v>0.20517510613015993</v>
      </c>
      <c r="AW13" s="27">
        <f>'2013-14 Back-Up Data'!J13</f>
        <v>38475591</v>
      </c>
      <c r="AX13" s="31">
        <f>'2013-14 Back-Up Data'!J13/'2013-14 Back-Up Data'!B13</f>
        <v>356.02471546220045</v>
      </c>
      <c r="AY13" s="4">
        <f>'2013-14 Back-Up Data'!J13/'2013-14 Back-Up Data'!L13</f>
        <v>0.35292186055785785</v>
      </c>
    </row>
    <row r="14" spans="3:51" ht="12.75">
      <c r="C14" s="2" t="str">
        <f>'2013-14 Back-Up Data'!A14</f>
        <v>Erie 2</v>
      </c>
      <c r="D14" s="27">
        <f>'2013-14 Back-Up Data'!K14</f>
        <v>61999354</v>
      </c>
      <c r="E14" s="28">
        <f>'2013-14 Back-Up Data'!K14/'2013-14 Back-Up Data'!B14</f>
        <v>1647.9985646314558</v>
      </c>
      <c r="F14" s="4">
        <f>'2013-14 Back-Up Data'!K14/'2013-14 Back-Up Data'!L14</f>
        <v>0.9367499821789014</v>
      </c>
      <c r="G14" s="27">
        <f>'2013-14 Back-Up Data'!C14+'2013-14 Back-Up Data'!D14</f>
        <v>4186240</v>
      </c>
      <c r="H14" s="28">
        <f>('2013-14 Back-Up Data'!C14+'2013-14 Back-Up Data'!D14)/'2013-14 Back-Up Data'!B14</f>
        <v>111.27402248744052</v>
      </c>
      <c r="I14" s="4">
        <f>('2013-14 Back-Up Data'!C14+'2013-14 Back-Up Data'!D14)/'2013-14 Back-Up Data'!L14</f>
        <v>0.06325001782109865</v>
      </c>
      <c r="J14" s="27">
        <f>'2013-14 Back-Up Data'!L14</f>
        <v>66185594</v>
      </c>
      <c r="K14" s="28">
        <f>'2013-14 Back-Up Data'!L14/'2013-14 Back-Up Data'!B14</f>
        <v>1759.2725871188964</v>
      </c>
      <c r="P14" s="2" t="str">
        <f>'2013-14 Back-Up Data'!A14</f>
        <v>Erie 2</v>
      </c>
      <c r="Q14" s="27">
        <f>'2013-14 Back-Up Data'!C14</f>
        <v>3070064</v>
      </c>
      <c r="R14" s="31">
        <f>'2013-14 Back-Up Data'!C14/'2013-14 Back-Up Data'!B14</f>
        <v>81.60506100316313</v>
      </c>
      <c r="S14" s="4">
        <f>'2013-14 Back-Up Data'!C14/'2013-14 Back-Up Data'!L14</f>
        <v>0.046385683265152834</v>
      </c>
      <c r="T14" s="27">
        <f>'2013-14 Back-Up Data'!D14</f>
        <v>1116176</v>
      </c>
      <c r="U14" s="31">
        <f>'2013-14 Back-Up Data'!D14/'2013-14 Back-Up Data'!B14</f>
        <v>29.6689614842774</v>
      </c>
      <c r="V14" s="4">
        <f>'2013-14 Back-Up Data'!D14/'2013-14 Back-Up Data'!L14</f>
        <v>0.016864334555945815</v>
      </c>
      <c r="W14" s="31">
        <f>SUM('2013-14 Back-Up Data'!C14+'2013-14 Back-Up Data'!D14)/'2013-14 Back-Up Data'!B14</f>
        <v>111.27402248744052</v>
      </c>
      <c r="AB14" s="2" t="str">
        <f>'2013-14 Back-Up Data'!A14</f>
        <v>Erie 2</v>
      </c>
      <c r="AC14" s="27">
        <f>'2013-14 Back-Up Data'!E14</f>
        <v>11451728</v>
      </c>
      <c r="AD14" s="31">
        <f>'2013-14 Back-Up Data'!E14/'2013-14 Back-Up Data'!B14</f>
        <v>304.39722495414793</v>
      </c>
      <c r="AE14" s="4">
        <f>'2013-14 Back-Up Data'!E14/'2013-14 Back-Up Data'!L14</f>
        <v>0.17302448022148142</v>
      </c>
      <c r="AF14" s="27">
        <f>'2013-14 Back-Up Data'!F14</f>
        <v>18810451</v>
      </c>
      <c r="AG14" s="31">
        <f>'2013-14 Back-Up Data'!F14/'2013-14 Back-Up Data'!B14</f>
        <v>499.99869753595067</v>
      </c>
      <c r="AH14" s="4">
        <f>'2013-14 Back-Up Data'!F14/'2013-14 Back-Up Data'!L14</f>
        <v>0.2842076328573859</v>
      </c>
      <c r="AI14" s="27">
        <f>'2013-14 Back-Up Data'!G14</f>
        <v>8332747</v>
      </c>
      <c r="AJ14" s="31">
        <f>'2013-14 Back-Up Data'!G14/'2013-14 Back-Up Data'!B14</f>
        <v>221.49190611626486</v>
      </c>
      <c r="AK14" s="4">
        <f>'2013-14 Back-Up Data'!G14/'2013-14 Back-Up Data'!L14</f>
        <v>0.12589970862843658</v>
      </c>
      <c r="AP14" s="2" t="str">
        <f>'2013-14 Back-Up Data'!A14</f>
        <v>Erie 2</v>
      </c>
      <c r="AQ14" s="27">
        <f>'2013-14 Back-Up Data'!H14</f>
        <v>5555358</v>
      </c>
      <c r="AR14" s="31">
        <f>'2013-14 Back-Up Data'!H14/'2013-14 Back-Up Data'!B14</f>
        <v>147.66640971797665</v>
      </c>
      <c r="AS14" s="4">
        <f>'2013-14 Back-Up Data'!H14/'2013-14 Back-Up Data'!L14</f>
        <v>0.08393606016439166</v>
      </c>
      <c r="AT14" s="27">
        <f>'2013-14 Back-Up Data'!I14</f>
        <v>7355472</v>
      </c>
      <c r="AU14" s="31">
        <f>'2013-14 Back-Up Data'!I14/'2013-14 Back-Up Data'!B14</f>
        <v>195.51505807926424</v>
      </c>
      <c r="AV14" s="4">
        <f>'2013-14 Back-Up Data'!I14/'2013-14 Back-Up Data'!L14</f>
        <v>0.11113403318552977</v>
      </c>
      <c r="AW14" s="27">
        <f>'2013-14 Back-Up Data'!J14</f>
        <v>10493598</v>
      </c>
      <c r="AX14" s="31">
        <f>'2013-14 Back-Up Data'!J14/'2013-14 Back-Up Data'!B14</f>
        <v>278.9292682278515</v>
      </c>
      <c r="AY14" s="4">
        <f>'2013-14 Back-Up Data'!J14/'2013-14 Back-Up Data'!L14</f>
        <v>0.15854806712167605</v>
      </c>
    </row>
    <row r="15" spans="3:51" ht="12.75">
      <c r="C15" s="2" t="str">
        <f>'2013-14 Back-Up Data'!A15</f>
        <v>Franklin</v>
      </c>
      <c r="D15" s="27">
        <f>'2013-14 Back-Up Data'!K15</f>
        <v>18096694</v>
      </c>
      <c r="E15" s="28">
        <f>'2013-14 Back-Up Data'!K15/'2013-14 Back-Up Data'!B15</f>
        <v>2224.000737372496</v>
      </c>
      <c r="F15" s="4">
        <f>'2013-14 Back-Up Data'!K15/'2013-14 Back-Up Data'!L15</f>
        <v>0.8946178067992301</v>
      </c>
      <c r="G15" s="27">
        <f>'2013-14 Back-Up Data'!C15+'2013-14 Back-Up Data'!D15</f>
        <v>2131714</v>
      </c>
      <c r="H15" s="28">
        <f>('2013-14 Back-Up Data'!C15+'2013-14 Back-Up Data'!D15)/'2013-14 Back-Up Data'!B15</f>
        <v>261.97787882511983</v>
      </c>
      <c r="I15" s="4">
        <f>('2013-14 Back-Up Data'!C15+'2013-14 Back-Up Data'!D15)/'2013-14 Back-Up Data'!L15</f>
        <v>0.10538219320076993</v>
      </c>
      <c r="J15" s="27">
        <f>'2013-14 Back-Up Data'!L15</f>
        <v>20228408</v>
      </c>
      <c r="K15" s="28">
        <f>'2013-14 Back-Up Data'!L15/'2013-14 Back-Up Data'!B15</f>
        <v>2485.978616197616</v>
      </c>
      <c r="P15" s="2" t="str">
        <f>'2013-14 Back-Up Data'!A15</f>
        <v>Franklin</v>
      </c>
      <c r="Q15" s="27">
        <f>'2013-14 Back-Up Data'!C15</f>
        <v>1829473</v>
      </c>
      <c r="R15" s="31">
        <f>'2013-14 Back-Up Data'!C15/'2013-14 Back-Up Data'!B15</f>
        <v>224.83384539756668</v>
      </c>
      <c r="S15" s="4">
        <f>'2013-14 Back-Up Data'!C15/'2013-14 Back-Up Data'!L15</f>
        <v>0.0904407801147772</v>
      </c>
      <c r="T15" s="27">
        <f>'2013-14 Back-Up Data'!D15</f>
        <v>302241</v>
      </c>
      <c r="U15" s="31">
        <f>'2013-14 Back-Up Data'!D15/'2013-14 Back-Up Data'!B15</f>
        <v>37.144033427553154</v>
      </c>
      <c r="V15" s="4">
        <f>'2013-14 Back-Up Data'!D15/'2013-14 Back-Up Data'!L15</f>
        <v>0.01494141308599273</v>
      </c>
      <c r="W15" s="31">
        <f>SUM('2013-14 Back-Up Data'!C15+'2013-14 Back-Up Data'!D15)/'2013-14 Back-Up Data'!B15</f>
        <v>261.97787882511983</v>
      </c>
      <c r="AB15" s="2" t="str">
        <f>'2013-14 Back-Up Data'!A15</f>
        <v>Franklin</v>
      </c>
      <c r="AC15" s="27">
        <f>'2013-14 Back-Up Data'!E15</f>
        <v>5707241</v>
      </c>
      <c r="AD15" s="31">
        <f>'2013-14 Back-Up Data'!E15/'2013-14 Back-Up Data'!B15</f>
        <v>701.3937569128672</v>
      </c>
      <c r="AE15" s="4">
        <f>'2013-14 Back-Up Data'!E15/'2013-14 Back-Up Data'!L15</f>
        <v>0.28213989949184337</v>
      </c>
      <c r="AF15" s="27">
        <f>'2013-14 Back-Up Data'!F15</f>
        <v>1616500</v>
      </c>
      <c r="AG15" s="31">
        <f>'2013-14 Back-Up Data'!F15/'2013-14 Back-Up Data'!B15</f>
        <v>198.6604399655893</v>
      </c>
      <c r="AH15" s="4">
        <f>'2013-14 Back-Up Data'!F15/'2013-14 Back-Up Data'!L15</f>
        <v>0.07991236878354441</v>
      </c>
      <c r="AI15" s="27">
        <f>'2013-14 Back-Up Data'!G15</f>
        <v>2313793</v>
      </c>
      <c r="AJ15" s="31">
        <f>'2013-14 Back-Up Data'!G15/'2013-14 Back-Up Data'!B15</f>
        <v>284.35455327516286</v>
      </c>
      <c r="AK15" s="4">
        <f>'2013-14 Back-Up Data'!G15/'2013-14 Back-Up Data'!L15</f>
        <v>0.11438334643042597</v>
      </c>
      <c r="AP15" s="2" t="str">
        <f>'2013-14 Back-Up Data'!A15</f>
        <v>Franklin</v>
      </c>
      <c r="AQ15" s="27">
        <f>'2013-14 Back-Up Data'!H15</f>
        <v>1270829</v>
      </c>
      <c r="AR15" s="31">
        <f>'2013-14 Back-Up Data'!H15/'2013-14 Back-Up Data'!B15</f>
        <v>156.17905862111343</v>
      </c>
      <c r="AS15" s="4">
        <f>'2013-14 Back-Up Data'!H15/'2013-14 Back-Up Data'!L15</f>
        <v>0.06282397507505287</v>
      </c>
      <c r="AT15" s="27">
        <f>'2013-14 Back-Up Data'!I15</f>
        <v>3115466</v>
      </c>
      <c r="AU15" s="31">
        <f>'2013-14 Back-Up Data'!I15/'2013-14 Back-Up Data'!B15</f>
        <v>382.876490106919</v>
      </c>
      <c r="AV15" s="4">
        <f>'2013-14 Back-Up Data'!I15/'2013-14 Back-Up Data'!L15</f>
        <v>0.1540143940145957</v>
      </c>
      <c r="AW15" s="27">
        <f>'2013-14 Back-Up Data'!J15</f>
        <v>4072865</v>
      </c>
      <c r="AX15" s="31">
        <f>'2013-14 Back-Up Data'!J15/'2013-14 Back-Up Data'!B15</f>
        <v>500.5364384908443</v>
      </c>
      <c r="AY15" s="4">
        <f>'2013-14 Back-Up Data'!J15/'2013-14 Back-Up Data'!L15</f>
        <v>0.20134382300376777</v>
      </c>
    </row>
    <row r="16" spans="3:51" ht="12.75">
      <c r="C16" s="2" t="str">
        <f>'2013-14 Back-Up Data'!A16</f>
        <v>Genesee</v>
      </c>
      <c r="D16" s="27">
        <f>'2013-14 Back-Up Data'!K16</f>
        <v>35041121</v>
      </c>
      <c r="E16" s="28">
        <f>'2013-14 Back-Up Data'!K16/'2013-14 Back-Up Data'!B16</f>
        <v>1578.4999774764628</v>
      </c>
      <c r="F16" s="4">
        <f>'2013-14 Back-Up Data'!K16/'2013-14 Back-Up Data'!L16</f>
        <v>0.8397869559327025</v>
      </c>
      <c r="G16" s="27">
        <f>'2013-14 Back-Up Data'!C16+'2013-14 Back-Up Data'!D16</f>
        <v>6685082</v>
      </c>
      <c r="H16" s="28">
        <f>('2013-14 Back-Up Data'!C16+'2013-14 Back-Up Data'!D16)/'2013-14 Back-Up Data'!B16</f>
        <v>301.1433848371548</v>
      </c>
      <c r="I16" s="4">
        <f>('2013-14 Back-Up Data'!C16+'2013-14 Back-Up Data'!D16)/'2013-14 Back-Up Data'!L16</f>
        <v>0.16021304406729747</v>
      </c>
      <c r="J16" s="27">
        <f>'2013-14 Back-Up Data'!L16</f>
        <v>41726203</v>
      </c>
      <c r="K16" s="28">
        <f>'2013-14 Back-Up Data'!L16/'2013-14 Back-Up Data'!B16</f>
        <v>1879.6433623136177</v>
      </c>
      <c r="P16" s="2" t="str">
        <f>'2013-14 Back-Up Data'!A16</f>
        <v>Genesee</v>
      </c>
      <c r="Q16" s="27">
        <f>'2013-14 Back-Up Data'!C16</f>
        <v>2449666</v>
      </c>
      <c r="R16" s="31">
        <f>'2013-14 Back-Up Data'!C16/'2013-14 Back-Up Data'!B16</f>
        <v>110.35028604892112</v>
      </c>
      <c r="S16" s="4">
        <f>'2013-14 Back-Up Data'!C16/'2013-14 Back-Up Data'!L16</f>
        <v>0.0587080976431045</v>
      </c>
      <c r="T16" s="27">
        <f>'2013-14 Back-Up Data'!D16</f>
        <v>4235416</v>
      </c>
      <c r="U16" s="31">
        <f>'2013-14 Back-Up Data'!D16/'2013-14 Back-Up Data'!B16</f>
        <v>190.7930987882337</v>
      </c>
      <c r="V16" s="4">
        <f>'2013-14 Back-Up Data'!D16/'2013-14 Back-Up Data'!L16</f>
        <v>0.10150494642419297</v>
      </c>
      <c r="W16" s="31">
        <f>SUM('2013-14 Back-Up Data'!C16+'2013-14 Back-Up Data'!D16)/'2013-14 Back-Up Data'!B16</f>
        <v>301.1433848371548</v>
      </c>
      <c r="AB16" s="2" t="str">
        <f>'2013-14 Back-Up Data'!A16</f>
        <v>Genesee</v>
      </c>
      <c r="AC16" s="27">
        <f>'2013-14 Back-Up Data'!E16</f>
        <v>8207806</v>
      </c>
      <c r="AD16" s="31">
        <f>'2013-14 Back-Up Data'!E16/'2013-14 Back-Up Data'!B16</f>
        <v>369.7376458399027</v>
      </c>
      <c r="AE16" s="4">
        <f>'2013-14 Back-Up Data'!E16/'2013-14 Back-Up Data'!L16</f>
        <v>0.19670627591012774</v>
      </c>
      <c r="AF16" s="27">
        <f>'2013-14 Back-Up Data'!F16</f>
        <v>7427694</v>
      </c>
      <c r="AG16" s="31">
        <f>'2013-14 Back-Up Data'!F16/'2013-14 Back-Up Data'!B16</f>
        <v>334.5958826974188</v>
      </c>
      <c r="AH16" s="4">
        <f>'2013-14 Back-Up Data'!F16/'2013-14 Back-Up Data'!L16</f>
        <v>0.1780103020636697</v>
      </c>
      <c r="AI16" s="27">
        <f>'2013-14 Back-Up Data'!G16</f>
        <v>2659294</v>
      </c>
      <c r="AJ16" s="31">
        <f>'2013-14 Back-Up Data'!G16/'2013-14 Back-Up Data'!B16</f>
        <v>119.79341411775304</v>
      </c>
      <c r="AK16" s="4">
        <f>'2013-14 Back-Up Data'!G16/'2013-14 Back-Up Data'!L16</f>
        <v>0.06373199114235245</v>
      </c>
      <c r="AP16" s="2" t="str">
        <f>'2013-14 Back-Up Data'!A16</f>
        <v>Genesee</v>
      </c>
      <c r="AQ16" s="27">
        <f>'2013-14 Back-Up Data'!H16</f>
        <v>2993614</v>
      </c>
      <c r="AR16" s="31">
        <f>'2013-14 Back-Up Data'!H16/'2013-14 Back-Up Data'!B16</f>
        <v>134.8535519618001</v>
      </c>
      <c r="AS16" s="4">
        <f>'2013-14 Back-Up Data'!H16/'2013-14 Back-Up Data'!L16</f>
        <v>0.07174422268903786</v>
      </c>
      <c r="AT16" s="27">
        <f>'2013-14 Back-Up Data'!I16</f>
        <v>5790835</v>
      </c>
      <c r="AU16" s="31">
        <f>'2013-14 Back-Up Data'!I16/'2013-14 Back-Up Data'!B16</f>
        <v>260.8601738817064</v>
      </c>
      <c r="AV16" s="4">
        <f>'2013-14 Back-Up Data'!I16/'2013-14 Back-Up Data'!L16</f>
        <v>0.1387817386595181</v>
      </c>
      <c r="AW16" s="27">
        <f>'2013-14 Back-Up Data'!J16</f>
        <v>7961878</v>
      </c>
      <c r="AX16" s="31">
        <f>'2013-14 Back-Up Data'!J16/'2013-14 Back-Up Data'!B16</f>
        <v>358.6593089778819</v>
      </c>
      <c r="AY16" s="4">
        <f>'2013-14 Back-Up Data'!J16/'2013-14 Back-Up Data'!L16</f>
        <v>0.1908124254679967</v>
      </c>
    </row>
    <row r="17" spans="3:51" ht="12.75">
      <c r="C17" s="2" t="str">
        <f>'2013-14 Back-Up Data'!A17</f>
        <v>Hamilton</v>
      </c>
      <c r="D17" s="27">
        <f>'2013-14 Back-Up Data'!K17</f>
        <v>28948020</v>
      </c>
      <c r="E17" s="28">
        <f>'2013-14 Back-Up Data'!K17/'2013-14 Back-Up Data'!B17</f>
        <v>1929.2249250249918</v>
      </c>
      <c r="F17" s="4">
        <f>'2013-14 Back-Up Data'!K17/'2013-14 Back-Up Data'!L17</f>
        <v>0.8622099347496247</v>
      </c>
      <c r="G17" s="27">
        <f>'2013-14 Back-Up Data'!C17+'2013-14 Back-Up Data'!D17</f>
        <v>4626193</v>
      </c>
      <c r="H17" s="28">
        <f>('2013-14 Back-Up Data'!C17+'2013-14 Back-Up Data'!D17)/'2013-14 Back-Up Data'!B17</f>
        <v>308.3100966344552</v>
      </c>
      <c r="I17" s="4">
        <f>('2013-14 Back-Up Data'!C17+'2013-14 Back-Up Data'!D17)/'2013-14 Back-Up Data'!L17</f>
        <v>0.13779006525037535</v>
      </c>
      <c r="J17" s="27">
        <f>'2013-14 Back-Up Data'!L17</f>
        <v>33574213</v>
      </c>
      <c r="K17" s="28">
        <f>'2013-14 Back-Up Data'!L17/'2013-14 Back-Up Data'!B17</f>
        <v>2237.535021659447</v>
      </c>
      <c r="P17" s="2" t="str">
        <f>'2013-14 Back-Up Data'!A17</f>
        <v>Hamilton</v>
      </c>
      <c r="Q17" s="27">
        <f>'2013-14 Back-Up Data'!C17</f>
        <v>2469611</v>
      </c>
      <c r="R17" s="31">
        <f>'2013-14 Back-Up Data'!C17/'2013-14 Back-Up Data'!B17</f>
        <v>164.58587137620793</v>
      </c>
      <c r="S17" s="4">
        <f>'2013-14 Back-Up Data'!C17/'2013-14 Back-Up Data'!L17</f>
        <v>0.07355678002042818</v>
      </c>
      <c r="T17" s="27">
        <f>'2013-14 Back-Up Data'!D17</f>
        <v>2156582</v>
      </c>
      <c r="U17" s="31">
        <f>'2013-14 Back-Up Data'!D17/'2013-14 Back-Up Data'!B17</f>
        <v>143.72422525824726</v>
      </c>
      <c r="V17" s="4">
        <f>'2013-14 Back-Up Data'!D17/'2013-14 Back-Up Data'!L17</f>
        <v>0.06423328522994716</v>
      </c>
      <c r="W17" s="31">
        <f>SUM('2013-14 Back-Up Data'!C17+'2013-14 Back-Up Data'!D17)/'2013-14 Back-Up Data'!B17</f>
        <v>308.3100966344552</v>
      </c>
      <c r="AB17" s="2" t="str">
        <f>'2013-14 Back-Up Data'!A17</f>
        <v>Hamilton</v>
      </c>
      <c r="AC17" s="27">
        <f>'2013-14 Back-Up Data'!E17</f>
        <v>4932320</v>
      </c>
      <c r="AD17" s="31">
        <f>'2013-14 Back-Up Data'!E17/'2013-14 Back-Up Data'!B17</f>
        <v>328.7117627457514</v>
      </c>
      <c r="AE17" s="4">
        <f>'2013-14 Back-Up Data'!E17/'2013-14 Back-Up Data'!L17</f>
        <v>0.1469079856019261</v>
      </c>
      <c r="AF17" s="27">
        <f>'2013-14 Back-Up Data'!F17</f>
        <v>11993324</v>
      </c>
      <c r="AG17" s="31">
        <f>'2013-14 Back-Up Data'!F17/'2013-14 Back-Up Data'!B17</f>
        <v>799.288503832056</v>
      </c>
      <c r="AH17" s="4">
        <f>'2013-14 Back-Up Data'!F17/'2013-14 Back-Up Data'!L17</f>
        <v>0.35721832109661067</v>
      </c>
      <c r="AI17" s="27">
        <f>'2013-14 Back-Up Data'!G17</f>
        <v>3556801</v>
      </c>
      <c r="AJ17" s="31">
        <f>'2013-14 Back-Up Data'!G17/'2013-14 Back-Up Data'!B17</f>
        <v>237.0410529823392</v>
      </c>
      <c r="AK17" s="4">
        <f>'2013-14 Back-Up Data'!G17/'2013-14 Back-Up Data'!L17</f>
        <v>0.10593847724740413</v>
      </c>
      <c r="AP17" s="2" t="str">
        <f>'2013-14 Back-Up Data'!A17</f>
        <v>Hamilton</v>
      </c>
      <c r="AQ17" s="27">
        <f>'2013-14 Back-Up Data'!H17</f>
        <v>2178126</v>
      </c>
      <c r="AR17" s="31">
        <f>'2013-14 Back-Up Data'!H17/'2013-14 Back-Up Data'!B17</f>
        <v>145.16001332889036</v>
      </c>
      <c r="AS17" s="4">
        <f>'2013-14 Back-Up Data'!H17/'2013-14 Back-Up Data'!L17</f>
        <v>0.0648749681787031</v>
      </c>
      <c r="AT17" s="27">
        <f>'2013-14 Back-Up Data'!I17</f>
        <v>1431725</v>
      </c>
      <c r="AU17" s="31">
        <f>'2013-14 Back-Up Data'!I17/'2013-14 Back-Up Data'!B17</f>
        <v>95.41652782405865</v>
      </c>
      <c r="AV17" s="4">
        <f>'2013-14 Back-Up Data'!I17/'2013-14 Back-Up Data'!L17</f>
        <v>0.0426435907820088</v>
      </c>
      <c r="AW17" s="27">
        <f>'2013-14 Back-Up Data'!J17</f>
        <v>4855724</v>
      </c>
      <c r="AX17" s="31">
        <f>'2013-14 Back-Up Data'!J17/'2013-14 Back-Up Data'!B17</f>
        <v>323.607064311896</v>
      </c>
      <c r="AY17" s="4">
        <f>'2013-14 Back-Up Data'!J17/'2013-14 Back-Up Data'!L17</f>
        <v>0.14462659184297186</v>
      </c>
    </row>
    <row r="18" spans="3:51" ht="12.75">
      <c r="C18" s="2" t="str">
        <f>'2013-14 Back-Up Data'!A18</f>
        <v>Herkimer</v>
      </c>
      <c r="D18" s="27">
        <f>'2013-14 Back-Up Data'!K18</f>
        <v>20616357</v>
      </c>
      <c r="E18" s="28">
        <f>'2013-14 Back-Up Data'!K18/'2013-14 Back-Up Data'!B18</f>
        <v>2804.1834874863985</v>
      </c>
      <c r="F18" s="4">
        <f>'2013-14 Back-Up Data'!K18/'2013-14 Back-Up Data'!L18</f>
        <v>0.8254480969258516</v>
      </c>
      <c r="G18" s="27">
        <f>'2013-14 Back-Up Data'!C18+'2013-14 Back-Up Data'!D18</f>
        <v>4359601</v>
      </c>
      <c r="H18" s="28">
        <f>('2013-14 Back-Up Data'!C18+'2013-14 Back-Up Data'!D18)/'2013-14 Back-Up Data'!B18</f>
        <v>592.9816376496192</v>
      </c>
      <c r="I18" s="4">
        <f>('2013-14 Back-Up Data'!C18+'2013-14 Back-Up Data'!D18)/'2013-14 Back-Up Data'!L18</f>
        <v>0.17455190307414833</v>
      </c>
      <c r="J18" s="27">
        <f>'2013-14 Back-Up Data'!L18</f>
        <v>24975958</v>
      </c>
      <c r="K18" s="28">
        <f>'2013-14 Back-Up Data'!L18/'2013-14 Back-Up Data'!B18</f>
        <v>3397.165125136017</v>
      </c>
      <c r="P18" s="2" t="str">
        <f>'2013-14 Back-Up Data'!A18</f>
        <v>Herkimer</v>
      </c>
      <c r="Q18" s="27">
        <f>'2013-14 Back-Up Data'!C18</f>
        <v>2595678</v>
      </c>
      <c r="R18" s="31">
        <f>'2013-14 Back-Up Data'!C18/'2013-14 Back-Up Data'!B18</f>
        <v>353.0573993471164</v>
      </c>
      <c r="S18" s="4">
        <f>'2013-14 Back-Up Data'!C18/'2013-14 Back-Up Data'!L18</f>
        <v>0.10392706457946478</v>
      </c>
      <c r="T18" s="27">
        <f>'2013-14 Back-Up Data'!D18</f>
        <v>1763923</v>
      </c>
      <c r="U18" s="31">
        <f>'2013-14 Back-Up Data'!D18/'2013-14 Back-Up Data'!B18</f>
        <v>239.92423830250272</v>
      </c>
      <c r="V18" s="4">
        <f>'2013-14 Back-Up Data'!D18/'2013-14 Back-Up Data'!L18</f>
        <v>0.07062483849468357</v>
      </c>
      <c r="W18" s="31">
        <f>SUM('2013-14 Back-Up Data'!C18+'2013-14 Back-Up Data'!D18)/'2013-14 Back-Up Data'!B18</f>
        <v>592.9816376496192</v>
      </c>
      <c r="AB18" s="2" t="str">
        <f>'2013-14 Back-Up Data'!A18</f>
        <v>Herkimer</v>
      </c>
      <c r="AC18" s="27">
        <f>'2013-14 Back-Up Data'!E18</f>
        <v>4472445</v>
      </c>
      <c r="AD18" s="31">
        <f>'2013-14 Back-Up Data'!E18/'2013-14 Back-Up Data'!B18</f>
        <v>608.3303862894451</v>
      </c>
      <c r="AE18" s="4">
        <f>'2013-14 Back-Up Data'!E18/'2013-14 Back-Up Data'!L18</f>
        <v>0.17907000804533704</v>
      </c>
      <c r="AF18" s="27">
        <f>'2013-14 Back-Up Data'!F18</f>
        <v>5456412</v>
      </c>
      <c r="AG18" s="31">
        <f>'2013-14 Back-Up Data'!F18/'2013-14 Back-Up Data'!B18</f>
        <v>742.1670293797606</v>
      </c>
      <c r="AH18" s="4">
        <f>'2013-14 Back-Up Data'!F18/'2013-14 Back-Up Data'!L18</f>
        <v>0.21846657493578425</v>
      </c>
      <c r="AI18" s="27">
        <f>'2013-14 Back-Up Data'!G18</f>
        <v>3380517</v>
      </c>
      <c r="AJ18" s="31">
        <f>'2013-14 Back-Up Data'!G18/'2013-14 Back-Up Data'!B18</f>
        <v>459.80916757344943</v>
      </c>
      <c r="AK18" s="4">
        <f>'2013-14 Back-Up Data'!G18/'2013-14 Back-Up Data'!L18</f>
        <v>0.1353508441998501</v>
      </c>
      <c r="AP18" s="2" t="str">
        <f>'2013-14 Back-Up Data'!A18</f>
        <v>Herkimer</v>
      </c>
      <c r="AQ18" s="27">
        <f>'2013-14 Back-Up Data'!H18</f>
        <v>1246820</v>
      </c>
      <c r="AR18" s="31">
        <f>'2013-14 Back-Up Data'!H18/'2013-14 Back-Up Data'!B18</f>
        <v>169.5892274211099</v>
      </c>
      <c r="AS18" s="4">
        <f>'2013-14 Back-Up Data'!H18/'2013-14 Back-Up Data'!L18</f>
        <v>0.04992080784248596</v>
      </c>
      <c r="AT18" s="27">
        <f>'2013-14 Back-Up Data'!I18</f>
        <v>2649063</v>
      </c>
      <c r="AU18" s="31">
        <f>'2013-14 Back-Up Data'!I18/'2013-14 Back-Up Data'!B18</f>
        <v>360.3186887921654</v>
      </c>
      <c r="AV18" s="4">
        <f>'2013-14 Back-Up Data'!I18/'2013-14 Back-Up Data'!L18</f>
        <v>0.10606452012771642</v>
      </c>
      <c r="AW18" s="27">
        <f>'2013-14 Back-Up Data'!J18</f>
        <v>3411100</v>
      </c>
      <c r="AX18" s="31">
        <f>'2013-14 Back-Up Data'!J18/'2013-14 Back-Up Data'!B18</f>
        <v>463.9689880304679</v>
      </c>
      <c r="AY18" s="4">
        <f>'2013-14 Back-Up Data'!J18/'2013-14 Back-Up Data'!L18</f>
        <v>0.13657534177467787</v>
      </c>
    </row>
    <row r="19" spans="3:51" ht="12.75">
      <c r="C19" s="2" t="str">
        <f>'2013-14 Back-Up Data'!A19</f>
        <v>Jefferson</v>
      </c>
      <c r="D19" s="27">
        <f>'2013-14 Back-Up Data'!K19</f>
        <v>40248557</v>
      </c>
      <c r="E19" s="28">
        <f>'2013-14 Back-Up Data'!K19/'2013-14 Back-Up Data'!B19</f>
        <v>1691.2579628540213</v>
      </c>
      <c r="F19" s="4">
        <f>'2013-14 Back-Up Data'!K19/'2013-14 Back-Up Data'!L19</f>
        <v>0.9086904695813369</v>
      </c>
      <c r="G19" s="27">
        <f>'2013-14 Back-Up Data'!C19+'2013-14 Back-Up Data'!D19</f>
        <v>4044366</v>
      </c>
      <c r="H19" s="28">
        <f>('2013-14 Back-Up Data'!C19+'2013-14 Back-Up Data'!D19)/'2013-14 Back-Up Data'!B19</f>
        <v>169.9456256828305</v>
      </c>
      <c r="I19" s="4">
        <f>('2013-14 Back-Up Data'!C19+'2013-14 Back-Up Data'!D19)/'2013-14 Back-Up Data'!L19</f>
        <v>0.09130953041866305</v>
      </c>
      <c r="J19" s="27">
        <f>'2013-14 Back-Up Data'!L19</f>
        <v>44292923</v>
      </c>
      <c r="K19" s="28">
        <f>'2013-14 Back-Up Data'!L19/'2013-14 Back-Up Data'!B19</f>
        <v>1861.2035885368518</v>
      </c>
      <c r="P19" s="2" t="str">
        <f>'2013-14 Back-Up Data'!A19</f>
        <v>Jefferson</v>
      </c>
      <c r="Q19" s="27">
        <f>'2013-14 Back-Up Data'!C19</f>
        <v>3758626</v>
      </c>
      <c r="R19" s="31">
        <f>'2013-14 Back-Up Data'!C19/'2013-14 Back-Up Data'!B19</f>
        <v>157.93873434742414</v>
      </c>
      <c r="S19" s="4">
        <f>'2013-14 Back-Up Data'!C19/'2013-14 Back-Up Data'!L19</f>
        <v>0.08485838697075829</v>
      </c>
      <c r="T19" s="27">
        <f>'2013-14 Back-Up Data'!D19</f>
        <v>285740</v>
      </c>
      <c r="U19" s="31">
        <f>'2013-14 Back-Up Data'!D19/'2013-14 Back-Up Data'!B19</f>
        <v>12.006891335406337</v>
      </c>
      <c r="V19" s="4">
        <f>'2013-14 Back-Up Data'!D19/'2013-14 Back-Up Data'!L19</f>
        <v>0.006451143447904759</v>
      </c>
      <c r="W19" s="31">
        <f>SUM('2013-14 Back-Up Data'!C19+'2013-14 Back-Up Data'!D19)/'2013-14 Back-Up Data'!B19</f>
        <v>169.9456256828305</v>
      </c>
      <c r="AB19" s="2" t="str">
        <f>'2013-14 Back-Up Data'!A19</f>
        <v>Jefferson</v>
      </c>
      <c r="AC19" s="27">
        <f>'2013-14 Back-Up Data'!E19</f>
        <v>10191366</v>
      </c>
      <c r="AD19" s="31">
        <f>'2013-14 Back-Up Data'!E19/'2013-14 Back-Up Data'!B19</f>
        <v>428.2446424069249</v>
      </c>
      <c r="AE19" s="4">
        <f>'2013-14 Back-Up Data'!E19/'2013-14 Back-Up Data'!L19</f>
        <v>0.23009016587141923</v>
      </c>
      <c r="AF19" s="27">
        <f>'2013-14 Back-Up Data'!F19</f>
        <v>14253507</v>
      </c>
      <c r="AG19" s="31">
        <f>'2013-14 Back-Up Data'!F19/'2013-14 Back-Up Data'!B19</f>
        <v>598.9371795949239</v>
      </c>
      <c r="AH19" s="4">
        <f>'2013-14 Back-Up Data'!F19/'2013-14 Back-Up Data'!L19</f>
        <v>0.3218010019343271</v>
      </c>
      <c r="AI19" s="27">
        <f>'2013-14 Back-Up Data'!G19</f>
        <v>3177782</v>
      </c>
      <c r="AJ19" s="31">
        <f>'2013-14 Back-Up Data'!G19/'2013-14 Back-Up Data'!B19</f>
        <v>133.5314732330448</v>
      </c>
      <c r="AK19" s="4">
        <f>'2013-14 Back-Up Data'!G19/'2013-14 Back-Up Data'!L19</f>
        <v>0.07174468932655449</v>
      </c>
      <c r="AP19" s="2" t="str">
        <f>'2013-14 Back-Up Data'!A19</f>
        <v>Jefferson</v>
      </c>
      <c r="AQ19" s="27">
        <f>'2013-14 Back-Up Data'!H19</f>
        <v>3072833</v>
      </c>
      <c r="AR19" s="31">
        <f>'2013-14 Back-Up Data'!H19/'2013-14 Back-Up Data'!B19</f>
        <v>129.1214807967056</v>
      </c>
      <c r="AS19" s="4">
        <f>'2013-14 Back-Up Data'!H19/'2013-14 Back-Up Data'!L19</f>
        <v>0.06937525888729448</v>
      </c>
      <c r="AT19" s="27">
        <f>'2013-14 Back-Up Data'!I19</f>
        <v>4873555</v>
      </c>
      <c r="AU19" s="31">
        <f>'2013-14 Back-Up Data'!I19/'2013-14 Back-Up Data'!B19</f>
        <v>204.7884275989579</v>
      </c>
      <c r="AV19" s="4">
        <f>'2013-14 Back-Up Data'!I19/'2013-14 Back-Up Data'!L19</f>
        <v>0.11003010571237305</v>
      </c>
      <c r="AW19" s="27">
        <f>'2013-14 Back-Up Data'!J19</f>
        <v>4679514</v>
      </c>
      <c r="AX19" s="31">
        <f>'2013-14 Back-Up Data'!J19/'2013-14 Back-Up Data'!B19</f>
        <v>196.63475922346416</v>
      </c>
      <c r="AY19" s="4">
        <f>'2013-14 Back-Up Data'!J19/'2013-14 Back-Up Data'!L19</f>
        <v>0.10564924784936862</v>
      </c>
    </row>
    <row r="20" spans="3:51" ht="12.75">
      <c r="C20" s="2" t="str">
        <f>'2013-14 Back-Up Data'!A20</f>
        <v>Madison</v>
      </c>
      <c r="D20" s="27">
        <f>'2013-14 Back-Up Data'!K20</f>
        <v>51350531</v>
      </c>
      <c r="E20" s="28">
        <f>'2013-14 Back-Up Data'!K20/'2013-14 Back-Up Data'!B20</f>
        <v>3357.121535041841</v>
      </c>
      <c r="F20" s="4">
        <f>'2013-14 Back-Up Data'!K20/'2013-14 Back-Up Data'!L20</f>
        <v>0.9156003020041151</v>
      </c>
      <c r="G20" s="27">
        <f>'2013-14 Back-Up Data'!C20+'2013-14 Back-Up Data'!D20</f>
        <v>4733473</v>
      </c>
      <c r="H20" s="28">
        <f>('2013-14 Back-Up Data'!C20+'2013-14 Back-Up Data'!D20)/'2013-14 Back-Up Data'!B20</f>
        <v>309.45822437238496</v>
      </c>
      <c r="I20" s="4">
        <f>('2013-14 Back-Up Data'!C20+'2013-14 Back-Up Data'!D20)/'2013-14 Back-Up Data'!L20</f>
        <v>0.08439969799588488</v>
      </c>
      <c r="J20" s="27">
        <f>'2013-14 Back-Up Data'!L20</f>
        <v>56084004</v>
      </c>
      <c r="K20" s="28">
        <f>'2013-14 Back-Up Data'!L20/'2013-14 Back-Up Data'!B20</f>
        <v>3666.579759414226</v>
      </c>
      <c r="P20" s="2" t="str">
        <f>'2013-14 Back-Up Data'!A20</f>
        <v>Madison</v>
      </c>
      <c r="Q20" s="27">
        <f>'2013-14 Back-Up Data'!C20</f>
        <v>3057995</v>
      </c>
      <c r="R20" s="31">
        <f>'2013-14 Back-Up Data'!C20/'2013-14 Back-Up Data'!B20</f>
        <v>199.92122123430963</v>
      </c>
      <c r="S20" s="4">
        <f>'2013-14 Back-Up Data'!C20/'2013-14 Back-Up Data'!L20</f>
        <v>0.05452526178409088</v>
      </c>
      <c r="T20" s="27">
        <f>'2013-14 Back-Up Data'!D20</f>
        <v>1675478</v>
      </c>
      <c r="U20" s="31">
        <f>'2013-14 Back-Up Data'!D20/'2013-14 Back-Up Data'!B20</f>
        <v>109.53700313807532</v>
      </c>
      <c r="V20" s="4">
        <f>'2013-14 Back-Up Data'!D20/'2013-14 Back-Up Data'!L20</f>
        <v>0.029874436211794007</v>
      </c>
      <c r="W20" s="31">
        <f>SUM('2013-14 Back-Up Data'!C20+'2013-14 Back-Up Data'!D20)/'2013-14 Back-Up Data'!B20</f>
        <v>309.45822437238496</v>
      </c>
      <c r="AB20" s="2" t="str">
        <f>'2013-14 Back-Up Data'!A20</f>
        <v>Madison</v>
      </c>
      <c r="AC20" s="27">
        <f>'2013-14 Back-Up Data'!E20</f>
        <v>6176938</v>
      </c>
      <c r="AD20" s="31">
        <f>'2013-14 Back-Up Data'!E20/'2013-14 Back-Up Data'!B20</f>
        <v>403.82701359832635</v>
      </c>
      <c r="AE20" s="4">
        <f>'2013-14 Back-Up Data'!E20/'2013-14 Back-Up Data'!L20</f>
        <v>0.11013725054295338</v>
      </c>
      <c r="AF20" s="27">
        <f>'2013-14 Back-Up Data'!F20</f>
        <v>8016364</v>
      </c>
      <c r="AG20" s="31">
        <f>'2013-14 Back-Up Data'!F20/'2013-14 Back-Up Data'!B20</f>
        <v>524.0823744769874</v>
      </c>
      <c r="AH20" s="4">
        <f>'2013-14 Back-Up Data'!F20/'2013-14 Back-Up Data'!L20</f>
        <v>0.1429349445164436</v>
      </c>
      <c r="AI20" s="27">
        <f>'2013-14 Back-Up Data'!G20</f>
        <v>1349601</v>
      </c>
      <c r="AJ20" s="31">
        <f>'2013-14 Back-Up Data'!G20/'2013-14 Back-Up Data'!B20</f>
        <v>88.2322829497908</v>
      </c>
      <c r="AK20" s="4">
        <f>'2013-14 Back-Up Data'!G20/'2013-14 Back-Up Data'!L20</f>
        <v>0.024063920257904554</v>
      </c>
      <c r="AP20" s="2" t="str">
        <f>'2013-14 Back-Up Data'!A20</f>
        <v>Madison</v>
      </c>
      <c r="AQ20" s="27">
        <f>'2013-14 Back-Up Data'!H20</f>
        <v>3906509</v>
      </c>
      <c r="AR20" s="31">
        <f>'2013-14 Back-Up Data'!H20/'2013-14 Back-Up Data'!B20</f>
        <v>255.39415533472803</v>
      </c>
      <c r="AS20" s="4">
        <f>'2013-14 Back-Up Data'!H20/'2013-14 Back-Up Data'!L20</f>
        <v>0.06965460240677537</v>
      </c>
      <c r="AT20" s="27">
        <f>'2013-14 Back-Up Data'!I20</f>
        <v>12107360</v>
      </c>
      <c r="AU20" s="31">
        <f>'2013-14 Back-Up Data'!I20/'2013-14 Back-Up Data'!B20</f>
        <v>791.5376569037657</v>
      </c>
      <c r="AV20" s="4">
        <f>'2013-14 Back-Up Data'!I20/'2013-14 Back-Up Data'!L20</f>
        <v>0.2158790231881447</v>
      </c>
      <c r="AW20" s="27">
        <f>'2013-14 Back-Up Data'!J20</f>
        <v>19793759</v>
      </c>
      <c r="AX20" s="31">
        <f>'2013-14 Back-Up Data'!J20/'2013-14 Back-Up Data'!B20</f>
        <v>1294.0480517782428</v>
      </c>
      <c r="AY20" s="4">
        <f>'2013-14 Back-Up Data'!J20/'2013-14 Back-Up Data'!L20</f>
        <v>0.3529305610918935</v>
      </c>
    </row>
    <row r="21" spans="3:51" ht="12.75">
      <c r="C21" s="2" t="str">
        <f>'2013-14 Back-Up Data'!A21</f>
        <v>Monroe 1</v>
      </c>
      <c r="D21" s="27">
        <f>'2013-14 Back-Up Data'!K21</f>
        <v>103507365</v>
      </c>
      <c r="E21" s="28">
        <f>'2013-14 Back-Up Data'!K21/'2013-14 Back-Up Data'!B21</f>
        <v>1361.2225802209364</v>
      </c>
      <c r="F21" s="4">
        <f>'2013-14 Back-Up Data'!K21/'2013-14 Back-Up Data'!L21</f>
        <v>0.9231193588488795</v>
      </c>
      <c r="G21" s="27">
        <f>'2013-14 Back-Up Data'!C21+'2013-14 Back-Up Data'!D21</f>
        <v>8620459</v>
      </c>
      <c r="H21" s="28">
        <f>('2013-14 Back-Up Data'!C21+'2013-14 Back-Up Data'!D21)/'2013-14 Back-Up Data'!B21</f>
        <v>113.36742503945293</v>
      </c>
      <c r="I21" s="4">
        <f>('2013-14 Back-Up Data'!C21+'2013-14 Back-Up Data'!D21)/'2013-14 Back-Up Data'!L21</f>
        <v>0.07688064115112053</v>
      </c>
      <c r="J21" s="27">
        <f>'2013-14 Back-Up Data'!L21</f>
        <v>112127824</v>
      </c>
      <c r="K21" s="28">
        <f>'2013-14 Back-Up Data'!L21/'2013-14 Back-Up Data'!B21</f>
        <v>1474.5900052603893</v>
      </c>
      <c r="P21" s="2" t="str">
        <f>'2013-14 Back-Up Data'!A21</f>
        <v>Monroe 1</v>
      </c>
      <c r="Q21" s="27">
        <f>'2013-14 Back-Up Data'!C21</f>
        <v>5082690</v>
      </c>
      <c r="R21" s="31">
        <f>'2013-14 Back-Up Data'!C21/'2013-14 Back-Up Data'!B21</f>
        <v>66.84231983166754</v>
      </c>
      <c r="S21" s="4">
        <f>'2013-14 Back-Up Data'!C21/'2013-14 Back-Up Data'!L21</f>
        <v>0.045329426886942886</v>
      </c>
      <c r="T21" s="27">
        <f>'2013-14 Back-Up Data'!D21</f>
        <v>3537769</v>
      </c>
      <c r="U21" s="31">
        <f>'2013-14 Back-Up Data'!D21/'2013-14 Back-Up Data'!B21</f>
        <v>46.52510520778537</v>
      </c>
      <c r="V21" s="4">
        <f>'2013-14 Back-Up Data'!D21/'2013-14 Back-Up Data'!L21</f>
        <v>0.03155121426417764</v>
      </c>
      <c r="W21" s="31">
        <f>SUM('2013-14 Back-Up Data'!C21+'2013-14 Back-Up Data'!D21)/'2013-14 Back-Up Data'!B21</f>
        <v>113.36742503945293</v>
      </c>
      <c r="AB21" s="2" t="str">
        <f>'2013-14 Back-Up Data'!A21</f>
        <v>Monroe 1</v>
      </c>
      <c r="AC21" s="27">
        <f>'2013-14 Back-Up Data'!E21</f>
        <v>7184751</v>
      </c>
      <c r="AD21" s="31">
        <f>'2013-14 Back-Up Data'!E21/'2013-14 Back-Up Data'!B21</f>
        <v>94.486467648606</v>
      </c>
      <c r="AE21" s="4">
        <f>'2013-14 Back-Up Data'!E21/'2013-14 Back-Up Data'!L21</f>
        <v>0.06407643298241478</v>
      </c>
      <c r="AF21" s="27">
        <f>'2013-14 Back-Up Data'!F21</f>
        <v>42945016</v>
      </c>
      <c r="AG21" s="31">
        <f>'2013-14 Back-Up Data'!F21/'2013-14 Back-Up Data'!B21</f>
        <v>564.7687532877433</v>
      </c>
      <c r="AH21" s="4">
        <f>'2013-14 Back-Up Data'!F21/'2013-14 Back-Up Data'!L21</f>
        <v>0.383000529823891</v>
      </c>
      <c r="AI21" s="27">
        <f>'2013-14 Back-Up Data'!G21</f>
        <v>21065936</v>
      </c>
      <c r="AJ21" s="31">
        <f>'2013-14 Back-Up Data'!G21/'2013-14 Back-Up Data'!B21</f>
        <v>277.0375591793793</v>
      </c>
      <c r="AK21" s="4">
        <f>'2013-14 Back-Up Data'!G21/'2013-14 Back-Up Data'!L21</f>
        <v>0.1878742960355674</v>
      </c>
      <c r="AP21" s="2" t="str">
        <f>'2013-14 Back-Up Data'!A21</f>
        <v>Monroe 1</v>
      </c>
      <c r="AQ21" s="27">
        <f>'2013-14 Back-Up Data'!H21</f>
        <v>2123841</v>
      </c>
      <c r="AR21" s="31">
        <f>'2013-14 Back-Up Data'!H21/'2013-14 Back-Up Data'!B21</f>
        <v>27.930576012624933</v>
      </c>
      <c r="AS21" s="4">
        <f>'2013-14 Back-Up Data'!H21/'2013-14 Back-Up Data'!L21</f>
        <v>0.018941248694882368</v>
      </c>
      <c r="AT21" s="27">
        <f>'2013-14 Back-Up Data'!I21</f>
        <v>9565810</v>
      </c>
      <c r="AU21" s="31">
        <f>'2013-14 Back-Up Data'!I21/'2013-14 Back-Up Data'!B21</f>
        <v>125.79971067859022</v>
      </c>
      <c r="AV21" s="4">
        <f>'2013-14 Back-Up Data'!I21/'2013-14 Back-Up Data'!L21</f>
        <v>0.08531165288644146</v>
      </c>
      <c r="AW21" s="27">
        <f>'2013-14 Back-Up Data'!J21</f>
        <v>20622011</v>
      </c>
      <c r="AX21" s="31">
        <f>'2013-14 Back-Up Data'!J21/'2013-14 Back-Up Data'!B21</f>
        <v>271.19951341399263</v>
      </c>
      <c r="AY21" s="4">
        <f>'2013-14 Back-Up Data'!J21/'2013-14 Back-Up Data'!L21</f>
        <v>0.18391519842568246</v>
      </c>
    </row>
    <row r="22" spans="3:51" ht="12.75">
      <c r="C22" s="2" t="str">
        <f>'2013-14 Back-Up Data'!A22</f>
        <v>Monroe 2</v>
      </c>
      <c r="D22" s="27">
        <f>'2013-14 Back-Up Data'!K22</f>
        <v>59621820</v>
      </c>
      <c r="E22" s="28">
        <f>'2013-14 Back-Up Data'!K22/'2013-14 Back-Up Data'!B22</f>
        <v>1764.8468164461415</v>
      </c>
      <c r="F22" s="4">
        <f>'2013-14 Back-Up Data'!K22/'2013-14 Back-Up Data'!L22</f>
        <v>0.8966087119013458</v>
      </c>
      <c r="G22" s="27">
        <f>'2013-14 Back-Up Data'!C22+'2013-14 Back-Up Data'!D22</f>
        <v>6875214</v>
      </c>
      <c r="H22" s="28">
        <f>('2013-14 Back-Up Data'!C22+'2013-14 Back-Up Data'!D22)/'2013-14 Back-Up Data'!B22</f>
        <v>203.51105585649586</v>
      </c>
      <c r="I22" s="4">
        <f>('2013-14 Back-Up Data'!C22+'2013-14 Back-Up Data'!D22)/'2013-14 Back-Up Data'!L22</f>
        <v>0.10339128809865414</v>
      </c>
      <c r="J22" s="27">
        <f>'2013-14 Back-Up Data'!L22</f>
        <v>66497034</v>
      </c>
      <c r="K22" s="28">
        <f>'2013-14 Back-Up Data'!L22/'2013-14 Back-Up Data'!B22</f>
        <v>1968.3578723026374</v>
      </c>
      <c r="P22" s="2" t="str">
        <f>'2013-14 Back-Up Data'!A22</f>
        <v>Monroe 2</v>
      </c>
      <c r="Q22" s="27">
        <f>'2013-14 Back-Up Data'!C22</f>
        <v>4817917</v>
      </c>
      <c r="R22" s="31">
        <f>'2013-14 Back-Up Data'!C22/'2013-14 Back-Up Data'!B22</f>
        <v>142.61365183672262</v>
      </c>
      <c r="S22" s="4">
        <f>'2013-14 Back-Up Data'!C22/'2013-14 Back-Up Data'!L22</f>
        <v>0.07245311121696045</v>
      </c>
      <c r="T22" s="27">
        <f>'2013-14 Back-Up Data'!D22</f>
        <v>2057297</v>
      </c>
      <c r="U22" s="31">
        <f>'2013-14 Back-Up Data'!D22/'2013-14 Back-Up Data'!B22</f>
        <v>60.89740401977326</v>
      </c>
      <c r="V22" s="4">
        <f>'2013-14 Back-Up Data'!D22/'2013-14 Back-Up Data'!L22</f>
        <v>0.030938176881693702</v>
      </c>
      <c r="W22" s="31">
        <f>SUM('2013-14 Back-Up Data'!C22+'2013-14 Back-Up Data'!D22)/'2013-14 Back-Up Data'!B22</f>
        <v>203.51105585649586</v>
      </c>
      <c r="AB22" s="2" t="str">
        <f>'2013-14 Back-Up Data'!A22</f>
        <v>Monroe 2</v>
      </c>
      <c r="AC22" s="27">
        <f>'2013-14 Back-Up Data'!E22</f>
        <v>7132498</v>
      </c>
      <c r="AD22" s="31">
        <f>'2013-14 Back-Up Data'!E22/'2013-14 Back-Up Data'!B22</f>
        <v>211.12683894266348</v>
      </c>
      <c r="AE22" s="4">
        <f>'2013-14 Back-Up Data'!E22/'2013-14 Back-Up Data'!L22</f>
        <v>0.1072603929973779</v>
      </c>
      <c r="AF22" s="27">
        <f>'2013-14 Back-Up Data'!F22</f>
        <v>25491552</v>
      </c>
      <c r="AG22" s="31">
        <f>'2013-14 Back-Up Data'!F22/'2013-14 Back-Up Data'!B22</f>
        <v>754.5674451647278</v>
      </c>
      <c r="AH22" s="4">
        <f>'2013-14 Back-Up Data'!F22/'2013-14 Back-Up Data'!L22</f>
        <v>0.38334870695135065</v>
      </c>
      <c r="AI22" s="27">
        <f>'2013-14 Back-Up Data'!G22</f>
        <v>8512655</v>
      </c>
      <c r="AJ22" s="31">
        <f>'2013-14 Back-Up Data'!G22/'2013-14 Back-Up Data'!B22</f>
        <v>251.98043394606754</v>
      </c>
      <c r="AK22" s="4">
        <f>'2013-14 Back-Up Data'!G22/'2013-14 Back-Up Data'!L22</f>
        <v>0.12801555931051</v>
      </c>
      <c r="AP22" s="2" t="str">
        <f>'2013-14 Back-Up Data'!A22</f>
        <v>Monroe 2</v>
      </c>
      <c r="AQ22" s="27">
        <f>'2013-14 Back-Up Data'!H22</f>
        <v>2605360</v>
      </c>
      <c r="AR22" s="31">
        <f>'2013-14 Back-Up Data'!H22/'2013-14 Back-Up Data'!B22</f>
        <v>77.12044519432851</v>
      </c>
      <c r="AS22" s="4">
        <f>'2013-14 Back-Up Data'!H22/'2013-14 Back-Up Data'!L22</f>
        <v>0.039180093355742754</v>
      </c>
      <c r="AT22" s="27">
        <f>'2013-14 Back-Up Data'!I22</f>
        <v>8744444</v>
      </c>
      <c r="AU22" s="31">
        <f>'2013-14 Back-Up Data'!I22/'2013-14 Back-Up Data'!B22</f>
        <v>258.84154752390253</v>
      </c>
      <c r="AV22" s="4">
        <f>'2013-14 Back-Up Data'!I22/'2013-14 Back-Up Data'!L22</f>
        <v>0.13150126365034567</v>
      </c>
      <c r="AW22" s="27">
        <f>'2013-14 Back-Up Data'!J22</f>
        <v>7135311</v>
      </c>
      <c r="AX22" s="31">
        <f>'2013-14 Back-Up Data'!J22/'2013-14 Back-Up Data'!B22</f>
        <v>211.21010567445165</v>
      </c>
      <c r="AY22" s="4">
        <f>'2013-14 Back-Up Data'!J22/'2013-14 Back-Up Data'!L22</f>
        <v>0.1073026956360189</v>
      </c>
    </row>
    <row r="23" spans="3:51" ht="12.75">
      <c r="C23" s="2" t="str">
        <f>'2013-14 Back-Up Data'!A23</f>
        <v>Nassau</v>
      </c>
      <c r="D23" s="27">
        <f>'2013-14 Back-Up Data'!K23</f>
        <v>273462201</v>
      </c>
      <c r="E23" s="28">
        <f>'2013-14 Back-Up Data'!K23/'2013-14 Back-Up Data'!B23</f>
        <v>1356.57372397474</v>
      </c>
      <c r="F23" s="4">
        <f>'2013-14 Back-Up Data'!K23/'2013-14 Back-Up Data'!L23</f>
        <v>0.9055333376902075</v>
      </c>
      <c r="G23" s="27">
        <f>'2013-14 Back-Up Data'!C23+'2013-14 Back-Up Data'!D23</f>
        <v>28528007</v>
      </c>
      <c r="H23" s="28">
        <f>('2013-14 Back-Up Data'!C23+'2013-14 Back-Up Data'!D23)/'2013-14 Back-Up Data'!B23</f>
        <v>141.51990495230254</v>
      </c>
      <c r="I23" s="4">
        <f>('2013-14 Back-Up Data'!C23+'2013-14 Back-Up Data'!D23)/'2013-14 Back-Up Data'!L23</f>
        <v>0.0944666623097925</v>
      </c>
      <c r="J23" s="27">
        <f>'2013-14 Back-Up Data'!L23</f>
        <v>301990208</v>
      </c>
      <c r="K23" s="28">
        <f>'2013-14 Back-Up Data'!L23/'2013-14 Back-Up Data'!B23</f>
        <v>1498.0936289270423</v>
      </c>
      <c r="P23" s="2" t="str">
        <f>'2013-14 Back-Up Data'!A23</f>
        <v>Nassau</v>
      </c>
      <c r="Q23" s="27">
        <f>'2013-14 Back-Up Data'!C23</f>
        <v>19686115</v>
      </c>
      <c r="R23" s="31">
        <f>'2013-14 Back-Up Data'!C23/'2013-14 Back-Up Data'!B23</f>
        <v>97.65761497745346</v>
      </c>
      <c r="S23" s="4">
        <f>'2013-14 Back-Up Data'!C23/'2013-14 Back-Up Data'!L23</f>
        <v>0.06518792490119414</v>
      </c>
      <c r="T23" s="27">
        <f>'2013-14 Back-Up Data'!D23</f>
        <v>8841892</v>
      </c>
      <c r="U23" s="31">
        <f>'2013-14 Back-Up Data'!D23/'2013-14 Back-Up Data'!B23</f>
        <v>43.86228997484907</v>
      </c>
      <c r="V23" s="4">
        <f>'2013-14 Back-Up Data'!D23/'2013-14 Back-Up Data'!L23</f>
        <v>0.029278737408598363</v>
      </c>
      <c r="W23" s="31">
        <f>SUM('2013-14 Back-Up Data'!C23+'2013-14 Back-Up Data'!D23)/'2013-14 Back-Up Data'!B23</f>
        <v>141.51990495230254</v>
      </c>
      <c r="AB23" s="2" t="str">
        <f>'2013-14 Back-Up Data'!A23</f>
        <v>Nassau</v>
      </c>
      <c r="AC23" s="27">
        <f>'2013-14 Back-Up Data'!E23</f>
        <v>17294989</v>
      </c>
      <c r="AD23" s="31">
        <f>'2013-14 Back-Up Data'!E23/'2013-14 Back-Up Data'!B23</f>
        <v>85.79587068353979</v>
      </c>
      <c r="AE23" s="4">
        <f>'2013-14 Back-Up Data'!E23/'2013-14 Back-Up Data'!L23</f>
        <v>0.05727003241111712</v>
      </c>
      <c r="AF23" s="27">
        <f>'2013-14 Back-Up Data'!F23</f>
        <v>145657747</v>
      </c>
      <c r="AG23" s="31">
        <f>'2013-14 Back-Up Data'!F23/'2013-14 Back-Up Data'!B23</f>
        <v>722.569596642574</v>
      </c>
      <c r="AH23" s="4">
        <f>'2013-14 Back-Up Data'!F23/'2013-14 Back-Up Data'!L23</f>
        <v>0.48232605939329</v>
      </c>
      <c r="AI23" s="27">
        <f>'2013-14 Back-Up Data'!G23</f>
        <v>91723</v>
      </c>
      <c r="AJ23" s="31">
        <f>'2013-14 Back-Up Data'!G23/'2013-14 Back-Up Data'!B23</f>
        <v>0.4550135676123483</v>
      </c>
      <c r="AK23" s="4">
        <f>'2013-14 Back-Up Data'!G23/'2013-14 Back-Up Data'!L23</f>
        <v>0.0003037283910874355</v>
      </c>
      <c r="AP23" s="2" t="str">
        <f>'2013-14 Back-Up Data'!A23</f>
        <v>Nassau</v>
      </c>
      <c r="AQ23" s="27">
        <f>'2013-14 Back-Up Data'!H23</f>
        <v>18761027</v>
      </c>
      <c r="AR23" s="31">
        <f>'2013-14 Back-Up Data'!H23/'2013-14 Back-Up Data'!B23</f>
        <v>93.06849783959957</v>
      </c>
      <c r="AS23" s="4">
        <f>'2013-14 Back-Up Data'!H23/'2013-14 Back-Up Data'!L23</f>
        <v>0.06212462027907872</v>
      </c>
      <c r="AT23" s="27">
        <f>'2013-14 Back-Up Data'!I23</f>
        <v>46563777</v>
      </c>
      <c r="AU23" s="31">
        <f>'2013-14 Back-Up Data'!I23/'2013-14 Back-Up Data'!B23</f>
        <v>230.99059444496808</v>
      </c>
      <c r="AV23" s="4">
        <f>'2013-14 Back-Up Data'!I23/'2013-14 Back-Up Data'!L23</f>
        <v>0.15418969147502956</v>
      </c>
      <c r="AW23" s="27">
        <f>'2013-14 Back-Up Data'!J23</f>
        <v>45092938</v>
      </c>
      <c r="AX23" s="31">
        <f>'2013-14 Back-Up Data'!J23/'2013-14 Back-Up Data'!B23</f>
        <v>223.69415079644614</v>
      </c>
      <c r="AY23" s="4">
        <f>'2013-14 Back-Up Data'!J23/'2013-14 Back-Up Data'!L23</f>
        <v>0.14931920574060467</v>
      </c>
    </row>
    <row r="24" spans="3:51" ht="12.75">
      <c r="C24" s="2" t="str">
        <f>'2013-14 Back-Up Data'!A24</f>
        <v>Oneida</v>
      </c>
      <c r="D24" s="27">
        <f>'2013-14 Back-Up Data'!K24</f>
        <v>46560370</v>
      </c>
      <c r="E24" s="28">
        <f>'2013-14 Back-Up Data'!K24/'2013-14 Back-Up Data'!B24</f>
        <v>2012.6381084118614</v>
      </c>
      <c r="F24" s="4">
        <f>'2013-14 Back-Up Data'!K24/'2013-14 Back-Up Data'!L24</f>
        <v>0.8916549250089888</v>
      </c>
      <c r="G24" s="27">
        <f>'2013-14 Back-Up Data'!C24+'2013-14 Back-Up Data'!D24</f>
        <v>5657555</v>
      </c>
      <c r="H24" s="28">
        <f>('2013-14 Back-Up Data'!C24+'2013-14 Back-Up Data'!D24)/'2013-14 Back-Up Data'!B24</f>
        <v>244.55584853462437</v>
      </c>
      <c r="I24" s="4">
        <f>('2013-14 Back-Up Data'!C24+'2013-14 Back-Up Data'!D24)/'2013-14 Back-Up Data'!L24</f>
        <v>0.10834507499101123</v>
      </c>
      <c r="J24" s="27">
        <f>'2013-14 Back-Up Data'!L24</f>
        <v>52217925</v>
      </c>
      <c r="K24" s="28">
        <f>'2013-14 Back-Up Data'!L24/'2013-14 Back-Up Data'!B24</f>
        <v>2257.1939569464857</v>
      </c>
      <c r="P24" s="2" t="str">
        <f>'2013-14 Back-Up Data'!A24</f>
        <v>Oneida</v>
      </c>
      <c r="Q24" s="27">
        <f>'2013-14 Back-Up Data'!C24</f>
        <v>2242555</v>
      </c>
      <c r="R24" s="31">
        <f>'2013-14 Back-Up Data'!C24/'2013-14 Back-Up Data'!B24</f>
        <v>96.93762427595746</v>
      </c>
      <c r="S24" s="4">
        <f>'2013-14 Back-Up Data'!C24/'2013-14 Back-Up Data'!L24</f>
        <v>0.042946076467036944</v>
      </c>
      <c r="T24" s="27">
        <f>'2013-14 Back-Up Data'!D24</f>
        <v>3415000</v>
      </c>
      <c r="U24" s="31">
        <f>'2013-14 Back-Up Data'!D24/'2013-14 Back-Up Data'!B24</f>
        <v>147.61822425866688</v>
      </c>
      <c r="V24" s="4">
        <f>'2013-14 Back-Up Data'!D24/'2013-14 Back-Up Data'!L24</f>
        <v>0.06539899852397428</v>
      </c>
      <c r="W24" s="31">
        <f>SUM('2013-14 Back-Up Data'!C24+'2013-14 Back-Up Data'!D24)/'2013-14 Back-Up Data'!B24</f>
        <v>244.55584853462437</v>
      </c>
      <c r="AB24" s="2" t="str">
        <f>'2013-14 Back-Up Data'!A24</f>
        <v>Oneida</v>
      </c>
      <c r="AC24" s="27">
        <f>'2013-14 Back-Up Data'!E24</f>
        <v>5307293</v>
      </c>
      <c r="AD24" s="31">
        <f>'2013-14 Back-Up Data'!E24/'2013-14 Back-Up Data'!B24</f>
        <v>229.4152762168237</v>
      </c>
      <c r="AE24" s="4">
        <f>'2013-14 Back-Up Data'!E24/'2013-14 Back-Up Data'!L24</f>
        <v>0.10163737835235698</v>
      </c>
      <c r="AF24" s="27">
        <f>'2013-14 Back-Up Data'!F24</f>
        <v>13380239</v>
      </c>
      <c r="AG24" s="31">
        <f>'2013-14 Back-Up Data'!F24/'2013-14 Back-Up Data'!B24</f>
        <v>578.3798305524336</v>
      </c>
      <c r="AH24" s="4">
        <f>'2013-14 Back-Up Data'!F24/'2013-14 Back-Up Data'!L24</f>
        <v>0.2562384277046627</v>
      </c>
      <c r="AI24" s="27">
        <f>'2013-14 Back-Up Data'!G24</f>
        <v>3875087</v>
      </c>
      <c r="AJ24" s="31">
        <f>'2013-14 Back-Up Data'!G24/'2013-14 Back-Up Data'!B24</f>
        <v>167.50613815163828</v>
      </c>
      <c r="AK24" s="4">
        <f>'2013-14 Back-Up Data'!G24/'2013-14 Back-Up Data'!L24</f>
        <v>0.07420990014444273</v>
      </c>
      <c r="AP24" s="2" t="str">
        <f>'2013-14 Back-Up Data'!A24</f>
        <v>Oneida</v>
      </c>
      <c r="AQ24" s="27">
        <f>'2013-14 Back-Up Data'!H24</f>
        <v>6671176</v>
      </c>
      <c r="AR24" s="31">
        <f>'2013-14 Back-Up Data'!H24/'2013-14 Back-Up Data'!B24</f>
        <v>288.3710555891761</v>
      </c>
      <c r="AS24" s="4">
        <f>'2013-14 Back-Up Data'!H24/'2013-14 Back-Up Data'!L24</f>
        <v>0.12775643612801543</v>
      </c>
      <c r="AT24" s="27">
        <f>'2013-14 Back-Up Data'!I24</f>
        <v>9206884</v>
      </c>
      <c r="AU24" s="31">
        <f>'2013-14 Back-Up Data'!I24/'2013-14 Back-Up Data'!B24</f>
        <v>397.9806345638454</v>
      </c>
      <c r="AV24" s="4">
        <f>'2013-14 Back-Up Data'!I24/'2013-14 Back-Up Data'!L24</f>
        <v>0.17631654264316324</v>
      </c>
      <c r="AW24" s="27">
        <f>'2013-14 Back-Up Data'!J24</f>
        <v>8119691</v>
      </c>
      <c r="AX24" s="31">
        <f>'2013-14 Back-Up Data'!J24/'2013-14 Back-Up Data'!B24</f>
        <v>350.98517333794416</v>
      </c>
      <c r="AY24" s="4">
        <f>'2013-14 Back-Up Data'!J24/'2013-14 Back-Up Data'!L24</f>
        <v>0.15549624003634768</v>
      </c>
    </row>
    <row r="25" spans="3:51" ht="12.75">
      <c r="C25" s="2" t="str">
        <f>'2013-14 Back-Up Data'!A25</f>
        <v>Onondaga</v>
      </c>
      <c r="D25" s="27">
        <f>'2013-14 Back-Up Data'!K25</f>
        <v>95313730</v>
      </c>
      <c r="E25" s="28">
        <f>'2013-14 Back-Up Data'!K25/'2013-14 Back-Up Data'!B25</f>
        <v>1224.5770485905903</v>
      </c>
      <c r="F25" s="4">
        <f>'2013-14 Back-Up Data'!K25/'2013-14 Back-Up Data'!L25</f>
        <v>0.9213861133995831</v>
      </c>
      <c r="G25" s="27">
        <f>'2013-14 Back-Up Data'!C25+'2013-14 Back-Up Data'!D25</f>
        <v>8132294</v>
      </c>
      <c r="H25" s="28">
        <f>('2013-14 Back-Up Data'!C25+'2013-14 Back-Up Data'!D25)/'2013-14 Back-Up Data'!B25</f>
        <v>104.48253976411337</v>
      </c>
      <c r="I25" s="4">
        <f>('2013-14 Back-Up Data'!C25+'2013-14 Back-Up Data'!D25)/'2013-14 Back-Up Data'!L25</f>
        <v>0.07861388660041685</v>
      </c>
      <c r="J25" s="27">
        <f>'2013-14 Back-Up Data'!L25</f>
        <v>103446024</v>
      </c>
      <c r="K25" s="28">
        <f>'2013-14 Back-Up Data'!L25/'2013-14 Back-Up Data'!B25</f>
        <v>1329.0595883547037</v>
      </c>
      <c r="P25" s="2" t="str">
        <f>'2013-14 Back-Up Data'!A25</f>
        <v>Onondaga</v>
      </c>
      <c r="Q25" s="27">
        <f>'2013-14 Back-Up Data'!C25</f>
        <v>5932000</v>
      </c>
      <c r="R25" s="31">
        <f>'2013-14 Back-Up Data'!C25/'2013-14 Back-Up Data'!B25</f>
        <v>76.21347997019298</v>
      </c>
      <c r="S25" s="4">
        <f>'2013-14 Back-Up Data'!C25/'2013-14 Back-Up Data'!L25</f>
        <v>0.05734391492900684</v>
      </c>
      <c r="T25" s="27">
        <f>'2013-14 Back-Up Data'!D25</f>
        <v>2200294</v>
      </c>
      <c r="U25" s="31">
        <f>'2013-14 Back-Up Data'!D25/'2013-14 Back-Up Data'!B25</f>
        <v>28.269059793920395</v>
      </c>
      <c r="V25" s="4">
        <f>'2013-14 Back-Up Data'!D25/'2013-14 Back-Up Data'!L25</f>
        <v>0.02126997167141001</v>
      </c>
      <c r="W25" s="31">
        <f>SUM('2013-14 Back-Up Data'!C25+'2013-14 Back-Up Data'!D25)/'2013-14 Back-Up Data'!B25</f>
        <v>104.48253976411337</v>
      </c>
      <c r="AB25" s="2" t="str">
        <f>'2013-14 Back-Up Data'!A25</f>
        <v>Onondaga</v>
      </c>
      <c r="AC25" s="27">
        <f>'2013-14 Back-Up Data'!E25</f>
        <v>7283285</v>
      </c>
      <c r="AD25" s="31">
        <f>'2013-14 Back-Up Data'!E25/'2013-14 Back-Up Data'!B25</f>
        <v>93.57459465015289</v>
      </c>
      <c r="AE25" s="4">
        <f>'2013-14 Back-Up Data'!E25/'2013-14 Back-Up Data'!L25</f>
        <v>0.07040662094465806</v>
      </c>
      <c r="AF25" s="27">
        <f>'2013-14 Back-Up Data'!F25</f>
        <v>25639991</v>
      </c>
      <c r="AG25" s="31">
        <f>'2013-14 Back-Up Data'!F25/'2013-14 Back-Up Data'!B25</f>
        <v>329.4189043348665</v>
      </c>
      <c r="AH25" s="4">
        <f>'2013-14 Back-Up Data'!F25/'2013-14 Back-Up Data'!L25</f>
        <v>0.2478586417202463</v>
      </c>
      <c r="AI25" s="27">
        <f>'2013-14 Back-Up Data'!G25</f>
        <v>3134475</v>
      </c>
      <c r="AJ25" s="31">
        <f>'2013-14 Back-Up Data'!G25/'2013-14 Back-Up Data'!B25</f>
        <v>40.271282472955264</v>
      </c>
      <c r="AK25" s="4">
        <f>'2013-14 Back-Up Data'!G25/'2013-14 Back-Up Data'!L25</f>
        <v>0.030300584583125206</v>
      </c>
      <c r="AP25" s="2" t="str">
        <f>'2013-14 Back-Up Data'!A25</f>
        <v>Onondaga</v>
      </c>
      <c r="AQ25" s="27">
        <f>'2013-14 Back-Up Data'!H25</f>
        <v>7730541</v>
      </c>
      <c r="AR25" s="31">
        <f>'2013-14 Back-Up Data'!H25/'2013-14 Back-Up Data'!B25</f>
        <v>99.3208751959298</v>
      </c>
      <c r="AS25" s="4">
        <f>'2013-14 Back-Up Data'!H25/'2013-14 Back-Up Data'!L25</f>
        <v>0.07473018972676997</v>
      </c>
      <c r="AT25" s="27">
        <f>'2013-14 Back-Up Data'!I25</f>
        <v>21632764</v>
      </c>
      <c r="AU25" s="31">
        <f>'2013-14 Back-Up Data'!I25/'2013-14 Back-Up Data'!B25</f>
        <v>277.9346301102346</v>
      </c>
      <c r="AV25" s="4">
        <f>'2013-14 Back-Up Data'!I25/'2013-14 Back-Up Data'!L25</f>
        <v>0.20912127081848986</v>
      </c>
      <c r="AW25" s="27">
        <f>'2013-14 Back-Up Data'!J25</f>
        <v>29892674</v>
      </c>
      <c r="AX25" s="31">
        <f>'2013-14 Back-Up Data'!J25/'2013-14 Back-Up Data'!B25</f>
        <v>384.0567618264512</v>
      </c>
      <c r="AY25" s="4">
        <f>'2013-14 Back-Up Data'!J25/'2013-14 Back-Up Data'!L25</f>
        <v>0.2889688056062938</v>
      </c>
    </row>
    <row r="26" spans="3:51" ht="12.75">
      <c r="C26" s="2" t="str">
        <f>'2013-14 Back-Up Data'!A26</f>
        <v>Ontario</v>
      </c>
      <c r="D26" s="27">
        <f>'2013-14 Back-Up Data'!K26</f>
        <v>90011768</v>
      </c>
      <c r="E26" s="28">
        <f>'2013-14 Back-Up Data'!K26/'2013-14 Back-Up Data'!B26</f>
        <v>2486.5129281767954</v>
      </c>
      <c r="F26" s="4">
        <f>'2013-14 Back-Up Data'!K26/'2013-14 Back-Up Data'!L26</f>
        <v>0.9308681843942812</v>
      </c>
      <c r="G26" s="27">
        <f>'2013-14 Back-Up Data'!C26+'2013-14 Back-Up Data'!D26</f>
        <v>6684810</v>
      </c>
      <c r="H26" s="28">
        <f>('2013-14 Back-Up Data'!F26+'2013-14 Back-Up Data'!D26)/'2013-14 Back-Up Data'!B26</f>
        <v>957.7257458563536</v>
      </c>
      <c r="I26" s="4">
        <f>('2013-14 Back-Up Data'!C26+'2013-14 Back-Up Data'!D26)/'2013-14 Back-Up Data'!L26</f>
        <v>0.06913181560571875</v>
      </c>
      <c r="J26" s="27">
        <f>'2013-14 Back-Up Data'!L26</f>
        <v>96696578</v>
      </c>
      <c r="K26" s="28">
        <f>'2013-14 Back-Up Data'!L26/'2013-14 Back-Up Data'!B26</f>
        <v>2671.176187845304</v>
      </c>
      <c r="P26" s="2" t="str">
        <f>'2013-14 Back-Up Data'!A26</f>
        <v>Ontario</v>
      </c>
      <c r="Q26" s="27">
        <f>'2013-14 Back-Up Data'!C26</f>
        <v>2921710</v>
      </c>
      <c r="R26" s="31">
        <f>'2013-14 Back-Up Data'!C26/'2013-14 Back-Up Data'!B26</f>
        <v>80.71022099447514</v>
      </c>
      <c r="S26" s="4">
        <f>'2013-14 Back-Up Data'!C26/'2013-14 Back-Up Data'!L26</f>
        <v>0.030215236779113322</v>
      </c>
      <c r="T26" s="27">
        <f>'2013-14 Back-Up Data'!D26</f>
        <v>3763100</v>
      </c>
      <c r="U26" s="31">
        <f>'2013-14 Back-Up Data'!D26/'2013-14 Back-Up Data'!B26</f>
        <v>103.95303867403315</v>
      </c>
      <c r="V26" s="4">
        <f>'2013-14 Back-Up Data'!D26/'2013-14 Back-Up Data'!L26</f>
        <v>0.03891657882660542</v>
      </c>
      <c r="W26" s="31">
        <f>SUM('2013-14 Back-Up Data'!C26+'2013-14 Back-Up Data'!D26)/'2013-14 Back-Up Data'!B26</f>
        <v>184.6632596685083</v>
      </c>
      <c r="AB26" s="2" t="str">
        <f>'2013-14 Back-Up Data'!A26</f>
        <v>Ontario</v>
      </c>
      <c r="AC26" s="27">
        <f>'2013-14 Back-Up Data'!E26</f>
        <v>8991888</v>
      </c>
      <c r="AD26" s="31">
        <f>'2013-14 Back-Up Data'!E26/'2013-14 Back-Up Data'!B26</f>
        <v>248.3946961325967</v>
      </c>
      <c r="AE26" s="4">
        <f>'2013-14 Back-Up Data'!E26/'2013-14 Back-Up Data'!L26</f>
        <v>0.09299075712896479</v>
      </c>
      <c r="AF26" s="27">
        <f>'2013-14 Back-Up Data'!F26</f>
        <v>30906572</v>
      </c>
      <c r="AG26" s="31">
        <f>'2013-14 Back-Up Data'!F26/'2013-14 Back-Up Data'!B26</f>
        <v>853.7727071823205</v>
      </c>
      <c r="AH26" s="4">
        <f>'2013-14 Back-Up Data'!F26/'2013-14 Back-Up Data'!L26</f>
        <v>0.3196242580580256</v>
      </c>
      <c r="AI26" s="27">
        <f>'2013-14 Back-Up Data'!G26</f>
        <v>4422520</v>
      </c>
      <c r="AJ26" s="31">
        <f>'2013-14 Back-Up Data'!G26/'2013-14 Back-Up Data'!B26</f>
        <v>122.16906077348067</v>
      </c>
      <c r="AK26" s="4">
        <f>'2013-14 Back-Up Data'!G26/'2013-14 Back-Up Data'!L26</f>
        <v>0.04573605489948155</v>
      </c>
      <c r="AP26" s="2" t="str">
        <f>'2013-14 Back-Up Data'!A26</f>
        <v>Ontario</v>
      </c>
      <c r="AQ26" s="27">
        <f>'2013-14 Back-Up Data'!H26</f>
        <v>4702131</v>
      </c>
      <c r="AR26" s="31">
        <f>'2013-14 Back-Up Data'!H26/'2013-14 Back-Up Data'!B26</f>
        <v>129.89312154696134</v>
      </c>
      <c r="AS26" s="4">
        <f>'2013-14 Back-Up Data'!H26/'2013-14 Back-Up Data'!L26</f>
        <v>0.048627687734720045</v>
      </c>
      <c r="AT26" s="27">
        <f>'2013-14 Back-Up Data'!I26</f>
        <v>17016228</v>
      </c>
      <c r="AU26" s="31">
        <f>'2013-14 Back-Up Data'!I26/'2013-14 Back-Up Data'!B26</f>
        <v>470.061546961326</v>
      </c>
      <c r="AV26" s="4">
        <f>'2013-14 Back-Up Data'!I26/'2013-14 Back-Up Data'!L26</f>
        <v>0.17597549315550753</v>
      </c>
      <c r="AW26" s="27">
        <f>'2013-14 Back-Up Data'!J26</f>
        <v>23972429</v>
      </c>
      <c r="AX26" s="31">
        <f>'2013-14 Back-Up Data'!J26/'2013-14 Back-Up Data'!B26</f>
        <v>662.2217955801106</v>
      </c>
      <c r="AY26" s="4">
        <f>'2013-14 Back-Up Data'!J26/'2013-14 Back-Up Data'!L26</f>
        <v>0.24791393341758175</v>
      </c>
    </row>
    <row r="27" spans="3:51" ht="12.75">
      <c r="C27" s="2" t="str">
        <f>'2013-14 Back-Up Data'!A27</f>
        <v>Orange</v>
      </c>
      <c r="D27" s="27">
        <f>'2013-14 Back-Up Data'!K27</f>
        <v>107577824</v>
      </c>
      <c r="E27" s="28">
        <f>'2013-14 Back-Up Data'!K27/'2013-14 Back-Up Data'!B27</f>
        <v>1716.2474713633899</v>
      </c>
      <c r="F27" s="4">
        <f>'2013-14 Back-Up Data'!K27/'2013-14 Back-Up Data'!L27</f>
        <v>0.9375580587686491</v>
      </c>
      <c r="G27" s="27">
        <f>'2013-14 Back-Up Data'!C27+'2013-14 Back-Up Data'!D27</f>
        <v>7164749</v>
      </c>
      <c r="H27" s="28">
        <f>('2013-14 Back-Up Data'!D26+'2013-14 Back-Up Data'!D27)/'2013-14 Back-Up Data'!B27</f>
        <v>94.15967901470917</v>
      </c>
      <c r="I27" s="4">
        <f>('2013-14 Back-Up Data'!C27+'2013-14 Back-Up Data'!D27)/'2013-14 Back-Up Data'!L27</f>
        <v>0.06244194123135098</v>
      </c>
      <c r="J27" s="27">
        <f>'2013-14 Back-Up Data'!L27</f>
        <v>114742573</v>
      </c>
      <c r="K27" s="28">
        <f>'2013-14 Back-Up Data'!L27/'2013-14 Back-Up Data'!B27</f>
        <v>1830.5506046392904</v>
      </c>
      <c r="P27" s="2" t="str">
        <f>'2013-14 Back-Up Data'!A27</f>
        <v>Orange</v>
      </c>
      <c r="Q27" s="27">
        <f>'2013-14 Back-Up Data'!C27</f>
        <v>5025732</v>
      </c>
      <c r="R27" s="31">
        <f>'2013-14 Back-Up Data'!C27/'2013-14 Back-Up Data'!B27</f>
        <v>80.17823298554609</v>
      </c>
      <c r="S27" s="4">
        <f>'2013-14 Back-Up Data'!C27/'2013-14 Back-Up Data'!L27</f>
        <v>0.04380006364333489</v>
      </c>
      <c r="T27" s="27">
        <f>'2013-14 Back-Up Data'!D27</f>
        <v>2139017</v>
      </c>
      <c r="U27" s="31">
        <f>'2013-14 Back-Up Data'!D27/'2013-14 Back-Up Data'!B27</f>
        <v>34.12490029035449</v>
      </c>
      <c r="V27" s="4">
        <f>'2013-14 Back-Up Data'!D27/'2013-14 Back-Up Data'!L27</f>
        <v>0.01864187758801609</v>
      </c>
      <c r="W27" s="31">
        <f>SUM('2013-14 Back-Up Data'!C27+'2013-14 Back-Up Data'!D27)/'2013-14 Back-Up Data'!B27</f>
        <v>114.30313327590058</v>
      </c>
      <c r="AB27" s="2" t="str">
        <f>'2013-14 Back-Up Data'!A27</f>
        <v>Orange</v>
      </c>
      <c r="AC27" s="27">
        <f>'2013-14 Back-Up Data'!E27</f>
        <v>17284101</v>
      </c>
      <c r="AD27" s="31">
        <f>'2013-14 Back-Up Data'!E27/'2013-14 Back-Up Data'!B27</f>
        <v>275.7426533933187</v>
      </c>
      <c r="AE27" s="4">
        <f>'2013-14 Back-Up Data'!E27/'2013-14 Back-Up Data'!L27</f>
        <v>0.15063372336961625</v>
      </c>
      <c r="AF27" s="27">
        <f>'2013-14 Back-Up Data'!F27</f>
        <v>61638863</v>
      </c>
      <c r="AG27" s="31">
        <f>'2013-14 Back-Up Data'!F27/'2013-14 Back-Up Data'!B27</f>
        <v>983.358268721483</v>
      </c>
      <c r="AH27" s="4">
        <f>'2013-14 Back-Up Data'!F27/'2013-14 Back-Up Data'!L27</f>
        <v>0.537192616379624</v>
      </c>
      <c r="AI27" s="27">
        <f>'2013-14 Back-Up Data'!G27</f>
        <v>2284478</v>
      </c>
      <c r="AJ27" s="31">
        <f>'2013-14 Back-Up Data'!G27/'2013-14 Back-Up Data'!B27</f>
        <v>36.4455186496921</v>
      </c>
      <c r="AK27" s="4">
        <f>'2013-14 Back-Up Data'!G27/'2013-14 Back-Up Data'!L27</f>
        <v>0.019909593625724253</v>
      </c>
      <c r="AP27" s="2" t="str">
        <f>'2013-14 Back-Up Data'!A27</f>
        <v>Orange</v>
      </c>
      <c r="AQ27" s="27">
        <f>'2013-14 Back-Up Data'!H27</f>
        <v>4246037</v>
      </c>
      <c r="AR27" s="31">
        <f>'2013-14 Back-Up Data'!H27/'2013-14 Back-Up Data'!B27</f>
        <v>67.73933505631601</v>
      </c>
      <c r="AS27" s="4">
        <f>'2013-14 Back-Up Data'!H27/'2013-14 Back-Up Data'!L27</f>
        <v>0.03700489616874811</v>
      </c>
      <c r="AT27" s="27">
        <f>'2013-14 Back-Up Data'!I27</f>
        <v>14728694</v>
      </c>
      <c r="AU27" s="31">
        <f>'2013-14 Back-Up Data'!I27/'2013-14 Back-Up Data'!B27</f>
        <v>234.97485721578764</v>
      </c>
      <c r="AV27" s="4">
        <f>'2013-14 Back-Up Data'!I27/'2013-14 Back-Up Data'!L27</f>
        <v>0.12836293988282796</v>
      </c>
      <c r="AW27" s="27">
        <f>'2013-14 Back-Up Data'!J27</f>
        <v>7395651</v>
      </c>
      <c r="AX27" s="31">
        <f>'2013-14 Back-Up Data'!J27/'2013-14 Back-Up Data'!B27</f>
        <v>117.98683832679238</v>
      </c>
      <c r="AY27" s="4">
        <f>'2013-14 Back-Up Data'!J27/'2013-14 Back-Up Data'!L27</f>
        <v>0.06445428934210844</v>
      </c>
    </row>
    <row r="28" spans="3:51" ht="12.75">
      <c r="C28" s="2" t="str">
        <f>'2013-14 Back-Up Data'!A28</f>
        <v>Orleans</v>
      </c>
      <c r="D28" s="27">
        <f>'2013-14 Back-Up Data'!K28</f>
        <v>50090660</v>
      </c>
      <c r="E28" s="28">
        <f>'2013-14 Back-Up Data'!K28/'2013-14 Back-Up Data'!B28</f>
        <v>1484.6075874333135</v>
      </c>
      <c r="F28" s="4">
        <f>'2013-14 Back-Up Data'!K28/'2013-14 Back-Up Data'!L28</f>
        <v>0.9399870201306574</v>
      </c>
      <c r="G28" s="27">
        <f>'2013-14 Back-Up Data'!C28+'2013-14 Back-Up Data'!D28</f>
        <v>3198012</v>
      </c>
      <c r="H28" s="28">
        <f>('2013-14 Back-Up Data'!C28+'2013-14 Back-Up Data'!D28)/'2013-14 Back-Up Data'!B28</f>
        <v>94.78399525785417</v>
      </c>
      <c r="I28" s="4">
        <f>('2013-14 Back-Up Data'!C28+'2013-14 Back-Up Data'!D28)/'2013-14 Back-Up Data'!L28</f>
        <v>0.060012979869342585</v>
      </c>
      <c r="J28" s="27">
        <f>'2013-14 Back-Up Data'!L28</f>
        <v>53288672</v>
      </c>
      <c r="K28" s="28">
        <f>'2013-14 Back-Up Data'!L28/'2013-14 Back-Up Data'!B28</f>
        <v>1579.3915826911677</v>
      </c>
      <c r="P28" s="2" t="str">
        <f>'2013-14 Back-Up Data'!A28</f>
        <v>Orleans</v>
      </c>
      <c r="Q28" s="27">
        <f>'2013-14 Back-Up Data'!C28</f>
        <v>2279429</v>
      </c>
      <c r="R28" s="31">
        <f>'2013-14 Back-Up Data'!C28/'2013-14 Back-Up Data'!B28</f>
        <v>67.55865441612329</v>
      </c>
      <c r="S28" s="4">
        <f>'2013-14 Back-Up Data'!C28/'2013-14 Back-Up Data'!L28</f>
        <v>0.04277511363015389</v>
      </c>
      <c r="T28" s="27">
        <f>'2013-14 Back-Up Data'!D28</f>
        <v>918583</v>
      </c>
      <c r="U28" s="31">
        <f>'2013-14 Back-Up Data'!D28/'2013-14 Back-Up Data'!B28</f>
        <v>27.225340841730883</v>
      </c>
      <c r="V28" s="4">
        <f>'2013-14 Back-Up Data'!D28/'2013-14 Back-Up Data'!L28</f>
        <v>0.017237866239188698</v>
      </c>
      <c r="W28" s="31">
        <f>SUM('2013-14 Back-Up Data'!C28+'2013-14 Back-Up Data'!D28)/'2013-14 Back-Up Data'!B28</f>
        <v>94.78399525785417</v>
      </c>
      <c r="AB28" s="2" t="str">
        <f>'2013-14 Back-Up Data'!A28</f>
        <v>Orleans</v>
      </c>
      <c r="AC28" s="27">
        <f>'2013-14 Back-Up Data'!E28</f>
        <v>11710470</v>
      </c>
      <c r="AD28" s="31">
        <f>'2013-14 Back-Up Data'!E28/'2013-14 Back-Up Data'!B28</f>
        <v>347.0797273266153</v>
      </c>
      <c r="AE28" s="4">
        <f>'2013-14 Back-Up Data'!E28/'2013-14 Back-Up Data'!L28</f>
        <v>0.21975533561804655</v>
      </c>
      <c r="AF28" s="27">
        <f>'2013-14 Back-Up Data'!F28</f>
        <v>19794443</v>
      </c>
      <c r="AG28" s="31">
        <f>'2013-14 Back-Up Data'!F28/'2013-14 Back-Up Data'!B28</f>
        <v>586.6758446947243</v>
      </c>
      <c r="AH28" s="4">
        <f>'2013-14 Back-Up Data'!F28/'2013-14 Back-Up Data'!L28</f>
        <v>0.3714568642281046</v>
      </c>
      <c r="AI28" s="27">
        <f>'2013-14 Back-Up Data'!G28</f>
        <v>2116558</v>
      </c>
      <c r="AJ28" s="31">
        <f>'2013-14 Back-Up Data'!G28/'2013-14 Back-Up Data'!B28</f>
        <v>62.73141671606402</v>
      </c>
      <c r="AK28" s="4">
        <f>'2013-14 Back-Up Data'!G28/'2013-14 Back-Up Data'!L28</f>
        <v>0.03971872295860553</v>
      </c>
      <c r="AP28" s="2" t="str">
        <f>'2013-14 Back-Up Data'!A28</f>
        <v>Orleans</v>
      </c>
      <c r="AQ28" s="27">
        <f>'2013-14 Back-Up Data'!H28</f>
        <v>3447497</v>
      </c>
      <c r="AR28" s="31">
        <f>'2013-14 Back-Up Data'!H28/'2013-14 Back-Up Data'!B28</f>
        <v>102.17833432128037</v>
      </c>
      <c r="AS28" s="4">
        <f>'2013-14 Back-Up Data'!H28/'2013-14 Back-Up Data'!L28</f>
        <v>0.0646947441287334</v>
      </c>
      <c r="AT28" s="27">
        <f>'2013-14 Back-Up Data'!I28</f>
        <v>5736025</v>
      </c>
      <c r="AU28" s="31">
        <f>'2013-14 Back-Up Data'!I28/'2013-14 Back-Up Data'!B28</f>
        <v>170.00666864256075</v>
      </c>
      <c r="AV28" s="4">
        <f>'2013-14 Back-Up Data'!I28/'2013-14 Back-Up Data'!L28</f>
        <v>0.10764060699429702</v>
      </c>
      <c r="AW28" s="27">
        <f>'2013-14 Back-Up Data'!J28</f>
        <v>7285667</v>
      </c>
      <c r="AX28" s="31">
        <f>'2013-14 Back-Up Data'!J28/'2013-14 Back-Up Data'!B28</f>
        <v>215.93559573206875</v>
      </c>
      <c r="AY28" s="4">
        <f>'2013-14 Back-Up Data'!J28/'2013-14 Back-Up Data'!L28</f>
        <v>0.13672074620287028</v>
      </c>
    </row>
    <row r="29" spans="3:51" ht="12.75">
      <c r="C29" s="2" t="str">
        <f>'2013-14 Back-Up Data'!A29</f>
        <v>Oswego</v>
      </c>
      <c r="D29" s="27">
        <f>'2013-14 Back-Up Data'!K29</f>
        <v>36237735</v>
      </c>
      <c r="E29" s="28">
        <f>'2013-14 Back-Up Data'!K29/'2013-14 Back-Up Data'!B29</f>
        <v>1788.4579508439442</v>
      </c>
      <c r="F29" s="4">
        <f>'2013-14 Back-Up Data'!K29/'2013-14 Back-Up Data'!L29</f>
        <v>0.8539108509892518</v>
      </c>
      <c r="G29" s="27">
        <f>'2013-14 Back-Up Data'!C29+'2013-14 Back-Up Data'!D29</f>
        <v>6199640</v>
      </c>
      <c r="H29" s="28">
        <f>('2013-14 Back-Up Data'!C29+'2013-14 Back-Up Data'!D29)/'2013-14 Back-Up Data'!B29</f>
        <v>305.97374395419996</v>
      </c>
      <c r="I29" s="4">
        <f>('2013-14 Back-Up Data'!C29+'2013-14 Back-Up Data'!D29)/'2013-14 Back-Up Data'!L29</f>
        <v>0.14608914901074818</v>
      </c>
      <c r="J29" s="27">
        <f>'2013-14 Back-Up Data'!L29</f>
        <v>42437375</v>
      </c>
      <c r="K29" s="28">
        <f>'2013-14 Back-Up Data'!L29/'2013-14 Back-Up Data'!B29</f>
        <v>2094.4316947981442</v>
      </c>
      <c r="P29" s="2" t="str">
        <f>'2013-14 Back-Up Data'!A29</f>
        <v>Oswego</v>
      </c>
      <c r="Q29" s="27">
        <f>'2013-14 Back-Up Data'!C29</f>
        <v>6043690</v>
      </c>
      <c r="R29" s="31">
        <f>'2013-14 Back-Up Data'!C29/'2013-14 Back-Up Data'!B29</f>
        <v>298.2770703780476</v>
      </c>
      <c r="S29" s="4">
        <f>'2013-14 Back-Up Data'!C29/'2013-14 Back-Up Data'!L29</f>
        <v>0.14241432228077255</v>
      </c>
      <c r="T29" s="27">
        <f>'2013-14 Back-Up Data'!D29</f>
        <v>155950</v>
      </c>
      <c r="U29" s="31">
        <f>'2013-14 Back-Up Data'!D29/'2013-14 Back-Up Data'!B29</f>
        <v>7.696673576152404</v>
      </c>
      <c r="V29" s="4">
        <f>'2013-14 Back-Up Data'!D29/'2013-14 Back-Up Data'!L29</f>
        <v>0.0036748267299756407</v>
      </c>
      <c r="W29" s="31">
        <f>SUM('2013-14 Back-Up Data'!C29+'2013-14 Back-Up Data'!D29)/'2013-14 Back-Up Data'!B29</f>
        <v>305.97374395419996</v>
      </c>
      <c r="AB29" s="2" t="str">
        <f>'2013-14 Back-Up Data'!A29</f>
        <v>Oswego</v>
      </c>
      <c r="AC29" s="27">
        <f>'2013-14 Back-Up Data'!E29</f>
        <v>6350276</v>
      </c>
      <c r="AD29" s="31">
        <f>'2013-14 Back-Up Data'!E29/'2013-14 Back-Up Data'!B29</f>
        <v>313.4081531931695</v>
      </c>
      <c r="AE29" s="4">
        <f>'2013-14 Back-Up Data'!E29/'2013-14 Back-Up Data'!L29</f>
        <v>0.14963875593153442</v>
      </c>
      <c r="AF29" s="27">
        <f>'2013-14 Back-Up Data'!F29</f>
        <v>11731801</v>
      </c>
      <c r="AG29" s="31">
        <f>'2013-14 Back-Up Data'!F29/'2013-14 Back-Up Data'!B29</f>
        <v>579.0050834073635</v>
      </c>
      <c r="AH29" s="4">
        <f>'2013-14 Back-Up Data'!F29/'2013-14 Back-Up Data'!L29</f>
        <v>0.2764497332834559</v>
      </c>
      <c r="AI29" s="27">
        <f>'2013-14 Back-Up Data'!G29</f>
        <v>3673773</v>
      </c>
      <c r="AJ29" s="31">
        <f>'2013-14 Back-Up Data'!G29/'2013-14 Back-Up Data'!B29</f>
        <v>181.31344388510513</v>
      </c>
      <c r="AK29" s="4">
        <f>'2013-14 Back-Up Data'!G29/'2013-14 Back-Up Data'!L29</f>
        <v>0.0865692800273344</v>
      </c>
      <c r="AP29" s="2" t="str">
        <f>'2013-14 Back-Up Data'!A29</f>
        <v>Oswego</v>
      </c>
      <c r="AQ29" s="27">
        <f>'2013-14 Back-Up Data'!H29</f>
        <v>3104668</v>
      </c>
      <c r="AR29" s="31">
        <f>'2013-14 Back-Up Data'!H29/'2013-14 Back-Up Data'!B29</f>
        <v>153.2261375974731</v>
      </c>
      <c r="AS29" s="4">
        <f>'2013-14 Back-Up Data'!H29/'2013-14 Back-Up Data'!L29</f>
        <v>0.07315881342802188</v>
      </c>
      <c r="AT29" s="27">
        <f>'2013-14 Back-Up Data'!I29</f>
        <v>6455359</v>
      </c>
      <c r="AU29" s="31">
        <f>'2013-14 Back-Up Data'!I29/'2013-14 Back-Up Data'!B29</f>
        <v>318.5943638337775</v>
      </c>
      <c r="AV29" s="4">
        <f>'2013-14 Back-Up Data'!I29/'2013-14 Back-Up Data'!L29</f>
        <v>0.15211494584667407</v>
      </c>
      <c r="AW29" s="27">
        <f>'2013-14 Back-Up Data'!J29</f>
        <v>4921858</v>
      </c>
      <c r="AX29" s="31">
        <f>'2013-14 Back-Up Data'!J29/'2013-14 Back-Up Data'!B29</f>
        <v>242.91076892705559</v>
      </c>
      <c r="AY29" s="4">
        <f>'2013-14 Back-Up Data'!J29/'2013-14 Back-Up Data'!L29</f>
        <v>0.11597932247223114</v>
      </c>
    </row>
    <row r="30" spans="3:51" ht="12.75">
      <c r="C30" s="2" t="str">
        <f>'2013-14 Back-Up Data'!A30</f>
        <v>Otsego</v>
      </c>
      <c r="D30" s="27">
        <f>'2013-14 Back-Up Data'!K30</f>
        <v>17492084</v>
      </c>
      <c r="E30" s="28">
        <f>'2013-14 Back-Up Data'!K30/'2013-14 Back-Up Data'!B30</f>
        <v>1985.2552491204176</v>
      </c>
      <c r="F30" s="4">
        <f>'2013-14 Back-Up Data'!K30/'2013-14 Back-Up Data'!L30</f>
        <v>0.8386581782899519</v>
      </c>
      <c r="G30" s="27">
        <f>'2013-14 Back-Up Data'!C30+'2013-14 Back-Up Data'!D30</f>
        <v>3365143</v>
      </c>
      <c r="H30" s="28">
        <f>('2013-14 Back-Up Data'!F29+'2013-14 Back-Up Data'!D30)/'2013-14 Back-Up Data'!B30</f>
        <v>1386.023720349563</v>
      </c>
      <c r="I30" s="4">
        <f>('2013-14 Back-Up Data'!C30+'2013-14 Back-Up Data'!D30)/'2013-14 Back-Up Data'!L30</f>
        <v>0.16134182171004804</v>
      </c>
      <c r="J30" s="27">
        <f>'2013-14 Back-Up Data'!L30</f>
        <v>20857227</v>
      </c>
      <c r="K30" s="28">
        <f>'2013-14 Back-Up Data'!L30/'2013-14 Back-Up Data'!B30</f>
        <v>2367.180456247872</v>
      </c>
      <c r="P30" s="2" t="str">
        <f>'2013-14 Back-Up Data'!A30</f>
        <v>Otsego</v>
      </c>
      <c r="Q30" s="27">
        <f>'2013-14 Back-Up Data'!C30</f>
        <v>2884689</v>
      </c>
      <c r="R30" s="31">
        <f>'2013-14 Back-Up Data'!C30/'2013-14 Back-Up Data'!B30</f>
        <v>327.3963227783452</v>
      </c>
      <c r="S30" s="4">
        <f>'2013-14 Back-Up Data'!C30/'2013-14 Back-Up Data'!L30</f>
        <v>0.1383064488869973</v>
      </c>
      <c r="T30" s="27">
        <f>'2013-14 Back-Up Data'!D30</f>
        <v>480454</v>
      </c>
      <c r="U30" s="31">
        <f>'2013-14 Back-Up Data'!D30/'2013-14 Back-Up Data'!B30</f>
        <v>54.52888434910907</v>
      </c>
      <c r="V30" s="4">
        <f>'2013-14 Back-Up Data'!D30/'2013-14 Back-Up Data'!L30</f>
        <v>0.023035372823050734</v>
      </c>
      <c r="W30" s="31">
        <f>SUM('2013-14 Back-Up Data'!C30+'2013-14 Back-Up Data'!D30)/'2013-14 Back-Up Data'!B30</f>
        <v>381.9252071274543</v>
      </c>
      <c r="AB30" s="2" t="str">
        <f>'2013-14 Back-Up Data'!A30</f>
        <v>Otsego</v>
      </c>
      <c r="AC30" s="27">
        <f>'2013-14 Back-Up Data'!E30</f>
        <v>5275864</v>
      </c>
      <c r="AD30" s="31">
        <f>'2013-14 Back-Up Data'!E30/'2013-14 Back-Up Data'!B30</f>
        <v>598.7815230961298</v>
      </c>
      <c r="AE30" s="4">
        <f>'2013-14 Back-Up Data'!E30/'2013-14 Back-Up Data'!L30</f>
        <v>0.25295136309347355</v>
      </c>
      <c r="AF30" s="27">
        <f>'2013-14 Back-Up Data'!F30</f>
        <v>3016211</v>
      </c>
      <c r="AG30" s="31">
        <f>'2013-14 Back-Up Data'!F30/'2013-14 Back-Up Data'!B30</f>
        <v>342.32334581772784</v>
      </c>
      <c r="AH30" s="4">
        <f>'2013-14 Back-Up Data'!F30/'2013-14 Back-Up Data'!L30</f>
        <v>0.1446122727628174</v>
      </c>
      <c r="AI30" s="27">
        <f>'2013-14 Back-Up Data'!G30</f>
        <v>3646471</v>
      </c>
      <c r="AJ30" s="31">
        <f>'2013-14 Back-Up Data'!G30/'2013-14 Back-Up Data'!B30</f>
        <v>413.8543865622517</v>
      </c>
      <c r="AK30" s="4">
        <f>'2013-14 Back-Up Data'!G30/'2013-14 Back-Up Data'!L30</f>
        <v>0.1748300960621467</v>
      </c>
      <c r="AP30" s="2" t="str">
        <f>'2013-14 Back-Up Data'!A30</f>
        <v>Otsego</v>
      </c>
      <c r="AQ30" s="27">
        <f>'2013-14 Back-Up Data'!H30</f>
        <v>1068865</v>
      </c>
      <c r="AR30" s="31">
        <f>'2013-14 Back-Up Data'!H30/'2013-14 Back-Up Data'!B30</f>
        <v>121.31029395074339</v>
      </c>
      <c r="AS30" s="4">
        <f>'2013-14 Back-Up Data'!H30/'2013-14 Back-Up Data'!L30</f>
        <v>0.05124674531278774</v>
      </c>
      <c r="AT30" s="27">
        <f>'2013-14 Back-Up Data'!I30</f>
        <v>1852781</v>
      </c>
      <c r="AU30" s="31">
        <f>'2013-14 Back-Up Data'!I30/'2013-14 Back-Up Data'!B30</f>
        <v>210.28044489842242</v>
      </c>
      <c r="AV30" s="4">
        <f>'2013-14 Back-Up Data'!I30/'2013-14 Back-Up Data'!L30</f>
        <v>0.08883160738481678</v>
      </c>
      <c r="AW30" s="27">
        <f>'2013-14 Back-Up Data'!J30</f>
        <v>2631892</v>
      </c>
      <c r="AX30" s="31">
        <f>'2013-14 Back-Up Data'!J30/'2013-14 Back-Up Data'!B30</f>
        <v>298.7052547951424</v>
      </c>
      <c r="AY30" s="4">
        <f>'2013-14 Back-Up Data'!J30/'2013-14 Back-Up Data'!L30</f>
        <v>0.12618609367390976</v>
      </c>
    </row>
    <row r="31" spans="3:51" ht="12.75">
      <c r="C31" s="2" t="str">
        <f>'2013-14 Back-Up Data'!A31</f>
        <v>Putnam</v>
      </c>
      <c r="D31" s="27">
        <f>'2013-14 Back-Up Data'!K31</f>
        <v>44522869</v>
      </c>
      <c r="E31" s="28">
        <f>'2013-14 Back-Up Data'!K31/'2013-14 Back-Up Data'!B31</f>
        <v>816.5288572633741</v>
      </c>
      <c r="F31" s="4">
        <f>'2013-14 Back-Up Data'!K31/'2013-14 Back-Up Data'!L31</f>
        <v>0.8277092545893214</v>
      </c>
      <c r="G31" s="27">
        <f>'2013-14 Back-Up Data'!C31+'2013-14 Back-Up Data'!D31</f>
        <v>9267600</v>
      </c>
      <c r="H31" s="28">
        <f>('2013-14 Back-Up Data'!E31+'2013-14 Back-Up Data'!D31)/'2013-14 Back-Up Data'!B31</f>
        <v>237.59401764263575</v>
      </c>
      <c r="I31" s="4">
        <f>('2013-14 Back-Up Data'!C31+'2013-14 Back-Up Data'!D31)/'2013-14 Back-Up Data'!L31</f>
        <v>0.1722907454106786</v>
      </c>
      <c r="J31" s="27">
        <f>'2013-14 Back-Up Data'!L31</f>
        <v>53790469</v>
      </c>
      <c r="K31" s="28">
        <f>'2013-14 Back-Up Data'!L31/'2013-14 Back-Up Data'!B31</f>
        <v>986.4923615823353</v>
      </c>
      <c r="P31" s="2" t="str">
        <f>'2013-14 Back-Up Data'!A31</f>
        <v>Putnam</v>
      </c>
      <c r="Q31" s="27">
        <f>'2013-14 Back-Up Data'!C31</f>
        <v>8611600</v>
      </c>
      <c r="R31" s="31">
        <f>'2013-14 Back-Up Data'!C31/'2013-14 Back-Up Data'!B31</f>
        <v>157.93276725292057</v>
      </c>
      <c r="S31" s="4">
        <f>'2013-14 Back-Up Data'!C31/'2013-14 Back-Up Data'!L31</f>
        <v>0.1600952763583452</v>
      </c>
      <c r="T31" s="27">
        <f>'2013-14 Back-Up Data'!D31</f>
        <v>656000</v>
      </c>
      <c r="U31" s="31">
        <f>'2013-14 Back-Up Data'!D31/'2013-14 Back-Up Data'!B31</f>
        <v>12.030737066040677</v>
      </c>
      <c r="V31" s="4">
        <f>'2013-14 Back-Up Data'!D31/'2013-14 Back-Up Data'!L31</f>
        <v>0.012195469052333416</v>
      </c>
      <c r="W31" s="31">
        <f>SUM('2013-14 Back-Up Data'!C31+'2013-14 Back-Up Data'!D31)/'2013-14 Back-Up Data'!B31</f>
        <v>169.96350431896124</v>
      </c>
      <c r="AB31" s="2" t="str">
        <f>'2013-14 Back-Up Data'!A31</f>
        <v>Putnam</v>
      </c>
      <c r="AC31" s="27">
        <f>'2013-14 Back-Up Data'!E31</f>
        <v>12299289</v>
      </c>
      <c r="AD31" s="31">
        <f>'2013-14 Back-Up Data'!E31/'2013-14 Back-Up Data'!B31</f>
        <v>225.56328057659508</v>
      </c>
      <c r="AE31" s="4">
        <f>'2013-14 Back-Up Data'!E31/'2013-14 Back-Up Data'!L31</f>
        <v>0.22865182677622684</v>
      </c>
      <c r="AF31" s="27">
        <f>'2013-14 Back-Up Data'!F31</f>
        <v>18119194</v>
      </c>
      <c r="AG31" s="31">
        <f>'2013-14 Back-Up Data'!F31/'2013-14 Back-Up Data'!B31</f>
        <v>332.29765070515526</v>
      </c>
      <c r="AH31" s="4">
        <f>'2013-14 Back-Up Data'!F31/'2013-14 Back-Up Data'!L31</f>
        <v>0.33684766719546544</v>
      </c>
      <c r="AI31" s="27">
        <f>'2013-14 Back-Up Data'!G31</f>
        <v>3353712</v>
      </c>
      <c r="AJ31" s="31">
        <f>'2013-14 Back-Up Data'!G31/'2013-14 Back-Up Data'!B31</f>
        <v>61.50552937077045</v>
      </c>
      <c r="AK31" s="4">
        <f>'2013-14 Back-Up Data'!G31/'2013-14 Back-Up Data'!L31</f>
        <v>0.06234769955249879</v>
      </c>
      <c r="AP31" s="2" t="str">
        <f>'2013-14 Back-Up Data'!A31</f>
        <v>Putnam</v>
      </c>
      <c r="AQ31" s="27">
        <f>'2013-14 Back-Up Data'!H31</f>
        <v>4585101</v>
      </c>
      <c r="AR31" s="31">
        <f>'2013-14 Back-Up Data'!H31/'2013-14 Back-Up Data'!B31</f>
        <v>84.088634988171</v>
      </c>
      <c r="AS31" s="4">
        <f>'2013-14 Back-Up Data'!H31/'2013-14 Back-Up Data'!L31</f>
        <v>0.08524002644408994</v>
      </c>
      <c r="AT31" s="27">
        <f>'2013-14 Back-Up Data'!I31</f>
        <v>3281925</v>
      </c>
      <c r="AU31" s="31">
        <f>'2013-14 Back-Up Data'!I31/'2013-14 Back-Up Data'!B31</f>
        <v>60.18898894125846</v>
      </c>
      <c r="AV31" s="4">
        <f>'2013-14 Back-Up Data'!I31/'2013-14 Back-Up Data'!L31</f>
        <v>0.061013132270700224</v>
      </c>
      <c r="AW31" s="27">
        <f>'2013-14 Back-Up Data'!J31</f>
        <v>2883648</v>
      </c>
      <c r="AX31" s="31">
        <f>'2013-14 Back-Up Data'!J31/'2013-14 Back-Up Data'!B31</f>
        <v>52.88477268142388</v>
      </c>
      <c r="AY31" s="4">
        <f>'2013-14 Back-Up Data'!J31/'2013-14 Back-Up Data'!L31</f>
        <v>0.05360890235034017</v>
      </c>
    </row>
    <row r="32" spans="3:51" ht="12.75">
      <c r="C32" s="2" t="str">
        <f>'2013-14 Back-Up Data'!A32</f>
        <v>Rensselaer</v>
      </c>
      <c r="D32" s="27">
        <f>'2013-14 Back-Up Data'!K32</f>
        <v>50873798</v>
      </c>
      <c r="E32" s="28">
        <f>'2013-14 Back-Up Data'!K32/'2013-14 Back-Up Data'!B32</f>
        <v>1504.7857903454803</v>
      </c>
      <c r="F32" s="4">
        <f>'2013-14 Back-Up Data'!K32/'2013-14 Back-Up Data'!L32</f>
        <v>0.8963054008666681</v>
      </c>
      <c r="G32" s="27">
        <f>'2013-14 Back-Up Data'!C32+'2013-14 Back-Up Data'!D32</f>
        <v>5885648</v>
      </c>
      <c r="H32" s="28">
        <f>('2013-14 Back-Up Data'!E32+'2013-14 Back-Up Data'!D32)/'2013-14 Back-Up Data'!B32</f>
        <v>334.7389966871746</v>
      </c>
      <c r="I32" s="4">
        <f>('2013-14 Back-Up Data'!C32+'2013-14 Back-Up Data'!D32)/'2013-14 Back-Up Data'!L32</f>
        <v>0.10369459913333193</v>
      </c>
      <c r="J32" s="27">
        <f>'2013-14 Back-Up Data'!L32</f>
        <v>56759446</v>
      </c>
      <c r="K32" s="28">
        <f>'2013-14 Back-Up Data'!L32/'2013-14 Back-Up Data'!B32</f>
        <v>1678.8761831519166</v>
      </c>
      <c r="P32" s="2" t="str">
        <f>'2013-14 Back-Up Data'!A32</f>
        <v>Rensselaer</v>
      </c>
      <c r="Q32" s="27">
        <f>'2013-14 Back-Up Data'!C32</f>
        <v>4238898</v>
      </c>
      <c r="R32" s="31">
        <f>'2013-14 Back-Up Data'!C32/'2013-14 Back-Up Data'!B32</f>
        <v>125.38150733554188</v>
      </c>
      <c r="S32" s="4">
        <f>'2013-14 Back-Up Data'!C32/'2013-14 Back-Up Data'!L32</f>
        <v>0.07468180714801198</v>
      </c>
      <c r="T32" s="27">
        <f>'2013-14 Back-Up Data'!D32</f>
        <v>1646750</v>
      </c>
      <c r="U32" s="31">
        <f>'2013-14 Back-Up Data'!D32/'2013-14 Back-Up Data'!B32</f>
        <v>48.708885470894465</v>
      </c>
      <c r="V32" s="4">
        <f>'2013-14 Back-Up Data'!D32/'2013-14 Back-Up Data'!L32</f>
        <v>0.02901279198531994</v>
      </c>
      <c r="W32" s="31">
        <f>SUM('2013-14 Back-Up Data'!C32+'2013-14 Back-Up Data'!D32)/'2013-14 Back-Up Data'!B32</f>
        <v>174.09039280643634</v>
      </c>
      <c r="AB32" s="2" t="str">
        <f>'2013-14 Back-Up Data'!A32</f>
        <v>Rensselaer</v>
      </c>
      <c r="AC32" s="27">
        <f>'2013-14 Back-Up Data'!E32</f>
        <v>9670106</v>
      </c>
      <c r="AD32" s="31">
        <f>'2013-14 Back-Up Data'!E32/'2013-14 Back-Up Data'!B32</f>
        <v>286.03011121628015</v>
      </c>
      <c r="AE32" s="4">
        <f>'2013-14 Back-Up Data'!E32/'2013-14 Back-Up Data'!L32</f>
        <v>0.1703699856408042</v>
      </c>
      <c r="AF32" s="27">
        <f>'2013-14 Back-Up Data'!F32</f>
        <v>21033302</v>
      </c>
      <c r="AG32" s="31">
        <f>'2013-14 Back-Up Data'!F32/'2013-14 Back-Up Data'!B32</f>
        <v>622.1397893989588</v>
      </c>
      <c r="AH32" s="4">
        <f>'2013-14 Back-Up Data'!F32/'2013-14 Back-Up Data'!L32</f>
        <v>0.370569191249682</v>
      </c>
      <c r="AI32" s="27">
        <f>'2013-14 Back-Up Data'!G32</f>
        <v>1758899</v>
      </c>
      <c r="AJ32" s="31">
        <f>'2013-14 Back-Up Data'!G32/'2013-14 Back-Up Data'!B32</f>
        <v>52.02611807856129</v>
      </c>
      <c r="AK32" s="4">
        <f>'2013-14 Back-Up Data'!G32/'2013-14 Back-Up Data'!L32</f>
        <v>0.030988656936503572</v>
      </c>
      <c r="AP32" s="2" t="str">
        <f>'2013-14 Back-Up Data'!A32</f>
        <v>Rensselaer</v>
      </c>
      <c r="AQ32" s="27">
        <f>'2013-14 Back-Up Data'!H32</f>
        <v>2752028</v>
      </c>
      <c r="AR32" s="31">
        <f>'2013-14 Back-Up Data'!H32/'2013-14 Back-Up Data'!B32</f>
        <v>81.40168007572173</v>
      </c>
      <c r="AS32" s="4">
        <f>'2013-14 Back-Up Data'!H32/'2013-14 Back-Up Data'!L32</f>
        <v>0.04848581503068229</v>
      </c>
      <c r="AT32" s="27">
        <f>'2013-14 Back-Up Data'!I32</f>
        <v>5163381</v>
      </c>
      <c r="AU32" s="31">
        <f>'2013-14 Back-Up Data'!I32/'2013-14 Back-Up Data'!B32</f>
        <v>152.72660317084714</v>
      </c>
      <c r="AV32" s="4">
        <f>'2013-14 Back-Up Data'!I32/'2013-14 Back-Up Data'!L32</f>
        <v>0.09096954540394915</v>
      </c>
      <c r="AW32" s="27">
        <f>'2013-14 Back-Up Data'!J32</f>
        <v>10496082</v>
      </c>
      <c r="AX32" s="31">
        <f>'2013-14 Back-Up Data'!J32/'2013-14 Back-Up Data'!B32</f>
        <v>310.4614884051112</v>
      </c>
      <c r="AY32" s="4">
        <f>'2013-14 Back-Up Data'!J32/'2013-14 Back-Up Data'!L32</f>
        <v>0.18492220660504685</v>
      </c>
    </row>
    <row r="33" spans="3:51" ht="12.75">
      <c r="C33" s="2" t="str">
        <f>'2013-14 Back-Up Data'!A33</f>
        <v>Rockland</v>
      </c>
      <c r="D33" s="27">
        <f>'2013-14 Back-Up Data'!K33</f>
        <v>83479201</v>
      </c>
      <c r="E33" s="28">
        <f>'2013-14 Back-Up Data'!K33/'2013-14 Back-Up Data'!B33</f>
        <v>2071.187222428979</v>
      </c>
      <c r="F33" s="4">
        <f>'2013-14 Back-Up Data'!K33/'2013-14 Back-Up Data'!L33</f>
        <v>0.9295162607665914</v>
      </c>
      <c r="G33" s="27">
        <f>'2013-14 Back-Up Data'!C33+'2013-14 Back-Up Data'!D33</f>
        <v>6330095</v>
      </c>
      <c r="H33" s="28">
        <f>('2013-14 Back-Up Data'!E33+'2013-14 Back-Up Data'!D33)/'2013-14 Back-Up Data'!B33</f>
        <v>174.0516313112517</v>
      </c>
      <c r="I33" s="4">
        <f>('2013-14 Back-Up Data'!C33+'2013-14 Back-Up Data'!D33)/'2013-14 Back-Up Data'!L33</f>
        <v>0.07048373923340853</v>
      </c>
      <c r="J33" s="27">
        <f>'2013-14 Back-Up Data'!L33</f>
        <v>89809296</v>
      </c>
      <c r="K33" s="28">
        <f>'2013-14 Back-Up Data'!L33/'2013-14 Back-Up Data'!B33</f>
        <v>2228.24205433569</v>
      </c>
      <c r="P33" s="2" t="str">
        <f>'2013-14 Back-Up Data'!A33</f>
        <v>Rockland</v>
      </c>
      <c r="Q33" s="27">
        <f>'2013-14 Back-Up Data'!C33</f>
        <v>4988436</v>
      </c>
      <c r="R33" s="31">
        <f>'2013-14 Back-Up Data'!C33/'2013-14 Back-Up Data'!B33</f>
        <v>123.76717528842575</v>
      </c>
      <c r="S33" s="4">
        <f>'2013-14 Back-Up Data'!C33/'2013-14 Back-Up Data'!L33</f>
        <v>0.05554476231502806</v>
      </c>
      <c r="T33" s="27">
        <f>'2013-14 Back-Up Data'!D33</f>
        <v>1341659</v>
      </c>
      <c r="U33" s="31">
        <f>'2013-14 Back-Up Data'!D33/'2013-14 Back-Up Data'!B33</f>
        <v>33.287656618285574</v>
      </c>
      <c r="V33" s="4">
        <f>'2013-14 Back-Up Data'!D33/'2013-14 Back-Up Data'!L33</f>
        <v>0.014938976918380475</v>
      </c>
      <c r="W33" s="31">
        <f>SUM('2013-14 Back-Up Data'!C33+'2013-14 Back-Up Data'!D33)/'2013-14 Back-Up Data'!B33</f>
        <v>157.0548319067113</v>
      </c>
      <c r="AB33" s="2" t="str">
        <f>'2013-14 Back-Up Data'!A33</f>
        <v>Rockland</v>
      </c>
      <c r="AC33" s="27">
        <f>'2013-14 Back-Up Data'!E33</f>
        <v>5673492</v>
      </c>
      <c r="AD33" s="31">
        <f>'2013-14 Back-Up Data'!E33/'2013-14 Back-Up Data'!B33</f>
        <v>140.76397469296614</v>
      </c>
      <c r="AE33" s="4">
        <f>'2013-14 Back-Up Data'!E33/'2013-14 Back-Up Data'!L33</f>
        <v>0.06317265865217338</v>
      </c>
      <c r="AF33" s="27">
        <f>'2013-14 Back-Up Data'!F33</f>
        <v>54745900</v>
      </c>
      <c r="AG33" s="31">
        <f>'2013-14 Back-Up Data'!F33/'2013-14 Back-Up Data'!B33</f>
        <v>1358.2905346731175</v>
      </c>
      <c r="AH33" s="4">
        <f>'2013-14 Back-Up Data'!F33/'2013-14 Back-Up Data'!L33</f>
        <v>0.6095794359639564</v>
      </c>
      <c r="AI33" s="27">
        <f>'2013-14 Back-Up Data'!G33</f>
        <v>2360902</v>
      </c>
      <c r="AJ33" s="31">
        <f>'2013-14 Back-Up Data'!G33/'2013-14 Back-Up Data'!B33</f>
        <v>58.57590869619154</v>
      </c>
      <c r="AK33" s="4">
        <f>'2013-14 Back-Up Data'!G33/'2013-14 Back-Up Data'!L33</f>
        <v>0.026287946851292543</v>
      </c>
      <c r="AP33" s="2" t="str">
        <f>'2013-14 Back-Up Data'!A33</f>
        <v>Rockland</v>
      </c>
      <c r="AQ33" s="27">
        <f>'2013-14 Back-Up Data'!H33</f>
        <v>2123329</v>
      </c>
      <c r="AR33" s="31">
        <f>'2013-14 Back-Up Data'!H33/'2013-14 Back-Up Data'!B33</f>
        <v>52.68152834635901</v>
      </c>
      <c r="AS33" s="4">
        <f>'2013-14 Back-Up Data'!H33/'2013-14 Back-Up Data'!L33</f>
        <v>0.023642641625873564</v>
      </c>
      <c r="AT33" s="27">
        <f>'2013-14 Back-Up Data'!I33</f>
        <v>10043813</v>
      </c>
      <c r="AU33" s="31">
        <f>'2013-14 Back-Up Data'!I33/'2013-14 Back-Up Data'!B33</f>
        <v>249.19521151221932</v>
      </c>
      <c r="AV33" s="4">
        <f>'2013-14 Back-Up Data'!I33/'2013-14 Back-Up Data'!L33</f>
        <v>0.1118348929046276</v>
      </c>
      <c r="AW33" s="27">
        <f>'2013-14 Back-Up Data'!J33</f>
        <v>8531765</v>
      </c>
      <c r="AX33" s="31">
        <f>'2013-14 Back-Up Data'!J33/'2013-14 Back-Up Data'!B33</f>
        <v>211.68006450812555</v>
      </c>
      <c r="AY33" s="4">
        <f>'2013-14 Back-Up Data'!J33/'2013-14 Back-Up Data'!L33</f>
        <v>0.09499868476866805</v>
      </c>
    </row>
    <row r="34" spans="3:51" ht="12.75">
      <c r="C34" s="2" t="str">
        <f>'2013-14 Back-Up Data'!A34</f>
        <v>Schuyler</v>
      </c>
      <c r="D34" s="27">
        <f>'2013-14 Back-Up Data'!K34</f>
        <v>77012293</v>
      </c>
      <c r="E34" s="28">
        <f>'2013-14 Back-Up Data'!K34/'2013-14 Back-Up Data'!B34</f>
        <v>2488.6025011310026</v>
      </c>
      <c r="F34" s="4">
        <f>'2013-14 Back-Up Data'!K34/'2013-14 Back-Up Data'!L34</f>
        <v>0.8924661734565587</v>
      </c>
      <c r="G34" s="27">
        <f>'2013-14 Back-Up Data'!C34+'2013-14 Back-Up Data'!D34</f>
        <v>9279261</v>
      </c>
      <c r="H34" s="28">
        <f>('2013-14 Back-Up Data'!C34+'2013-14 Back-Up Data'!D34)/'2013-14 Back-Up Data'!B34</f>
        <v>299.8533251470303</v>
      </c>
      <c r="I34" s="4">
        <f>('2013-14 Back-Up Data'!C34+'2013-14 Back-Up Data'!D34)/'2013-14 Back-Up Data'!L34</f>
        <v>0.10753382654344132</v>
      </c>
      <c r="J34" s="27">
        <f>'2013-14 Back-Up Data'!L34</f>
        <v>86291554</v>
      </c>
      <c r="K34" s="28">
        <f>'2013-14 Back-Up Data'!L34/'2013-14 Back-Up Data'!B34</f>
        <v>2788.455826278033</v>
      </c>
      <c r="P34" s="2" t="str">
        <f>'2013-14 Back-Up Data'!A34</f>
        <v>Schuyler</v>
      </c>
      <c r="Q34" s="27">
        <f>'2013-14 Back-Up Data'!C34</f>
        <v>7068863</v>
      </c>
      <c r="R34" s="31">
        <f>'2013-14 Back-Up Data'!C34/'2013-14 Back-Up Data'!B34</f>
        <v>228.42574161442514</v>
      </c>
      <c r="S34" s="4">
        <f>'2013-14 Back-Up Data'!C34/'2013-14 Back-Up Data'!L34</f>
        <v>0.08191836480311851</v>
      </c>
      <c r="T34" s="27">
        <f>'2013-14 Back-Up Data'!D34</f>
        <v>2210398</v>
      </c>
      <c r="U34" s="31">
        <f>'2013-14 Back-Up Data'!D34/'2013-14 Back-Up Data'!B34</f>
        <v>71.42758353260518</v>
      </c>
      <c r="V34" s="4">
        <f>'2013-14 Back-Up Data'!D34/'2013-14 Back-Up Data'!L34</f>
        <v>0.025615461740322813</v>
      </c>
      <c r="W34" s="31">
        <f>SUM('2013-14 Back-Up Data'!C34+'2013-14 Back-Up Data'!D34)/'2013-14 Back-Up Data'!B34</f>
        <v>299.8533251470303</v>
      </c>
      <c r="AB34" s="2" t="str">
        <f>'2013-14 Back-Up Data'!A34</f>
        <v>Schuyler</v>
      </c>
      <c r="AC34" s="27">
        <f>'2013-14 Back-Up Data'!E34</f>
        <v>15227782</v>
      </c>
      <c r="AD34" s="31">
        <f>'2013-14 Back-Up Data'!E34/'2013-14 Back-Up Data'!B34</f>
        <v>492.07593873198476</v>
      </c>
      <c r="AE34" s="4">
        <f>'2013-14 Back-Up Data'!E34/'2013-14 Back-Up Data'!L34</f>
        <v>0.1764689740087425</v>
      </c>
      <c r="AF34" s="27">
        <f>'2013-14 Back-Up Data'!F34</f>
        <v>19703419</v>
      </c>
      <c r="AG34" s="31">
        <f>'2013-14 Back-Up Data'!F34/'2013-14 Back-Up Data'!B34</f>
        <v>636.7032572868868</v>
      </c>
      <c r="AH34" s="4">
        <f>'2013-14 Back-Up Data'!F34/'2013-14 Back-Up Data'!L34</f>
        <v>0.22833542898068565</v>
      </c>
      <c r="AI34" s="27">
        <f>'2013-14 Back-Up Data'!G34</f>
        <v>3994047</v>
      </c>
      <c r="AJ34" s="31">
        <f>'2013-14 Back-Up Data'!G34/'2013-14 Back-Up Data'!B34</f>
        <v>129.0650487946746</v>
      </c>
      <c r="AK34" s="4">
        <f>'2013-14 Back-Up Data'!G34/'2013-14 Back-Up Data'!L34</f>
        <v>0.04628549162528699</v>
      </c>
      <c r="AP34" s="2" t="str">
        <f>'2013-14 Back-Up Data'!A34</f>
        <v>Schuyler</v>
      </c>
      <c r="AQ34" s="27">
        <f>'2013-14 Back-Up Data'!H34</f>
        <v>4163347</v>
      </c>
      <c r="AR34" s="31">
        <f>'2013-14 Back-Up Data'!H34/'2013-14 Back-Up Data'!B34</f>
        <v>134.53586893298004</v>
      </c>
      <c r="AS34" s="4">
        <f>'2013-14 Back-Up Data'!H34/'2013-14 Back-Up Data'!L34</f>
        <v>0.04824744493534095</v>
      </c>
      <c r="AT34" s="27">
        <f>'2013-14 Back-Up Data'!I34</f>
        <v>11237483</v>
      </c>
      <c r="AU34" s="31">
        <f>'2013-14 Back-Up Data'!I34/'2013-14 Back-Up Data'!B34</f>
        <v>363.1320041362373</v>
      </c>
      <c r="AV34" s="4">
        <f>'2013-14 Back-Up Data'!I34/'2013-14 Back-Up Data'!L34</f>
        <v>0.13022691652997698</v>
      </c>
      <c r="AW34" s="27">
        <f>'2013-14 Back-Up Data'!J34</f>
        <v>22686215</v>
      </c>
      <c r="AX34" s="31">
        <f>'2013-14 Back-Up Data'!J34/'2013-14 Back-Up Data'!B34</f>
        <v>733.0903832482388</v>
      </c>
      <c r="AY34" s="4">
        <f>'2013-14 Back-Up Data'!J34/'2013-14 Back-Up Data'!L34</f>
        <v>0.26290191737652563</v>
      </c>
    </row>
    <row r="35" spans="3:51" ht="12.75">
      <c r="C35" s="2" t="str">
        <f>'2013-14 Back-Up Data'!A35</f>
        <v>St. Lawrence</v>
      </c>
      <c r="D35" s="27">
        <f>'2013-14 Back-Up Data'!K35</f>
        <v>43766323</v>
      </c>
      <c r="E35" s="28">
        <f>'2013-14 Back-Up Data'!K35/'2013-14 Back-Up Data'!B35</f>
        <v>2857.928888598668</v>
      </c>
      <c r="F35" s="4">
        <f>'2013-14 Back-Up Data'!K35/'2013-14 Back-Up Data'!L35</f>
        <v>0.8723001367974006</v>
      </c>
      <c r="G35" s="27">
        <f>'2013-14 Back-Up Data'!C35+'2013-14 Back-Up Data'!D35</f>
        <v>6407145</v>
      </c>
      <c r="H35" s="28">
        <f>('2013-14 Back-Up Data'!C35+'2013-14 Back-Up Data'!D35)/'2013-14 Back-Up Data'!B35</f>
        <v>418.3848112837926</v>
      </c>
      <c r="I35" s="4">
        <f>('2013-14 Back-Up Data'!C35+'2013-14 Back-Up Data'!D35)/'2013-14 Back-Up Data'!L35</f>
        <v>0.12769986320259943</v>
      </c>
      <c r="J35" s="27">
        <f>'2013-14 Back-Up Data'!L35</f>
        <v>50173468</v>
      </c>
      <c r="K35" s="28">
        <f>'2013-14 Back-Up Data'!L35/'2013-14 Back-Up Data'!B35</f>
        <v>3276.3136998824607</v>
      </c>
      <c r="P35" s="2" t="str">
        <f>'2013-14 Back-Up Data'!A35</f>
        <v>St. Lawrence</v>
      </c>
      <c r="Q35" s="27">
        <f>'2013-14 Back-Up Data'!C35</f>
        <v>4543452</v>
      </c>
      <c r="R35" s="31">
        <f>'2013-14 Back-Up Data'!C35/'2013-14 Back-Up Data'!B35</f>
        <v>296.68616951808804</v>
      </c>
      <c r="S35" s="4">
        <f>'2013-14 Back-Up Data'!C35/'2013-14 Back-Up Data'!L35</f>
        <v>0.09055487254737903</v>
      </c>
      <c r="T35" s="27">
        <f>'2013-14 Back-Up Data'!D35</f>
        <v>1863693</v>
      </c>
      <c r="U35" s="31">
        <f>'2013-14 Back-Up Data'!D35/'2013-14 Back-Up Data'!B35</f>
        <v>121.69864176570458</v>
      </c>
      <c r="V35" s="4">
        <f>'2013-14 Back-Up Data'!D35/'2013-14 Back-Up Data'!L35</f>
        <v>0.0371449906552204</v>
      </c>
      <c r="W35" s="31">
        <f>SUM('2013-14 Back-Up Data'!C35+'2013-14 Back-Up Data'!D35)/'2013-14 Back-Up Data'!B35</f>
        <v>418.3848112837926</v>
      </c>
      <c r="AB35" s="2" t="str">
        <f>'2013-14 Back-Up Data'!A35</f>
        <v>St. Lawrence</v>
      </c>
      <c r="AC35" s="27">
        <f>'2013-14 Back-Up Data'!E35</f>
        <v>8592173</v>
      </c>
      <c r="AD35" s="31">
        <f>'2013-14 Back-Up Data'!E35/'2013-14 Back-Up Data'!B35</f>
        <v>561.0665404205303</v>
      </c>
      <c r="AE35" s="4">
        <f>'2013-14 Back-Up Data'!E35/'2013-14 Back-Up Data'!L35</f>
        <v>0.1712493344091742</v>
      </c>
      <c r="AF35" s="27">
        <f>'2013-14 Back-Up Data'!F35</f>
        <v>15459782</v>
      </c>
      <c r="AG35" s="31">
        <f>'2013-14 Back-Up Data'!F35/'2013-14 Back-Up Data'!B35</f>
        <v>1009.5195246179966</v>
      </c>
      <c r="AH35" s="4">
        <f>'2013-14 Back-Up Data'!F35/'2013-14 Back-Up Data'!L35</f>
        <v>0.30812663776799326</v>
      </c>
      <c r="AI35" s="27">
        <f>'2013-14 Back-Up Data'!G35</f>
        <v>3807124</v>
      </c>
      <c r="AJ35" s="31">
        <f>'2013-14 Back-Up Data'!G35/'2013-14 Back-Up Data'!B35</f>
        <v>248.60415306255715</v>
      </c>
      <c r="AK35" s="4">
        <f>'2013-14 Back-Up Data'!G35/'2013-14 Back-Up Data'!L35</f>
        <v>0.07587922764278522</v>
      </c>
      <c r="AP35" s="2" t="str">
        <f>'2013-14 Back-Up Data'!A35</f>
        <v>St. Lawrence</v>
      </c>
      <c r="AQ35" s="27">
        <f>'2013-14 Back-Up Data'!H35</f>
        <v>2522031</v>
      </c>
      <c r="AR35" s="31">
        <f>'2013-14 Back-Up Data'!H35/'2013-14 Back-Up Data'!B35</f>
        <v>164.68793261068305</v>
      </c>
      <c r="AS35" s="4">
        <f>'2013-14 Back-Up Data'!H35/'2013-14 Back-Up Data'!L35</f>
        <v>0.050266228357983944</v>
      </c>
      <c r="AT35" s="27">
        <f>'2013-14 Back-Up Data'!I35</f>
        <v>6256404</v>
      </c>
      <c r="AU35" s="31">
        <f>'2013-14 Back-Up Data'!I35/'2013-14 Back-Up Data'!B35</f>
        <v>408.54146532584565</v>
      </c>
      <c r="AV35" s="4">
        <f>'2013-14 Back-Up Data'!I35/'2013-14 Back-Up Data'!L35</f>
        <v>0.12469546653621791</v>
      </c>
      <c r="AW35" s="27">
        <f>'2013-14 Back-Up Data'!J35</f>
        <v>7128809</v>
      </c>
      <c r="AX35" s="31">
        <f>'2013-14 Back-Up Data'!J35/'2013-14 Back-Up Data'!B35</f>
        <v>465.50927256105524</v>
      </c>
      <c r="AY35" s="4">
        <f>'2013-14 Back-Up Data'!J35/'2013-14 Back-Up Data'!L35</f>
        <v>0.14208324208324608</v>
      </c>
    </row>
    <row r="36" spans="3:51" ht="12.75">
      <c r="C36" s="2" t="str">
        <f>'2013-14 Back-Up Data'!A36</f>
        <v>Suffolk 1</v>
      </c>
      <c r="D36" s="27">
        <f>'2013-14 Back-Up Data'!K36</f>
        <v>258474857</v>
      </c>
      <c r="E36" s="28">
        <f>'2013-14 Back-Up Data'!K36/'2013-14 Back-Up Data'!B36</f>
        <v>1604.6963321206401</v>
      </c>
      <c r="F36" s="4">
        <f>'2013-14 Back-Up Data'!K36/'2013-14 Back-Up Data'!L36</f>
        <v>0.874912172782751</v>
      </c>
      <c r="G36" s="27">
        <f>'2013-14 Back-Up Data'!C36+'2013-14 Back-Up Data'!D36</f>
        <v>36954633</v>
      </c>
      <c r="H36" s="28">
        <f>('2013-14 Back-Up Data'!C36+'2013-14 Back-Up Data'!D36)/'2013-14 Back-Up Data'!B36</f>
        <v>229.4264313296994</v>
      </c>
      <c r="I36" s="4">
        <f>('2013-14 Back-Up Data'!C36+'2013-14 Back-Up Data'!D36)/'2013-14 Back-Up Data'!L36</f>
        <v>0.12508782721724904</v>
      </c>
      <c r="J36" s="27">
        <f>'2013-14 Back-Up Data'!L36</f>
        <v>295429490</v>
      </c>
      <c r="K36" s="28">
        <f>'2013-14 Back-Up Data'!L36/'2013-14 Back-Up Data'!B36</f>
        <v>1834.1227634503396</v>
      </c>
      <c r="P36" s="2" t="str">
        <f>'2013-14 Back-Up Data'!A36</f>
        <v>Suffolk 1</v>
      </c>
      <c r="Q36" s="27">
        <f>'2013-14 Back-Up Data'!C36</f>
        <v>29964108</v>
      </c>
      <c r="R36" s="31">
        <f>'2013-14 Back-Up Data'!C36/'2013-14 Back-Up Data'!B36</f>
        <v>186.02696897078363</v>
      </c>
      <c r="S36" s="4">
        <f>'2013-14 Back-Up Data'!C36/'2013-14 Back-Up Data'!L36</f>
        <v>0.1014255821245198</v>
      </c>
      <c r="T36" s="27">
        <f>'2013-14 Back-Up Data'!D36</f>
        <v>6990525</v>
      </c>
      <c r="U36" s="31">
        <f>'2013-14 Back-Up Data'!D36/'2013-14 Back-Up Data'!B36</f>
        <v>43.39946235891578</v>
      </c>
      <c r="V36" s="4">
        <f>'2013-14 Back-Up Data'!D36/'2013-14 Back-Up Data'!L36</f>
        <v>0.023662245092729232</v>
      </c>
      <c r="W36" s="31">
        <f>SUM('2013-14 Back-Up Data'!C36+'2013-14 Back-Up Data'!D36)/'2013-14 Back-Up Data'!B36</f>
        <v>229.4264313296994</v>
      </c>
      <c r="AB36" s="2" t="str">
        <f>'2013-14 Back-Up Data'!A36</f>
        <v>Suffolk 1</v>
      </c>
      <c r="AC36" s="27">
        <f>'2013-14 Back-Up Data'!E36</f>
        <v>30983388</v>
      </c>
      <c r="AD36" s="31">
        <f>'2013-14 Back-Up Data'!E36/'2013-14 Back-Up Data'!B36</f>
        <v>192.3549921154252</v>
      </c>
      <c r="AE36" s="4">
        <f>'2013-14 Back-Up Data'!E36/'2013-14 Back-Up Data'!L36</f>
        <v>0.10487574547821885</v>
      </c>
      <c r="AF36" s="27">
        <f>'2013-14 Back-Up Data'!F36</f>
        <v>127951196</v>
      </c>
      <c r="AG36" s="31">
        <f>'2013-14 Back-Up Data'!F36/'2013-14 Back-Up Data'!B36</f>
        <v>794.3628146069508</v>
      </c>
      <c r="AH36" s="4">
        <f>'2013-14 Back-Up Data'!F36/'2013-14 Back-Up Data'!L36</f>
        <v>0.43310231487046197</v>
      </c>
      <c r="AI36" s="27">
        <f>'2013-14 Back-Up Data'!G36</f>
        <v>6802371</v>
      </c>
      <c r="AJ36" s="31">
        <f>'2013-14 Back-Up Data'!G36/'2013-14 Back-Up Data'!B36</f>
        <v>42.23134087438072</v>
      </c>
      <c r="AK36" s="4">
        <f>'2013-14 Back-Up Data'!G36/'2013-14 Back-Up Data'!L36</f>
        <v>0.023025362160019977</v>
      </c>
      <c r="AP36" s="2" t="str">
        <f>'2013-14 Back-Up Data'!A36</f>
        <v>Suffolk 1</v>
      </c>
      <c r="AQ36" s="27">
        <f>'2013-14 Back-Up Data'!H36</f>
        <v>10594704</v>
      </c>
      <c r="AR36" s="31">
        <f>'2013-14 Back-Up Data'!H36/'2013-14 Back-Up Data'!B36</f>
        <v>65.77538274333536</v>
      </c>
      <c r="AS36" s="4">
        <f>'2013-14 Back-Up Data'!H36/'2013-14 Back-Up Data'!L36</f>
        <v>0.03586203936512905</v>
      </c>
      <c r="AT36" s="27">
        <f>'2013-14 Back-Up Data'!I36</f>
        <v>20067621</v>
      </c>
      <c r="AU36" s="31">
        <f>'2013-14 Back-Up Data'!I36/'2013-14 Back-Up Data'!B36</f>
        <v>124.58634540645915</v>
      </c>
      <c r="AV36" s="4">
        <f>'2013-14 Back-Up Data'!I36/'2013-14 Back-Up Data'!L36</f>
        <v>0.06792693918267943</v>
      </c>
      <c r="AW36" s="27">
        <f>'2013-14 Back-Up Data'!J36</f>
        <v>62075577</v>
      </c>
      <c r="AX36" s="31">
        <f>'2013-14 Back-Up Data'!J36/'2013-14 Back-Up Data'!B36</f>
        <v>385.3854563740889</v>
      </c>
      <c r="AY36" s="4">
        <f>'2013-14 Back-Up Data'!J36/'2013-14 Back-Up Data'!L36</f>
        <v>0.2101197717262417</v>
      </c>
    </row>
    <row r="37" spans="3:51" ht="12.75">
      <c r="C37" s="2" t="str">
        <f>'2013-14 Back-Up Data'!A37</f>
        <v>Suffolk 2</v>
      </c>
      <c r="D37" s="27">
        <f>'2013-14 Back-Up Data'!K37</f>
        <v>145501067</v>
      </c>
      <c r="E37" s="28">
        <f>'2013-14 Back-Up Data'!K37/'2013-14 Back-Up Data'!B37</f>
        <v>1688.6526507590177</v>
      </c>
      <c r="F37" s="4">
        <f>'2013-14 Back-Up Data'!K37/'2013-14 Back-Up Data'!L37</f>
        <v>0.9079034034053866</v>
      </c>
      <c r="G37" s="27">
        <f>'2013-14 Back-Up Data'!C37+'2013-14 Back-Up Data'!D37</f>
        <v>14759448</v>
      </c>
      <c r="H37" s="28">
        <f>('2013-14 Back-Up Data'!C37+'2013-14 Back-Up Data'!D37)/'2013-14 Back-Up Data'!B37</f>
        <v>171.294833108955</v>
      </c>
      <c r="I37" s="4">
        <f>('2013-14 Back-Up Data'!C37+'2013-14 Back-Up Data'!D37)/'2013-14 Back-Up Data'!L37</f>
        <v>0.09209659659461346</v>
      </c>
      <c r="J37" s="27">
        <f>'2013-14 Back-Up Data'!L37</f>
        <v>160260515</v>
      </c>
      <c r="K37" s="28">
        <f>'2013-14 Back-Up Data'!L37/'2013-14 Back-Up Data'!B37</f>
        <v>1859.9474838679728</v>
      </c>
      <c r="P37" s="2" t="str">
        <f>'2013-14 Back-Up Data'!A37</f>
        <v>Suffolk 2</v>
      </c>
      <c r="Q37" s="27">
        <f>'2013-14 Back-Up Data'!C37</f>
        <v>11558448</v>
      </c>
      <c r="R37" s="31">
        <f>'2013-14 Back-Up Data'!C37/'2013-14 Back-Up Data'!B37</f>
        <v>134.14474722621978</v>
      </c>
      <c r="S37" s="4">
        <f>'2013-14 Back-Up Data'!C37/'2013-14 Back-Up Data'!L37</f>
        <v>0.07212286819370324</v>
      </c>
      <c r="T37" s="27">
        <f>'2013-14 Back-Up Data'!D37</f>
        <v>3201000</v>
      </c>
      <c r="U37" s="31">
        <f>'2013-14 Back-Up Data'!D37/'2013-14 Back-Up Data'!B37</f>
        <v>37.15008588273525</v>
      </c>
      <c r="V37" s="4">
        <f>'2013-14 Back-Up Data'!D37/'2013-14 Back-Up Data'!L37</f>
        <v>0.01997372840091023</v>
      </c>
      <c r="W37" s="31">
        <f>SUM('2013-14 Back-Up Data'!C37+'2013-14 Back-Up Data'!D37)/'2013-14 Back-Up Data'!B37</f>
        <v>171.294833108955</v>
      </c>
      <c r="AB37" s="2" t="str">
        <f>'2013-14 Back-Up Data'!A37</f>
        <v>Suffolk 2</v>
      </c>
      <c r="AC37" s="27">
        <f>'2013-14 Back-Up Data'!E37</f>
        <v>29661705</v>
      </c>
      <c r="AD37" s="31">
        <f>'2013-14 Back-Up Data'!E37/'2013-14 Back-Up Data'!B37</f>
        <v>344.2470753446915</v>
      </c>
      <c r="AE37" s="4">
        <f>'2013-14 Back-Up Data'!E37/'2013-14 Back-Up Data'!L37</f>
        <v>0.1850842985248113</v>
      </c>
      <c r="AF37" s="27">
        <f>'2013-14 Back-Up Data'!F37</f>
        <v>83686585</v>
      </c>
      <c r="AG37" s="31">
        <f>'2013-14 Back-Up Data'!F37/'2013-14 Back-Up Data'!B37</f>
        <v>971.2476788449933</v>
      </c>
      <c r="AH37" s="4">
        <f>'2013-14 Back-Up Data'!F37/'2013-14 Back-Up Data'!L37</f>
        <v>0.5221909152107742</v>
      </c>
      <c r="AI37" s="27">
        <f>'2013-14 Back-Up Data'!G37</f>
        <v>701583</v>
      </c>
      <c r="AJ37" s="31">
        <f>'2013-14 Back-Up Data'!G37/'2013-14 Back-Up Data'!B37</f>
        <v>8.142414465438002</v>
      </c>
      <c r="AK37" s="4">
        <f>'2013-14 Back-Up Data'!G37/'2013-14 Back-Up Data'!L37</f>
        <v>0.00437776578965817</v>
      </c>
      <c r="AP37" s="2" t="str">
        <f>'2013-14 Back-Up Data'!A37</f>
        <v>Suffolk 2</v>
      </c>
      <c r="AQ37" s="27">
        <f>'2013-14 Back-Up Data'!H37</f>
        <v>7333017</v>
      </c>
      <c r="AR37" s="31">
        <f>'2013-14 Back-Up Data'!H37/'2013-14 Back-Up Data'!B37</f>
        <v>85.1053456199805</v>
      </c>
      <c r="AS37" s="4">
        <f>'2013-14 Back-Up Data'!H37/'2013-14 Back-Up Data'!L37</f>
        <v>0.04575685408224228</v>
      </c>
      <c r="AT37" s="27">
        <f>'2013-14 Back-Up Data'!I37</f>
        <v>17180027</v>
      </c>
      <c r="AU37" s="31">
        <f>'2013-14 Back-Up Data'!I37/'2013-14 Back-Up Data'!B37</f>
        <v>199.38752843414883</v>
      </c>
      <c r="AV37" s="4">
        <f>'2013-14 Back-Up Data'!I37/'2013-14 Back-Up Data'!L37</f>
        <v>0.10720062268613077</v>
      </c>
      <c r="AW37" s="27">
        <f>'2013-14 Back-Up Data'!J37</f>
        <v>6938150</v>
      </c>
      <c r="AX37" s="31">
        <f>'2013-14 Back-Up Data'!J37/'2013-14 Back-Up Data'!B37</f>
        <v>80.52260804976557</v>
      </c>
      <c r="AY37" s="4">
        <f>'2013-14 Back-Up Data'!J37/'2013-14 Back-Up Data'!L37</f>
        <v>0.043292947111769856</v>
      </c>
    </row>
    <row r="38" spans="3:51" ht="12.75">
      <c r="C38" s="2" t="str">
        <f>'2013-14 Back-Up Data'!A38</f>
        <v>Sullivan</v>
      </c>
      <c r="D38" s="27">
        <f>'2013-14 Back-Up Data'!K38</f>
        <v>26328010</v>
      </c>
      <c r="E38" s="28">
        <f>'2013-14 Back-Up Data'!K38/'2013-14 Back-Up Data'!B38</f>
        <v>2749.9488197200753</v>
      </c>
      <c r="F38" s="4">
        <f>'2013-14 Back-Up Data'!K38/'2013-14 Back-Up Data'!L38</f>
        <v>0.8811335909195617</v>
      </c>
      <c r="G38" s="27">
        <f>'2013-14 Back-Up Data'!C38+'2013-14 Back-Up Data'!D38</f>
        <v>3551693</v>
      </c>
      <c r="H38" s="28">
        <f>('2013-14 Back-Up Data'!C38+'2013-14 Back-Up Data'!D38)/'2013-14 Back-Up Data'!B38</f>
        <v>370.9727386672237</v>
      </c>
      <c r="I38" s="4">
        <f>('2013-14 Back-Up Data'!C38+'2013-14 Back-Up Data'!D38)/'2013-14 Back-Up Data'!L38</f>
        <v>0.11886640908043831</v>
      </c>
      <c r="J38" s="27">
        <f>'2013-14 Back-Up Data'!L38</f>
        <v>29879703</v>
      </c>
      <c r="K38" s="28">
        <f>'2013-14 Back-Up Data'!L38/'2013-14 Back-Up Data'!B38</f>
        <v>3120.921558387299</v>
      </c>
      <c r="P38" s="2" t="str">
        <f>'2013-14 Back-Up Data'!A38</f>
        <v>Sullivan</v>
      </c>
      <c r="Q38" s="27">
        <f>'2013-14 Back-Up Data'!C38</f>
        <v>2465377</v>
      </c>
      <c r="R38" s="31">
        <f>'2013-14 Back-Up Data'!C38/'2013-14 Back-Up Data'!B38</f>
        <v>257.50752036766244</v>
      </c>
      <c r="S38" s="4">
        <f>'2013-14 Back-Up Data'!C38/'2013-14 Back-Up Data'!L38</f>
        <v>0.08251009054541138</v>
      </c>
      <c r="T38" s="27">
        <f>'2013-14 Back-Up Data'!D38</f>
        <v>1086316</v>
      </c>
      <c r="U38" s="31">
        <f>'2013-14 Back-Up Data'!D38/'2013-14 Back-Up Data'!B38</f>
        <v>113.46521829956131</v>
      </c>
      <c r="V38" s="4">
        <f>'2013-14 Back-Up Data'!D38/'2013-14 Back-Up Data'!L38</f>
        <v>0.03635631853502694</v>
      </c>
      <c r="W38" s="31">
        <f>SUM('2013-14 Back-Up Data'!C38+'2013-14 Back-Up Data'!D38)/'2013-14 Back-Up Data'!B38</f>
        <v>370.9727386672237</v>
      </c>
      <c r="AB38" s="2" t="str">
        <f>'2013-14 Back-Up Data'!A38</f>
        <v>Sullivan</v>
      </c>
      <c r="AC38" s="27">
        <f>'2013-14 Back-Up Data'!E38</f>
        <v>5541555</v>
      </c>
      <c r="AD38" s="31">
        <f>'2013-14 Back-Up Data'!E38/'2013-14 Back-Up Data'!B38</f>
        <v>578.8129308543973</v>
      </c>
      <c r="AE38" s="4">
        <f>'2013-14 Back-Up Data'!E38/'2013-14 Back-Up Data'!L38</f>
        <v>0.1854621848148892</v>
      </c>
      <c r="AF38" s="27">
        <f>'2013-14 Back-Up Data'!F38</f>
        <v>13981761</v>
      </c>
      <c r="AG38" s="31">
        <f>'2013-14 Back-Up Data'!F38/'2013-14 Back-Up Data'!B38</f>
        <v>1460.3886567787758</v>
      </c>
      <c r="AH38" s="4">
        <f>'2013-14 Back-Up Data'!F38/'2013-14 Back-Up Data'!L38</f>
        <v>0.4679350728486157</v>
      </c>
      <c r="AI38" s="27">
        <f>'2013-14 Back-Up Data'!G38</f>
        <v>1064776</v>
      </c>
      <c r="AJ38" s="31">
        <f>'2013-14 Back-Up Data'!G38/'2013-14 Back-Up Data'!B38</f>
        <v>111.2153749738876</v>
      </c>
      <c r="AK38" s="4">
        <f>'2013-14 Back-Up Data'!G38/'2013-14 Back-Up Data'!L38</f>
        <v>0.035635427835410544</v>
      </c>
      <c r="AP38" s="2" t="str">
        <f>'2013-14 Back-Up Data'!A38</f>
        <v>Sullivan</v>
      </c>
      <c r="AQ38" s="27">
        <f>'2013-14 Back-Up Data'!H38</f>
        <v>2266372</v>
      </c>
      <c r="AR38" s="31">
        <f>'2013-14 Back-Up Data'!H38/'2013-14 Back-Up Data'!B38</f>
        <v>236.72153749738877</v>
      </c>
      <c r="AS38" s="4">
        <f>'2013-14 Back-Up Data'!H38/'2013-14 Back-Up Data'!L38</f>
        <v>0.07584988378231203</v>
      </c>
      <c r="AT38" s="27">
        <f>'2013-14 Back-Up Data'!I38</f>
        <v>1261339</v>
      </c>
      <c r="AU38" s="31">
        <f>'2013-14 Back-Up Data'!I38/'2013-14 Back-Up Data'!B38</f>
        <v>131.7462920409442</v>
      </c>
      <c r="AV38" s="4">
        <f>'2013-14 Back-Up Data'!I38/'2013-14 Back-Up Data'!L38</f>
        <v>0.04221390687852553</v>
      </c>
      <c r="AW38" s="27">
        <f>'2013-14 Back-Up Data'!J38</f>
        <v>2212207</v>
      </c>
      <c r="AX38" s="31">
        <f>'2013-14 Back-Up Data'!J38/'2013-14 Back-Up Data'!B38</f>
        <v>231.06402757468143</v>
      </c>
      <c r="AY38" s="4">
        <f>'2013-14 Back-Up Data'!J38/'2013-14 Back-Up Data'!L38</f>
        <v>0.07403711475980869</v>
      </c>
    </row>
    <row r="39" spans="3:51" ht="12.75">
      <c r="C39" s="2" t="str">
        <f>'2013-14 Back-Up Data'!A39</f>
        <v>Tompkins</v>
      </c>
      <c r="D39" s="27">
        <f>'2013-14 Back-Up Data'!K39</f>
        <v>31966927</v>
      </c>
      <c r="E39" s="28">
        <f>'2013-14 Back-Up Data'!K39/'2013-14 Back-Up Data'!B39</f>
        <v>2534.4427971140885</v>
      </c>
      <c r="F39" s="4">
        <f>'2013-14 Back-Up Data'!K39/'2013-14 Back-Up Data'!L39</f>
        <v>0.8896411629587717</v>
      </c>
      <c r="G39" s="27">
        <f>'2013-14 Back-Up Data'!C39+'2013-14 Back-Up Data'!D39</f>
        <v>3965456</v>
      </c>
      <c r="H39" s="28">
        <f>('2013-14 Back-Up Data'!C39+'2013-14 Back-Up Data'!D39)/'2013-14 Back-Up Data'!B39</f>
        <v>314.3943550305241</v>
      </c>
      <c r="I39" s="4">
        <f>('2013-14 Back-Up Data'!C39+'2013-14 Back-Up Data'!D39)/'2013-14 Back-Up Data'!L39</f>
        <v>0.11035883704122824</v>
      </c>
      <c r="J39" s="27">
        <f>'2013-14 Back-Up Data'!L39</f>
        <v>35932383</v>
      </c>
      <c r="K39" s="28">
        <f>'2013-14 Back-Up Data'!L39/'2013-14 Back-Up Data'!B39</f>
        <v>2848.837152144613</v>
      </c>
      <c r="P39" s="2" t="str">
        <f>'2013-14 Back-Up Data'!A39</f>
        <v>Tompkins</v>
      </c>
      <c r="Q39" s="27">
        <f>'2013-14 Back-Up Data'!C39</f>
        <v>3341844</v>
      </c>
      <c r="R39" s="31">
        <f>'2013-14 Back-Up Data'!C39/'2013-14 Back-Up Data'!B39</f>
        <v>264.952350749227</v>
      </c>
      <c r="S39" s="4">
        <f>'2013-14 Back-Up Data'!C39/'2013-14 Back-Up Data'!L39</f>
        <v>0.0930036841697919</v>
      </c>
      <c r="T39" s="27">
        <f>'2013-14 Back-Up Data'!D39</f>
        <v>623612</v>
      </c>
      <c r="U39" s="31">
        <f>'2013-14 Back-Up Data'!D39/'2013-14 Back-Up Data'!B39</f>
        <v>49.44200428129707</v>
      </c>
      <c r="V39" s="4">
        <f>'2013-14 Back-Up Data'!D39/'2013-14 Back-Up Data'!L39</f>
        <v>0.01735515287143633</v>
      </c>
      <c r="W39" s="31">
        <f>SUM('2013-14 Back-Up Data'!C39+'2013-14 Back-Up Data'!D39)/'2013-14 Back-Up Data'!B39</f>
        <v>314.3943550305241</v>
      </c>
      <c r="AB39" s="2" t="str">
        <f>'2013-14 Back-Up Data'!A39</f>
        <v>Tompkins</v>
      </c>
      <c r="AC39" s="27">
        <f>'2013-14 Back-Up Data'!E39</f>
        <v>4958185</v>
      </c>
      <c r="AD39" s="31">
        <f>'2013-14 Back-Up Data'!E39/'2013-14 Back-Up Data'!B39</f>
        <v>393.1011654642036</v>
      </c>
      <c r="AE39" s="4">
        <f>'2013-14 Back-Up Data'!E39/'2013-14 Back-Up Data'!L39</f>
        <v>0.13798653431919614</v>
      </c>
      <c r="AF39" s="27">
        <f>'2013-14 Back-Up Data'!F39</f>
        <v>9510345</v>
      </c>
      <c r="AG39" s="31">
        <f>'2013-14 Back-Up Data'!F39/'2013-14 Back-Up Data'!B39</f>
        <v>754.0113375089194</v>
      </c>
      <c r="AH39" s="4">
        <f>'2013-14 Back-Up Data'!F39/'2013-14 Back-Up Data'!L39</f>
        <v>0.26467337276239095</v>
      </c>
      <c r="AI39" s="27">
        <f>'2013-14 Back-Up Data'!G39</f>
        <v>1971376</v>
      </c>
      <c r="AJ39" s="31">
        <f>'2013-14 Back-Up Data'!G39/'2013-14 Back-Up Data'!B39</f>
        <v>156.2971537302783</v>
      </c>
      <c r="AK39" s="4">
        <f>'2013-14 Back-Up Data'!G39/'2013-14 Back-Up Data'!L39</f>
        <v>0.054863491797913874</v>
      </c>
      <c r="AP39" s="2" t="str">
        <f>'2013-14 Back-Up Data'!A39</f>
        <v>Tompkins</v>
      </c>
      <c r="AQ39" s="27">
        <f>'2013-14 Back-Up Data'!H39</f>
        <v>2867296</v>
      </c>
      <c r="AR39" s="31">
        <f>'2013-14 Back-Up Data'!H39/'2013-14 Back-Up Data'!B39</f>
        <v>227.3286291921034</v>
      </c>
      <c r="AS39" s="4">
        <f>'2013-14 Back-Up Data'!H39/'2013-14 Back-Up Data'!L39</f>
        <v>0.07979698980721651</v>
      </c>
      <c r="AT39" s="27">
        <f>'2013-14 Back-Up Data'!I39</f>
        <v>6297614</v>
      </c>
      <c r="AU39" s="31">
        <f>'2013-14 Back-Up Data'!I39/'2013-14 Back-Up Data'!B39</f>
        <v>499.295488781416</v>
      </c>
      <c r="AV39" s="4">
        <f>'2013-14 Back-Up Data'!I39/'2013-14 Back-Up Data'!L39</f>
        <v>0.17526290978252124</v>
      </c>
      <c r="AW39" s="27">
        <f>'2013-14 Back-Up Data'!J39</f>
        <v>6362111</v>
      </c>
      <c r="AX39" s="31">
        <f>'2013-14 Back-Up Data'!J39/'2013-14 Back-Up Data'!B39</f>
        <v>504.409022437168</v>
      </c>
      <c r="AY39" s="4">
        <f>'2013-14 Back-Up Data'!J39/'2013-14 Back-Up Data'!L39</f>
        <v>0.17705786448953303</v>
      </c>
    </row>
    <row r="40" spans="3:51" ht="12.75">
      <c r="C40" s="2" t="str">
        <f>'2013-14 Back-Up Data'!A40</f>
        <v>Ulster</v>
      </c>
      <c r="D40" s="27">
        <f>'2013-14 Back-Up Data'!K40</f>
        <v>44584508</v>
      </c>
      <c r="E40" s="28">
        <f>'2013-14 Back-Up Data'!K40/'2013-14 Back-Up Data'!B40</f>
        <v>2031.3699653726992</v>
      </c>
      <c r="F40" s="4">
        <f>'2013-14 Back-Up Data'!K40/'2013-14 Back-Up Data'!L40</f>
        <v>0.9304851373681278</v>
      </c>
      <c r="G40" s="27">
        <f>'2013-14 Back-Up Data'!C40+'2013-14 Back-Up Data'!D40</f>
        <v>3330828</v>
      </c>
      <c r="H40" s="28">
        <f>('2013-14 Back-Up Data'!C40+'2013-14 Back-Up Data'!D40)/'2013-14 Back-Up Data'!B40</f>
        <v>151.75997813012575</v>
      </c>
      <c r="I40" s="4">
        <f>('2013-14 Back-Up Data'!C40+'2013-14 Back-Up Data'!D40)/'2013-14 Back-Up Data'!L40</f>
        <v>0.06951486263187219</v>
      </c>
      <c r="J40" s="27">
        <f>'2013-14 Back-Up Data'!L40</f>
        <v>47915336</v>
      </c>
      <c r="K40" s="28">
        <f>'2013-14 Back-Up Data'!L40/'2013-14 Back-Up Data'!B40</f>
        <v>2183.129943502825</v>
      </c>
      <c r="P40" s="2" t="str">
        <f>'2013-14 Back-Up Data'!A40</f>
        <v>Ulster</v>
      </c>
      <c r="Q40" s="27">
        <f>'2013-14 Back-Up Data'!C40</f>
        <v>2336036</v>
      </c>
      <c r="R40" s="31">
        <f>'2013-14 Back-Up Data'!C40/'2013-14 Back-Up Data'!B40</f>
        <v>106.43502824858757</v>
      </c>
      <c r="S40" s="4">
        <f>'2013-14 Back-Up Data'!C40/'2013-14 Back-Up Data'!L40</f>
        <v>0.048753409555554406</v>
      </c>
      <c r="T40" s="27">
        <f>'2013-14 Back-Up Data'!D40</f>
        <v>994792</v>
      </c>
      <c r="U40" s="31">
        <f>'2013-14 Back-Up Data'!D40/'2013-14 Back-Up Data'!B40</f>
        <v>45.32494988153818</v>
      </c>
      <c r="V40" s="4">
        <f>'2013-14 Back-Up Data'!D40/'2013-14 Back-Up Data'!L40</f>
        <v>0.020761453076317778</v>
      </c>
      <c r="W40" s="31">
        <f>SUM('2013-14 Back-Up Data'!C40+'2013-14 Back-Up Data'!D40)/'2013-14 Back-Up Data'!B40</f>
        <v>151.75997813012575</v>
      </c>
      <c r="AB40" s="2" t="str">
        <f>'2013-14 Back-Up Data'!A40</f>
        <v>Ulster</v>
      </c>
      <c r="AC40" s="27">
        <f>'2013-14 Back-Up Data'!E40</f>
        <v>13085329</v>
      </c>
      <c r="AD40" s="31">
        <f>'2013-14 Back-Up Data'!E40/'2013-14 Back-Up Data'!B40</f>
        <v>596.196874430472</v>
      </c>
      <c r="AE40" s="4">
        <f>'2013-14 Back-Up Data'!E40/'2013-14 Back-Up Data'!L40</f>
        <v>0.2730927108598383</v>
      </c>
      <c r="AF40" s="27">
        <f>'2013-14 Back-Up Data'!F40</f>
        <v>9528469</v>
      </c>
      <c r="AG40" s="31">
        <f>'2013-14 Back-Up Data'!F40/'2013-14 Back-Up Data'!B40</f>
        <v>434.13837251685806</v>
      </c>
      <c r="AH40" s="4">
        <f>'2013-14 Back-Up Data'!F40/'2013-14 Back-Up Data'!L40</f>
        <v>0.19886052766070555</v>
      </c>
      <c r="AI40" s="27">
        <f>'2013-14 Back-Up Data'!G40</f>
        <v>1124128</v>
      </c>
      <c r="AJ40" s="31">
        <f>'2013-14 Back-Up Data'!G40/'2013-14 Back-Up Data'!B40</f>
        <v>51.217787497721886</v>
      </c>
      <c r="AK40" s="4">
        <f>'2013-14 Back-Up Data'!G40/'2013-14 Back-Up Data'!L40</f>
        <v>0.023460714122927155</v>
      </c>
      <c r="AP40" s="2" t="str">
        <f>'2013-14 Back-Up Data'!A40</f>
        <v>Ulster</v>
      </c>
      <c r="AQ40" s="27">
        <f>'2013-14 Back-Up Data'!H40</f>
        <v>2546640</v>
      </c>
      <c r="AR40" s="31">
        <f>'2013-14 Back-Up Data'!H40/'2013-14 Back-Up Data'!B40</f>
        <v>116.03061782394751</v>
      </c>
      <c r="AS40" s="4">
        <f>'2013-14 Back-Up Data'!H40/'2013-14 Back-Up Data'!L40</f>
        <v>0.053148745528988885</v>
      </c>
      <c r="AT40" s="27">
        <f>'2013-14 Back-Up Data'!I40</f>
        <v>6350219</v>
      </c>
      <c r="AU40" s="31">
        <f>'2013-14 Back-Up Data'!I40/'2013-14 Back-Up Data'!B40</f>
        <v>289.33018953891013</v>
      </c>
      <c r="AV40" s="4">
        <f>'2013-14 Back-Up Data'!I40/'2013-14 Back-Up Data'!L40</f>
        <v>0.1325299899806609</v>
      </c>
      <c r="AW40" s="27">
        <f>'2013-14 Back-Up Data'!J40</f>
        <v>11949723</v>
      </c>
      <c r="AX40" s="31">
        <f>'2013-14 Back-Up Data'!J40/'2013-14 Back-Up Data'!B40</f>
        <v>544.4561235647896</v>
      </c>
      <c r="AY40" s="4">
        <f>'2013-14 Back-Up Data'!J40/'2013-14 Back-Up Data'!L40</f>
        <v>0.24939244921500708</v>
      </c>
    </row>
    <row r="41" spans="3:51" ht="12.75">
      <c r="C41" s="2" t="str">
        <f>'2013-14 Back-Up Data'!A41</f>
        <v>Washington</v>
      </c>
      <c r="D41" s="27">
        <f>'2013-14 Back-Up Data'!K41</f>
        <v>50736156</v>
      </c>
      <c r="E41" s="28">
        <f>'2013-14 Back-Up Data'!K41/'2013-14 Back-Up Data'!B41</f>
        <v>1282.9006776575302</v>
      </c>
      <c r="F41" s="4">
        <f>'2013-14 Back-Up Data'!K41/'2013-14 Back-Up Data'!L41</f>
        <v>0.8731588831407023</v>
      </c>
      <c r="G41" s="27">
        <f>'2013-14 Back-Up Data'!C41+'2013-14 Back-Up Data'!D41</f>
        <v>7370286</v>
      </c>
      <c r="H41" s="28">
        <f>('2013-14 Back-Up Data'!C41+'2013-14 Back-Up Data'!D41)/'2013-14 Back-Up Data'!B41</f>
        <v>186.36305249317286</v>
      </c>
      <c r="I41" s="4">
        <f>('2013-14 Back-Up Data'!C41+'2013-14 Back-Up Data'!D41)/'2013-14 Back-Up Data'!L41</f>
        <v>0.12684111685929764</v>
      </c>
      <c r="J41" s="27">
        <f>'2013-14 Back-Up Data'!L41</f>
        <v>58106442</v>
      </c>
      <c r="K41" s="28">
        <f>'2013-14 Back-Up Data'!L41/'2013-14 Back-Up Data'!B41</f>
        <v>1469.263730150703</v>
      </c>
      <c r="P41" s="2" t="str">
        <f>'2013-14 Back-Up Data'!A41</f>
        <v>Washington</v>
      </c>
      <c r="Q41" s="27">
        <f>'2013-14 Back-Up Data'!C41</f>
        <v>5701243</v>
      </c>
      <c r="R41" s="31">
        <f>'2013-14 Back-Up Data'!C41/'2013-14 Back-Up Data'!B41</f>
        <v>144.1600839486194</v>
      </c>
      <c r="S41" s="4">
        <f>'2013-14 Back-Up Data'!C41/'2013-14 Back-Up Data'!L41</f>
        <v>0.0981172276905201</v>
      </c>
      <c r="T41" s="27">
        <f>'2013-14 Back-Up Data'!D41</f>
        <v>1669043</v>
      </c>
      <c r="U41" s="31">
        <f>'2013-14 Back-Up Data'!D41/'2013-14 Back-Up Data'!B41</f>
        <v>42.20296854455346</v>
      </c>
      <c r="V41" s="4">
        <f>'2013-14 Back-Up Data'!D41/'2013-14 Back-Up Data'!L41</f>
        <v>0.028723889168777533</v>
      </c>
      <c r="W41" s="31">
        <f>SUM('2013-14 Back-Up Data'!C41+'2013-14 Back-Up Data'!D41)/'2013-14 Back-Up Data'!B41</f>
        <v>186.36305249317286</v>
      </c>
      <c r="AB41" s="2" t="str">
        <f>'2013-14 Back-Up Data'!A41</f>
        <v>Washington</v>
      </c>
      <c r="AC41" s="27">
        <f>'2013-14 Back-Up Data'!E41</f>
        <v>11182780</v>
      </c>
      <c r="AD41" s="31">
        <f>'2013-14 Back-Up Data'!E41/'2013-14 Back-Up Data'!B41</f>
        <v>282.76474157985234</v>
      </c>
      <c r="AE41" s="4">
        <f>'2013-14 Back-Up Data'!E41/'2013-14 Back-Up Data'!L41</f>
        <v>0.1924533599906186</v>
      </c>
      <c r="AF41" s="27">
        <f>'2013-14 Back-Up Data'!F41</f>
        <v>19006010</v>
      </c>
      <c r="AG41" s="31">
        <f>'2013-14 Back-Up Data'!F41/'2013-14 Back-Up Data'!B41</f>
        <v>480.5808131890361</v>
      </c>
      <c r="AH41" s="4">
        <f>'2013-14 Back-Up Data'!F41/'2013-14 Back-Up Data'!L41</f>
        <v>0.3270895505871793</v>
      </c>
      <c r="AI41" s="27">
        <f>'2013-14 Back-Up Data'!G41</f>
        <v>2372323</v>
      </c>
      <c r="AJ41" s="31">
        <f>'2013-14 Back-Up Data'!G41/'2013-14 Back-Up Data'!B41</f>
        <v>59.98591584909477</v>
      </c>
      <c r="AK41" s="4">
        <f>'2013-14 Back-Up Data'!G41/'2013-14 Back-Up Data'!L41</f>
        <v>0.04082719434103365</v>
      </c>
      <c r="AP41" s="2" t="str">
        <f>'2013-14 Back-Up Data'!A41</f>
        <v>Washington</v>
      </c>
      <c r="AQ41" s="27">
        <f>'2013-14 Back-Up Data'!H41</f>
        <v>2575572</v>
      </c>
      <c r="AR41" s="31">
        <f>'2013-14 Back-Up Data'!H41/'2013-14 Back-Up Data'!B41</f>
        <v>65.12521492869425</v>
      </c>
      <c r="AS41" s="4">
        <f>'2013-14 Back-Up Data'!H41/'2013-14 Back-Up Data'!L41</f>
        <v>0.0443250681223951</v>
      </c>
      <c r="AT41" s="27">
        <f>'2013-14 Back-Up Data'!I41</f>
        <v>8260283</v>
      </c>
      <c r="AU41" s="31">
        <f>'2013-14 Back-Up Data'!I41/'2013-14 Back-Up Data'!B41</f>
        <v>208.86727520987154</v>
      </c>
      <c r="AV41" s="4">
        <f>'2013-14 Back-Up Data'!I41/'2013-14 Back-Up Data'!L41</f>
        <v>0.14215778346917196</v>
      </c>
      <c r="AW41" s="27">
        <f>'2013-14 Back-Up Data'!J41</f>
        <v>7339188</v>
      </c>
      <c r="AX41" s="31">
        <f>'2013-14 Back-Up Data'!J41/'2013-14 Back-Up Data'!B41</f>
        <v>185.5767169009811</v>
      </c>
      <c r="AY41" s="4">
        <f>'2013-14 Back-Up Data'!J41/'2013-14 Back-Up Data'!L41</f>
        <v>0.12630592663030374</v>
      </c>
    </row>
    <row r="42" spans="3:51" ht="12.75">
      <c r="C42" s="2" t="str">
        <f>'2013-14 Back-Up Data'!A42</f>
        <v>Westchester 2</v>
      </c>
      <c r="D42" s="27">
        <f>'2013-14 Back-Up Data'!K42</f>
        <v>123114897</v>
      </c>
      <c r="E42" s="28">
        <f>'2013-14 Back-Up Data'!K42/'2013-14 Back-Up Data'!B42</f>
        <v>1146.0544286711659</v>
      </c>
      <c r="F42" s="4">
        <f>'2013-14 Back-Up Data'!K42/'2013-14 Back-Up Data'!L42</f>
        <v>0.908955784976652</v>
      </c>
      <c r="G42" s="27">
        <f>'2013-14 Back-Up Data'!C42+'2013-14 Back-Up Data'!D42</f>
        <v>12331622</v>
      </c>
      <c r="H42" s="28">
        <f>('2013-14 Back-Up Data'!E42+'2013-14 Back-Up Data'!D42)/'2013-14 Back-Up Data'!B42</f>
        <v>136.07714219222714</v>
      </c>
      <c r="I42" s="4">
        <f>('2013-14 Back-Up Data'!C42+'2013-14 Back-Up Data'!D42)/'2013-14 Back-Up Data'!L42</f>
        <v>0.09104421502334807</v>
      </c>
      <c r="J42" s="27">
        <f>'2013-14 Back-Up Data'!L42</f>
        <v>135446519</v>
      </c>
      <c r="K42" s="28">
        <f>'2013-14 Back-Up Data'!L42/'2013-14 Back-Up Data'!B42</f>
        <v>1260.8472794973238</v>
      </c>
      <c r="P42" s="2" t="str">
        <f>'2013-14 Back-Up Data'!A42</f>
        <v>Westchester 2</v>
      </c>
      <c r="Q42" s="27">
        <f>'2013-14 Back-Up Data'!C42</f>
        <v>9071681</v>
      </c>
      <c r="R42" s="31">
        <f>'2013-14 Back-Up Data'!C42/'2013-14 Back-Up Data'!B42</f>
        <v>84.44664649755643</v>
      </c>
      <c r="S42" s="4">
        <f>'2013-14 Back-Up Data'!C42/'2013-14 Back-Up Data'!L42</f>
        <v>0.06697611032735364</v>
      </c>
      <c r="T42" s="27">
        <f>'2013-14 Back-Up Data'!D42</f>
        <v>3259941</v>
      </c>
      <c r="U42" s="31">
        <f>'2013-14 Back-Up Data'!D42/'2013-14 Back-Up Data'!B42</f>
        <v>30.34620432860135</v>
      </c>
      <c r="V42" s="4">
        <f>'2013-14 Back-Up Data'!D42/'2013-14 Back-Up Data'!L42</f>
        <v>0.02406810469599444</v>
      </c>
      <c r="W42" s="31">
        <f>SUM('2013-14 Back-Up Data'!C42+'2013-14 Back-Up Data'!D42)/'2013-14 Back-Up Data'!B42</f>
        <v>114.79285082615779</v>
      </c>
      <c r="AB42" s="2" t="str">
        <f>'2013-14 Back-Up Data'!A42</f>
        <v>Westchester 2</v>
      </c>
      <c r="AC42" s="27">
        <f>'2013-14 Back-Up Data'!E42</f>
        <v>11358146</v>
      </c>
      <c r="AD42" s="31">
        <f>'2013-14 Back-Up Data'!E42/'2013-14 Back-Up Data'!B42</f>
        <v>105.73093786362578</v>
      </c>
      <c r="AE42" s="4">
        <f>'2013-14 Back-Up Data'!E42/'2013-14 Back-Up Data'!L42</f>
        <v>0.08385705357256173</v>
      </c>
      <c r="AF42" s="27">
        <f>'2013-14 Back-Up Data'!F42</f>
        <v>38057862</v>
      </c>
      <c r="AG42" s="31">
        <f>'2013-14 Back-Up Data'!F42/'2013-14 Back-Up Data'!B42</f>
        <v>354.2737910169886</v>
      </c>
      <c r="AH42" s="4">
        <f>'2013-14 Back-Up Data'!F42/'2013-14 Back-Up Data'!L42</f>
        <v>0.28098073159045156</v>
      </c>
      <c r="AI42" s="27">
        <f>'2013-14 Back-Up Data'!G42</f>
        <v>1275703</v>
      </c>
      <c r="AJ42" s="31">
        <f>'2013-14 Back-Up Data'!G42/'2013-14 Back-Up Data'!B42</f>
        <v>11.875289737025833</v>
      </c>
      <c r="AK42" s="4">
        <f>'2013-14 Back-Up Data'!G42/'2013-14 Back-Up Data'!L42</f>
        <v>0.009418499710575803</v>
      </c>
      <c r="AP42" s="2" t="str">
        <f>'2013-14 Back-Up Data'!A42</f>
        <v>Westchester 2</v>
      </c>
      <c r="AQ42" s="27">
        <f>'2013-14 Back-Up Data'!H42</f>
        <v>3569283</v>
      </c>
      <c r="AR42" s="31">
        <f>'2013-14 Back-Up Data'!H42/'2013-14 Back-Up Data'!B42</f>
        <v>33.225813358156856</v>
      </c>
      <c r="AS42" s="4">
        <f>'2013-14 Back-Up Data'!H42/'2013-14 Back-Up Data'!L42</f>
        <v>0.026351972914121183</v>
      </c>
      <c r="AT42" s="27">
        <f>'2013-14 Back-Up Data'!I42</f>
        <v>43140808</v>
      </c>
      <c r="AU42" s="31">
        <f>'2013-14 Back-Up Data'!I42/'2013-14 Back-Up Data'!B42</f>
        <v>401.59002094484526</v>
      </c>
      <c r="AV42" s="4">
        <f>'2013-14 Back-Up Data'!I42/'2013-14 Back-Up Data'!L42</f>
        <v>0.3185080599967283</v>
      </c>
      <c r="AW42" s="27">
        <f>'2013-14 Back-Up Data'!J42</f>
        <v>25713095</v>
      </c>
      <c r="AX42" s="31">
        <f>'2013-14 Back-Up Data'!J42/'2013-14 Back-Up Data'!B42</f>
        <v>239.3585757505236</v>
      </c>
      <c r="AY42" s="4">
        <f>'2013-14 Back-Up Data'!J42/'2013-14 Back-Up Data'!L42</f>
        <v>0.18983946719221334</v>
      </c>
    </row>
    <row r="43" spans="3:51" ht="12.75">
      <c r="C43" s="6" t="s">
        <v>54</v>
      </c>
      <c r="D43" s="17">
        <f>SUM(D6:D42)</f>
        <v>2597330126</v>
      </c>
      <c r="E43" s="7"/>
      <c r="F43" s="9"/>
      <c r="G43" s="17">
        <f>SUM(G6:G42)</f>
        <v>278698586</v>
      </c>
      <c r="H43" s="7"/>
      <c r="I43" s="9"/>
      <c r="J43" s="12">
        <f>+SUM(J6:J42)</f>
        <v>2876028712</v>
      </c>
      <c r="K43" s="7"/>
      <c r="P43" s="6" t="s">
        <v>54</v>
      </c>
      <c r="Q43" s="17">
        <f>SUM(Q6:Q42)</f>
        <v>197982531</v>
      </c>
      <c r="R43" s="12"/>
      <c r="S43" s="13"/>
      <c r="T43" s="17">
        <f>+SUM(T6:T42)</f>
        <v>80716055</v>
      </c>
      <c r="U43" s="12"/>
      <c r="V43" s="13"/>
      <c r="W43" s="12"/>
      <c r="AB43" s="6" t="s">
        <v>54</v>
      </c>
      <c r="AC43" s="17">
        <f>SUM(AC6:AC42)</f>
        <v>374570415</v>
      </c>
      <c r="AD43" s="12"/>
      <c r="AE43" s="13"/>
      <c r="AF43" s="17">
        <f>SUM(AF6:AF42)</f>
        <v>1018547101</v>
      </c>
      <c r="AG43" s="12"/>
      <c r="AH43" s="13"/>
      <c r="AI43" s="17">
        <f>SUM(AI6:AI42)</f>
        <v>135791661</v>
      </c>
      <c r="AJ43" s="12"/>
      <c r="AK43" s="13"/>
      <c r="AP43" s="6" t="s">
        <v>54</v>
      </c>
      <c r="AQ43" s="17">
        <f>SUM(AQ6:AQ42)</f>
        <v>151034136</v>
      </c>
      <c r="AR43" s="12"/>
      <c r="AS43" s="13"/>
      <c r="AT43" s="17">
        <f>SUM(AT6:AT42)</f>
        <v>385744950</v>
      </c>
      <c r="AU43" s="12"/>
      <c r="AV43" s="13"/>
      <c r="AW43" s="17">
        <f>SUM(AW6:AW42)</f>
        <v>531641863</v>
      </c>
      <c r="AX43" s="12"/>
      <c r="AY43" s="13"/>
    </row>
    <row r="44" spans="3:51" ht="12.75">
      <c r="C44" s="6" t="s">
        <v>55</v>
      </c>
      <c r="D44" s="18"/>
      <c r="E44" s="12">
        <f>AVERAGE(E6:E42)</f>
        <v>1937.3969745028132</v>
      </c>
      <c r="F44" s="13">
        <f>AVERAGE(F6:F42)</f>
        <v>0.896833972711947</v>
      </c>
      <c r="G44" s="18"/>
      <c r="H44" s="12" t="e">
        <f>AVERAGE(H6:H42)</f>
        <v>#REF!</v>
      </c>
      <c r="I44" s="13">
        <f>AVERAGE(I6:I42)</f>
        <v>0.10316602728805295</v>
      </c>
      <c r="J44" s="8"/>
      <c r="K44" s="8">
        <f>AVERAGE(K6:K42)</f>
        <v>2165.0711448761467</v>
      </c>
      <c r="P44" s="6" t="s">
        <v>55</v>
      </c>
      <c r="Q44" s="17"/>
      <c r="R44" s="12" t="e">
        <f>AVERAGE(R6:R42)</f>
        <v>#REF!</v>
      </c>
      <c r="S44" s="13">
        <f>AVERAGE(S6:S42)</f>
        <v>0.072401473512438</v>
      </c>
      <c r="T44" s="17"/>
      <c r="U44" s="12" t="e">
        <f>AVERAGE(U6:U42)</f>
        <v>#REF!</v>
      </c>
      <c r="V44" s="13">
        <f>AVERAGE(V6:V42)</f>
        <v>0.030764553775614975</v>
      </c>
      <c r="W44" s="12" t="e">
        <f>AVERAGE(W6:W42)</f>
        <v>#REF!</v>
      </c>
      <c r="AB44" s="6" t="s">
        <v>55</v>
      </c>
      <c r="AC44" s="17"/>
      <c r="AD44" s="12">
        <f>AVERAGE(AD6:AD42)</f>
        <v>344.51741635280786</v>
      </c>
      <c r="AE44" s="13">
        <f>AVERAGE(AE6:AE42)</f>
        <v>0.15623744372969464</v>
      </c>
      <c r="AF44" s="17"/>
      <c r="AG44" s="12" t="e">
        <f>AVERAGE(AG6:AG42)</f>
        <v>#REF!</v>
      </c>
      <c r="AH44" s="13">
        <f>AVERAGE(AH6:AH42)</f>
        <v>0.3125075811898372</v>
      </c>
      <c r="AI44" s="17"/>
      <c r="AJ44" s="12">
        <f>AVERAGE(AJ6:AJ42)</f>
        <v>139.06158000170825</v>
      </c>
      <c r="AK44" s="13">
        <f>AVERAGE(AK6:AK42)</f>
        <v>0.06226999671837613</v>
      </c>
      <c r="AP44" s="6" t="s">
        <v>55</v>
      </c>
      <c r="AQ44" s="17"/>
      <c r="AR44" s="12">
        <f>AVERAGE(AR6:AR42)</f>
        <v>128.52441641524317</v>
      </c>
      <c r="AS44" s="13">
        <f>AVERAGE(AS6:AS42)</f>
        <v>0.057912009334511266</v>
      </c>
      <c r="AT44" s="17"/>
      <c r="AU44" s="12">
        <f>AVERAGE(AU6:AU42)</f>
        <v>279.3509824093639</v>
      </c>
      <c r="AV44" s="13">
        <f>AVERAGE(AV6:AV42)</f>
        <v>0.1299195728692092</v>
      </c>
      <c r="AW44" s="17"/>
      <c r="AX44" s="12">
        <f>AVERAGE(AX6:AX42)</f>
        <v>390.8928324846905</v>
      </c>
      <c r="AY44" s="13">
        <f>AVERAGE(AY6:AY42)</f>
        <v>0.17798736887031846</v>
      </c>
    </row>
    <row r="45" spans="3:51" ht="12.75">
      <c r="C45" s="6" t="s">
        <v>56</v>
      </c>
      <c r="D45" s="18"/>
      <c r="E45" s="12">
        <f>MEDIAN(E6:E42)</f>
        <v>1788.4579508439442</v>
      </c>
      <c r="F45" s="13">
        <f>MEDIAN(F6:F42)</f>
        <v>0.8966087119013458</v>
      </c>
      <c r="G45" s="18"/>
      <c r="H45" s="8" t="e">
        <f>MEDIAN(H6:H42)</f>
        <v>#REF!</v>
      </c>
      <c r="I45" s="13">
        <f>MEDIAN(I6:I42)</f>
        <v>0.10339128809865414</v>
      </c>
      <c r="J45" s="8"/>
      <c r="K45" s="8">
        <f>MEDIAN(K6:K42)</f>
        <v>2094.4316947981442</v>
      </c>
      <c r="P45" s="6" t="s">
        <v>56</v>
      </c>
      <c r="Q45" s="17"/>
      <c r="R45" s="12" t="e">
        <f>MEDIAN(R6:R42)</f>
        <v>#REF!</v>
      </c>
      <c r="S45" s="13">
        <f>MEDIAN(S6:S42)</f>
        <v>0.07212286819370324</v>
      </c>
      <c r="T45" s="17"/>
      <c r="U45" s="12" t="e">
        <f>MEDIAN(U6:U42)</f>
        <v>#REF!</v>
      </c>
      <c r="V45" s="13">
        <f>MEDIAN(V6:V42)</f>
        <v>0.02383033975345895</v>
      </c>
      <c r="W45" s="12" t="e">
        <f>MEDIAN(W6:W42)</f>
        <v>#REF!</v>
      </c>
      <c r="AB45" s="6" t="s">
        <v>70</v>
      </c>
      <c r="AC45" s="17"/>
      <c r="AD45" s="12">
        <f>MEDIAN(AD6:AD42)</f>
        <v>313.4081531931695</v>
      </c>
      <c r="AE45" s="13">
        <f>MEDIAN(AE6:AE42)</f>
        <v>0.15063372336961625</v>
      </c>
      <c r="AF45" s="17"/>
      <c r="AG45" s="12" t="e">
        <f>MEDIAN(AG6:AG42)</f>
        <v>#REF!</v>
      </c>
      <c r="AH45" s="13">
        <f>MEDIAN(AH6:AH42)</f>
        <v>0.3010401933086864</v>
      </c>
      <c r="AI45" s="17"/>
      <c r="AJ45" s="12">
        <f>MEDIAN(AJ6:AJ42)</f>
        <v>114.05398230088495</v>
      </c>
      <c r="AK45" s="13">
        <f>MEDIAN(AK6:AK42)</f>
        <v>0.04628549162528699</v>
      </c>
      <c r="AP45" s="6" t="s">
        <v>56</v>
      </c>
      <c r="AQ45" s="17"/>
      <c r="AR45" s="12">
        <f>MEDIAN(AR6:AR42)</f>
        <v>121.31029395074339</v>
      </c>
      <c r="AS45" s="13">
        <f>MEDIAN(AS6:AS42)</f>
        <v>0.053148745528988885</v>
      </c>
      <c r="AT45" s="17"/>
      <c r="AU45" s="12">
        <f>MEDIAN(AU6:AU42)</f>
        <v>249.19521151221932</v>
      </c>
      <c r="AV45" s="13">
        <f>MEDIAN(AV6:AV42)</f>
        <v>0.12836293988282796</v>
      </c>
      <c r="AW45" s="17"/>
      <c r="AX45" s="12">
        <f>MEDIAN(AX6:AX42)</f>
        <v>335.7142342861257</v>
      </c>
      <c r="AY45" s="13">
        <f>MEDIAN(AY6:AY42)</f>
        <v>0.15854806712167605</v>
      </c>
    </row>
    <row r="46" spans="6:9" ht="12.75">
      <c r="F46" s="5"/>
      <c r="I46" s="5"/>
    </row>
    <row r="47" ht="12.75">
      <c r="I47" s="5"/>
    </row>
  </sheetData>
  <sheetProtection/>
  <mergeCells count="4">
    <mergeCell ref="C1:K1"/>
    <mergeCell ref="P1:W1"/>
    <mergeCell ref="AB1:AK1"/>
    <mergeCell ref="AP1:AY1"/>
  </mergeCells>
  <printOptions/>
  <pageMargins left="0.53" right="0.43" top="1" bottom="1" header="0.5" footer="0.5"/>
  <pageSetup horizontalDpi="600" verticalDpi="600" orientation="landscape" scale="77" r:id="rId1"/>
  <colBreaks count="3" manualBreakCount="3">
    <brk id="13" max="65535" man="1"/>
    <brk id="25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21">
      <selection activeCell="B44" sqref="B44"/>
    </sheetView>
  </sheetViews>
  <sheetFormatPr defaultColWidth="9.140625" defaultRowHeight="12.75"/>
  <cols>
    <col min="1" max="1" width="11.7109375" style="0" customWidth="1"/>
    <col min="2" max="2" width="9.7109375" style="0" bestFit="1" customWidth="1"/>
    <col min="3" max="3" width="13.8515625" style="0" customWidth="1"/>
    <col min="4" max="4" width="13.00390625" style="0" customWidth="1"/>
    <col min="5" max="5" width="13.28125" style="0" customWidth="1"/>
    <col min="6" max="6" width="15.00390625" style="0" customWidth="1"/>
    <col min="7" max="8" width="13.7109375" style="0" customWidth="1"/>
    <col min="9" max="9" width="13.00390625" style="0" customWidth="1"/>
    <col min="10" max="10" width="13.140625" style="0" customWidth="1"/>
    <col min="11" max="12" width="14.7109375" style="0" customWidth="1"/>
    <col min="13" max="13" width="12.7109375" style="0" customWidth="1"/>
    <col min="14" max="14" width="15.00390625" style="0" customWidth="1"/>
    <col min="15" max="15" width="11.140625" style="0" customWidth="1"/>
    <col min="16" max="16" width="11.00390625" style="0" customWidth="1"/>
  </cols>
  <sheetData>
    <row r="1" ht="12.75">
      <c r="A1" t="s">
        <v>93</v>
      </c>
    </row>
    <row r="2" ht="12.75">
      <c r="A2" t="s">
        <v>84</v>
      </c>
    </row>
    <row r="3" spans="2:17" ht="12.75">
      <c r="B3" s="2" t="s">
        <v>82</v>
      </c>
      <c r="C3" s="15" t="s">
        <v>11</v>
      </c>
      <c r="F3" s="15" t="s">
        <v>64</v>
      </c>
      <c r="H3" s="15" t="s">
        <v>11</v>
      </c>
      <c r="I3" s="15" t="s">
        <v>16</v>
      </c>
      <c r="K3" s="15" t="s">
        <v>19</v>
      </c>
      <c r="L3" s="15" t="s">
        <v>21</v>
      </c>
      <c r="P3" s="2"/>
      <c r="Q3" s="2"/>
    </row>
    <row r="4" spans="1:17" ht="12.75">
      <c r="A4" s="22" t="s">
        <v>46</v>
      </c>
      <c r="B4" s="22" t="s">
        <v>83</v>
      </c>
      <c r="C4" s="23" t="s">
        <v>12</v>
      </c>
      <c r="D4" s="23" t="s">
        <v>13</v>
      </c>
      <c r="E4" s="23" t="s">
        <v>80</v>
      </c>
      <c r="F4" s="23" t="s">
        <v>63</v>
      </c>
      <c r="G4" s="23" t="s">
        <v>14</v>
      </c>
      <c r="H4" s="23" t="s">
        <v>15</v>
      </c>
      <c r="I4" s="23" t="s">
        <v>17</v>
      </c>
      <c r="J4" s="23" t="s">
        <v>18</v>
      </c>
      <c r="K4" s="23" t="s">
        <v>20</v>
      </c>
      <c r="L4" s="23" t="s">
        <v>19</v>
      </c>
      <c r="M4" s="23" t="s">
        <v>85</v>
      </c>
      <c r="N4" s="23" t="s">
        <v>86</v>
      </c>
      <c r="O4" s="22" t="s">
        <v>81</v>
      </c>
      <c r="P4" s="2"/>
      <c r="Q4" s="2"/>
    </row>
    <row r="5" spans="3:14" ht="12.75">
      <c r="C5" s="14"/>
      <c r="D5" s="14"/>
      <c r="E5" s="14"/>
      <c r="F5" s="14"/>
      <c r="G5" s="14"/>
      <c r="H5" s="14"/>
      <c r="I5" s="14"/>
      <c r="J5" s="14"/>
      <c r="K5" s="14">
        <f aca="true" t="shared" si="0" ref="K5:K42">SUM(E5:J5)</f>
        <v>0</v>
      </c>
      <c r="L5" s="14">
        <f aca="true" t="shared" si="1" ref="L5:L42">SUM(C5:J5)</f>
        <v>0</v>
      </c>
      <c r="M5" s="14"/>
      <c r="N5" s="14"/>
    </row>
    <row r="6" spans="1:18" ht="12.75">
      <c r="A6" s="1" t="s">
        <v>22</v>
      </c>
      <c r="B6" s="29">
        <v>79209</v>
      </c>
      <c r="C6" s="24">
        <v>7738395</v>
      </c>
      <c r="D6" s="24">
        <v>2254631</v>
      </c>
      <c r="E6" s="24">
        <v>10835451</v>
      </c>
      <c r="F6" s="24">
        <v>29253083</v>
      </c>
      <c r="G6" s="24">
        <v>4206974</v>
      </c>
      <c r="H6" s="24">
        <f>3345+5156637</f>
        <v>5159982</v>
      </c>
      <c r="I6" s="24">
        <f>5205462+1601955+893703</f>
        <v>7701120</v>
      </c>
      <c r="J6" s="24">
        <v>35831919</v>
      </c>
      <c r="K6" s="26">
        <f t="shared" si="0"/>
        <v>92988529</v>
      </c>
      <c r="L6" s="24">
        <f t="shared" si="1"/>
        <v>102981555</v>
      </c>
      <c r="M6" s="24">
        <v>2004631</v>
      </c>
      <c r="N6" s="24">
        <v>250000</v>
      </c>
      <c r="O6" s="25"/>
      <c r="P6" s="21">
        <f aca="true" t="shared" si="2" ref="P6:P42">(M6+N6+O6)-D6</f>
        <v>0</v>
      </c>
      <c r="R6" t="s">
        <v>88</v>
      </c>
    </row>
    <row r="7" spans="1:16" ht="12.75">
      <c r="A7" s="1" t="s">
        <v>23</v>
      </c>
      <c r="B7" s="29">
        <v>31720</v>
      </c>
      <c r="C7" s="21">
        <v>3002110</v>
      </c>
      <c r="D7" s="21">
        <v>1688010</v>
      </c>
      <c r="E7" s="21">
        <v>8441339</v>
      </c>
      <c r="F7" s="21">
        <v>27038891</v>
      </c>
      <c r="G7" s="26">
        <v>2076906</v>
      </c>
      <c r="H7" s="26">
        <f>326606+5839609</f>
        <v>6166215</v>
      </c>
      <c r="I7" s="26">
        <f>3881142+1727103+3188174</f>
        <v>8796419</v>
      </c>
      <c r="J7" s="26">
        <v>32608319</v>
      </c>
      <c r="K7" s="26">
        <f t="shared" si="0"/>
        <v>85128089</v>
      </c>
      <c r="L7" s="26">
        <f t="shared" si="1"/>
        <v>89818209</v>
      </c>
      <c r="M7" s="26">
        <v>831510</v>
      </c>
      <c r="N7" s="26">
        <v>0</v>
      </c>
      <c r="O7" s="26">
        <v>856500</v>
      </c>
      <c r="P7" s="21">
        <f t="shared" si="2"/>
        <v>0</v>
      </c>
    </row>
    <row r="8" spans="1:16" ht="12.75">
      <c r="A8" s="1" t="s">
        <v>24</v>
      </c>
      <c r="B8" s="29">
        <v>17555</v>
      </c>
      <c r="C8" s="26">
        <v>2613000</v>
      </c>
      <c r="D8" s="26">
        <v>2800000</v>
      </c>
      <c r="E8" s="26">
        <v>8922815</v>
      </c>
      <c r="F8" s="26">
        <v>15368782</v>
      </c>
      <c r="G8" s="26">
        <v>5103911</v>
      </c>
      <c r="H8" s="26">
        <f>397160+3665061</f>
        <v>4062221</v>
      </c>
      <c r="I8" s="26">
        <f>3706431+3572812+2227964</f>
        <v>9507207</v>
      </c>
      <c r="J8" s="26">
        <v>10924064</v>
      </c>
      <c r="K8" s="26">
        <f>SUM(E8:J8)</f>
        <v>53889000</v>
      </c>
      <c r="L8" s="26">
        <f>SUM(C8:J8)</f>
        <v>59302000</v>
      </c>
      <c r="M8" s="26">
        <v>800000</v>
      </c>
      <c r="N8" s="26">
        <v>2000000</v>
      </c>
      <c r="O8" s="21"/>
      <c r="P8" s="21">
        <f t="shared" si="2"/>
        <v>0</v>
      </c>
    </row>
    <row r="9" spans="1:16" ht="12.75">
      <c r="A9" s="1" t="s">
        <v>25</v>
      </c>
      <c r="B9" s="29">
        <v>12430</v>
      </c>
      <c r="C9" s="26">
        <v>1623298</v>
      </c>
      <c r="D9" s="26">
        <v>341600</v>
      </c>
      <c r="E9" s="26">
        <v>5942418</v>
      </c>
      <c r="F9" s="26">
        <v>8829354</v>
      </c>
      <c r="G9" s="26">
        <v>1417691</v>
      </c>
      <c r="H9" s="26">
        <f>454777+3031159</f>
        <v>3485936</v>
      </c>
      <c r="I9" s="26">
        <f>2166935+723568+1448270</f>
        <v>4338773</v>
      </c>
      <c r="J9" s="26">
        <v>5269583</v>
      </c>
      <c r="K9" s="26">
        <f t="shared" si="0"/>
        <v>29283755</v>
      </c>
      <c r="L9" s="26">
        <f t="shared" si="1"/>
        <v>31248653</v>
      </c>
      <c r="M9" s="26">
        <v>341600</v>
      </c>
      <c r="N9" s="26">
        <v>0</v>
      </c>
      <c r="O9" s="21"/>
      <c r="P9" s="21">
        <f t="shared" si="2"/>
        <v>0</v>
      </c>
    </row>
    <row r="10" spans="1:16" ht="12.75">
      <c r="A10" s="1" t="s">
        <v>26</v>
      </c>
      <c r="B10" s="29">
        <v>13889</v>
      </c>
      <c r="C10" s="26">
        <v>3195726</v>
      </c>
      <c r="D10" s="26">
        <v>328909</v>
      </c>
      <c r="E10" s="26">
        <v>8182277</v>
      </c>
      <c r="F10" s="26">
        <v>10746565</v>
      </c>
      <c r="G10" s="26">
        <f>267120+2325472</f>
        <v>2592592</v>
      </c>
      <c r="H10" s="26">
        <f>97585+561617</f>
        <v>659202</v>
      </c>
      <c r="I10" s="26">
        <f>1062800+717173+658400</f>
        <v>2438373</v>
      </c>
      <c r="J10" s="26">
        <v>4662735</v>
      </c>
      <c r="K10" s="26">
        <f t="shared" si="0"/>
        <v>29281744</v>
      </c>
      <c r="L10" s="26">
        <f t="shared" si="1"/>
        <v>32806379</v>
      </c>
      <c r="M10" s="26">
        <v>201906</v>
      </c>
      <c r="N10" s="26">
        <v>127003</v>
      </c>
      <c r="O10" s="21"/>
      <c r="P10" s="21">
        <f t="shared" si="2"/>
        <v>0</v>
      </c>
    </row>
    <row r="11" spans="1:16" ht="12.75">
      <c r="A11" s="1" t="s">
        <v>47</v>
      </c>
      <c r="B11" s="29">
        <v>12558</v>
      </c>
      <c r="C11" s="26">
        <v>2094425</v>
      </c>
      <c r="D11" s="26">
        <v>4581548</v>
      </c>
      <c r="E11" s="26">
        <v>7989612</v>
      </c>
      <c r="F11" s="26">
        <v>9776017</v>
      </c>
      <c r="G11" s="26">
        <v>2958340</v>
      </c>
      <c r="H11" s="26">
        <f>203690+2266327</f>
        <v>2470017</v>
      </c>
      <c r="I11" s="26">
        <f>2170433+778419+2438490</f>
        <v>5387342</v>
      </c>
      <c r="J11" s="26">
        <f>8766016+156381</f>
        <v>8922397</v>
      </c>
      <c r="K11" s="26">
        <f t="shared" si="0"/>
        <v>37503725</v>
      </c>
      <c r="L11" s="26">
        <f t="shared" si="1"/>
        <v>44179698</v>
      </c>
      <c r="M11" s="26">
        <v>327885</v>
      </c>
      <c r="N11" s="26">
        <v>4253663</v>
      </c>
      <c r="O11" s="21"/>
      <c r="P11" s="21">
        <f t="shared" si="2"/>
        <v>0</v>
      </c>
    </row>
    <row r="12" spans="1:16" ht="12.75">
      <c r="A12" s="1" t="s">
        <v>6</v>
      </c>
      <c r="B12" s="29">
        <v>42629</v>
      </c>
      <c r="C12" s="26">
        <v>4540875</v>
      </c>
      <c r="D12" s="26">
        <v>1534729</v>
      </c>
      <c r="E12" s="26">
        <v>6789582</v>
      </c>
      <c r="F12" s="26">
        <v>22241202</v>
      </c>
      <c r="G12" s="26">
        <v>1778794</v>
      </c>
      <c r="H12" s="26">
        <v>2491068</v>
      </c>
      <c r="I12" s="26">
        <f>5249037+920143+1671158</f>
        <v>7840338</v>
      </c>
      <c r="J12" s="26">
        <f>7585522+706603</f>
        <v>8292125</v>
      </c>
      <c r="K12" s="26">
        <f t="shared" si="0"/>
        <v>49433109</v>
      </c>
      <c r="L12" s="26">
        <f t="shared" si="1"/>
        <v>55508713</v>
      </c>
      <c r="M12" s="26">
        <v>934729</v>
      </c>
      <c r="N12" s="26">
        <v>600000</v>
      </c>
      <c r="O12" s="21"/>
      <c r="P12" s="21">
        <f t="shared" si="2"/>
        <v>0</v>
      </c>
    </row>
    <row r="13" spans="1:17" ht="12.75">
      <c r="A13" s="1" t="s">
        <v>3</v>
      </c>
      <c r="B13" s="29">
        <v>108070</v>
      </c>
      <c r="C13" s="26">
        <v>3137076</v>
      </c>
      <c r="D13" s="26">
        <v>2597987</v>
      </c>
      <c r="E13" s="26">
        <v>14277732</v>
      </c>
      <c r="F13" s="26">
        <v>16732695</v>
      </c>
      <c r="G13" s="26">
        <v>7475298</v>
      </c>
      <c r="H13" s="26">
        <f>3+3955540</f>
        <v>3955543</v>
      </c>
      <c r="I13" s="26">
        <f>18887310+2439487+1041422</f>
        <v>22368219</v>
      </c>
      <c r="J13" s="26">
        <v>38475591</v>
      </c>
      <c r="K13" s="26">
        <f t="shared" si="0"/>
        <v>103285078</v>
      </c>
      <c r="L13" s="26">
        <f t="shared" si="1"/>
        <v>109020141</v>
      </c>
      <c r="M13" s="26">
        <v>2597987</v>
      </c>
      <c r="N13" s="26">
        <v>0</v>
      </c>
      <c r="O13" s="21">
        <v>0</v>
      </c>
      <c r="P13" s="21">
        <f t="shared" si="2"/>
        <v>0</v>
      </c>
      <c r="Q13" t="s">
        <v>87</v>
      </c>
    </row>
    <row r="14" spans="1:16" ht="12.75">
      <c r="A14" s="1" t="s">
        <v>27</v>
      </c>
      <c r="B14" s="29">
        <v>37621</v>
      </c>
      <c r="C14" s="26">
        <v>3070064</v>
      </c>
      <c r="D14" s="26">
        <v>1116176</v>
      </c>
      <c r="E14" s="26">
        <v>11451728</v>
      </c>
      <c r="F14" s="26">
        <v>18810451</v>
      </c>
      <c r="G14" s="26">
        <v>8332747</v>
      </c>
      <c r="H14" s="26">
        <f>333643+5221715</f>
        <v>5555358</v>
      </c>
      <c r="I14" s="26">
        <f>3281330+1858685+2215457</f>
        <v>7355472</v>
      </c>
      <c r="J14" s="26">
        <v>10493598</v>
      </c>
      <c r="K14" s="26">
        <f t="shared" si="0"/>
        <v>61999354</v>
      </c>
      <c r="L14" s="26">
        <f t="shared" si="1"/>
        <v>66185594</v>
      </c>
      <c r="M14" s="26">
        <v>1016176</v>
      </c>
      <c r="N14" s="26">
        <v>100000</v>
      </c>
      <c r="O14" s="21"/>
      <c r="P14" s="21">
        <f t="shared" si="2"/>
        <v>0</v>
      </c>
    </row>
    <row r="15" spans="1:16" ht="12.75">
      <c r="A15" s="1" t="s">
        <v>28</v>
      </c>
      <c r="B15" s="29">
        <v>8137</v>
      </c>
      <c r="C15" s="26">
        <v>1829473</v>
      </c>
      <c r="D15" s="26">
        <v>302241</v>
      </c>
      <c r="E15" s="26">
        <v>5707241</v>
      </c>
      <c r="F15" s="26">
        <v>1616500</v>
      </c>
      <c r="G15" s="26">
        <v>2313793</v>
      </c>
      <c r="H15" s="26">
        <f>331500+939329</f>
        <v>1270829</v>
      </c>
      <c r="I15" s="26">
        <f>1715334+647038+753094</f>
        <v>3115466</v>
      </c>
      <c r="J15" s="26">
        <v>4072865</v>
      </c>
      <c r="K15" s="26">
        <f t="shared" si="0"/>
        <v>18096694</v>
      </c>
      <c r="L15" s="26">
        <f t="shared" si="1"/>
        <v>20228408</v>
      </c>
      <c r="M15" s="26">
        <v>12241</v>
      </c>
      <c r="N15" s="26">
        <v>290000</v>
      </c>
      <c r="O15" s="21"/>
      <c r="P15" s="21">
        <f t="shared" si="2"/>
        <v>0</v>
      </c>
    </row>
    <row r="16" spans="1:18" ht="12.75">
      <c r="A16" s="1" t="s">
        <v>29</v>
      </c>
      <c r="B16" s="30">
        <v>22199</v>
      </c>
      <c r="C16" s="26">
        <v>2449666</v>
      </c>
      <c r="D16" s="26">
        <v>4235416</v>
      </c>
      <c r="E16" s="26">
        <v>8207806</v>
      </c>
      <c r="F16" s="26">
        <v>7427694</v>
      </c>
      <c r="G16" s="26">
        <v>2659294</v>
      </c>
      <c r="H16" s="26">
        <f>612115+2381499</f>
        <v>2993614</v>
      </c>
      <c r="I16" s="26">
        <f>3114943+1567741+1108151</f>
        <v>5790835</v>
      </c>
      <c r="J16" s="26">
        <v>7961878</v>
      </c>
      <c r="K16" s="26">
        <f t="shared" si="0"/>
        <v>35041121</v>
      </c>
      <c r="L16" s="26">
        <f t="shared" si="1"/>
        <v>41726203</v>
      </c>
      <c r="M16" s="26">
        <v>823716</v>
      </c>
      <c r="N16" s="26">
        <v>3386700</v>
      </c>
      <c r="O16" s="21">
        <v>25000</v>
      </c>
      <c r="P16" s="21">
        <f t="shared" si="2"/>
        <v>0</v>
      </c>
      <c r="R16" t="s">
        <v>87</v>
      </c>
    </row>
    <row r="17" spans="1:16" ht="12.75">
      <c r="A17" s="1" t="s">
        <v>32</v>
      </c>
      <c r="B17" s="29">
        <v>15005</v>
      </c>
      <c r="C17" s="26">
        <v>2469611</v>
      </c>
      <c r="D17" s="26">
        <v>2156582</v>
      </c>
      <c r="E17" s="26">
        <v>4932320</v>
      </c>
      <c r="F17" s="26">
        <v>11993324</v>
      </c>
      <c r="G17" s="26">
        <v>3556801</v>
      </c>
      <c r="H17" s="26">
        <f>250713+1927413</f>
        <v>2178126</v>
      </c>
      <c r="I17" s="26">
        <f>708527+357253+365945</f>
        <v>1431725</v>
      </c>
      <c r="J17" s="26">
        <v>4855724</v>
      </c>
      <c r="K17" s="26">
        <f t="shared" si="0"/>
        <v>28948020</v>
      </c>
      <c r="L17" s="26">
        <f t="shared" si="1"/>
        <v>33574213</v>
      </c>
      <c r="M17" s="26">
        <v>2156582</v>
      </c>
      <c r="N17" s="26">
        <v>0</v>
      </c>
      <c r="O17" s="21"/>
      <c r="P17" s="21">
        <f t="shared" si="2"/>
        <v>0</v>
      </c>
    </row>
    <row r="18" spans="1:16" ht="12.75">
      <c r="A18" s="1" t="s">
        <v>30</v>
      </c>
      <c r="B18" s="29">
        <v>7352</v>
      </c>
      <c r="C18" s="26">
        <v>2595678</v>
      </c>
      <c r="D18" s="26">
        <v>1763923</v>
      </c>
      <c r="E18" s="26">
        <v>4472445</v>
      </c>
      <c r="F18" s="26">
        <v>5456412</v>
      </c>
      <c r="G18" s="26">
        <v>3380517</v>
      </c>
      <c r="H18" s="26">
        <f>193239+1053581</f>
        <v>1246820</v>
      </c>
      <c r="I18" s="26">
        <f>1539455+535216+574392</f>
        <v>2649063</v>
      </c>
      <c r="J18" s="26">
        <v>3411100</v>
      </c>
      <c r="K18" s="26">
        <f t="shared" si="0"/>
        <v>20616357</v>
      </c>
      <c r="L18" s="26">
        <f t="shared" si="1"/>
        <v>24975958</v>
      </c>
      <c r="M18" s="26">
        <v>402235</v>
      </c>
      <c r="N18" s="26">
        <v>1361688</v>
      </c>
      <c r="O18" s="21"/>
      <c r="P18" s="21">
        <f t="shared" si="2"/>
        <v>0</v>
      </c>
    </row>
    <row r="19" spans="1:16" ht="12.75">
      <c r="A19" s="1" t="s">
        <v>33</v>
      </c>
      <c r="B19" s="29">
        <v>23798</v>
      </c>
      <c r="C19" s="26">
        <v>3758626</v>
      </c>
      <c r="D19" s="26">
        <v>285740</v>
      </c>
      <c r="E19" s="26">
        <v>10191366</v>
      </c>
      <c r="F19" s="26">
        <v>14253507</v>
      </c>
      <c r="G19" s="26">
        <v>3177782</v>
      </c>
      <c r="H19" s="26">
        <v>3072833</v>
      </c>
      <c r="I19" s="26">
        <f>2800146+1475584+597825</f>
        <v>4873555</v>
      </c>
      <c r="J19" s="26">
        <v>4679514</v>
      </c>
      <c r="K19" s="26">
        <f t="shared" si="0"/>
        <v>40248557</v>
      </c>
      <c r="L19" s="26">
        <f t="shared" si="1"/>
        <v>44292923</v>
      </c>
      <c r="M19" s="26">
        <v>285740</v>
      </c>
      <c r="N19" s="26">
        <v>0</v>
      </c>
      <c r="O19" s="21"/>
      <c r="P19" s="21">
        <f t="shared" si="2"/>
        <v>0</v>
      </c>
    </row>
    <row r="20" spans="1:16" ht="12.75">
      <c r="A20" s="1" t="s">
        <v>31</v>
      </c>
      <c r="B20" s="29">
        <v>15296</v>
      </c>
      <c r="C20" s="26">
        <v>3057995</v>
      </c>
      <c r="D20" s="26">
        <v>1675478</v>
      </c>
      <c r="E20" s="26">
        <v>6176938</v>
      </c>
      <c r="F20" s="26">
        <v>8016364</v>
      </c>
      <c r="G20" s="26">
        <v>1349601</v>
      </c>
      <c r="H20" s="26">
        <f>673075+3233434</f>
        <v>3906509</v>
      </c>
      <c r="I20" s="26">
        <f>7910715+1774176+2422469</f>
        <v>12107360</v>
      </c>
      <c r="J20" s="26">
        <v>19793759</v>
      </c>
      <c r="K20" s="26">
        <f t="shared" si="0"/>
        <v>51350531</v>
      </c>
      <c r="L20" s="26">
        <f t="shared" si="1"/>
        <v>56084004</v>
      </c>
      <c r="M20" s="26">
        <v>155453</v>
      </c>
      <c r="N20" s="26">
        <v>0</v>
      </c>
      <c r="O20" s="21">
        <v>1520025</v>
      </c>
      <c r="P20" s="21">
        <f t="shared" si="2"/>
        <v>0</v>
      </c>
    </row>
    <row r="21" spans="1:16" ht="12.75">
      <c r="A21" s="1" t="s">
        <v>5</v>
      </c>
      <c r="B21" s="29">
        <v>76040</v>
      </c>
      <c r="C21" s="26">
        <v>5082690</v>
      </c>
      <c r="D21" s="26">
        <v>3537769</v>
      </c>
      <c r="E21" s="26">
        <v>7184751</v>
      </c>
      <c r="F21" s="26">
        <v>42945016</v>
      </c>
      <c r="G21" s="26">
        <v>21065936</v>
      </c>
      <c r="H21" s="26">
        <f>651883+1471958</f>
        <v>2123841</v>
      </c>
      <c r="I21" s="26">
        <f>5595378+1054754+2915678</f>
        <v>9565810</v>
      </c>
      <c r="J21" s="26">
        <v>20622011</v>
      </c>
      <c r="K21" s="26">
        <f t="shared" si="0"/>
        <v>103507365</v>
      </c>
      <c r="L21" s="26">
        <f t="shared" si="1"/>
        <v>112127824</v>
      </c>
      <c r="M21" s="26">
        <v>2337769</v>
      </c>
      <c r="N21" s="26">
        <v>1200000</v>
      </c>
      <c r="O21" s="21"/>
      <c r="P21" s="21">
        <f t="shared" si="2"/>
        <v>0</v>
      </c>
    </row>
    <row r="22" spans="1:16" ht="12.75">
      <c r="A22" s="1" t="s">
        <v>34</v>
      </c>
      <c r="B22" s="29">
        <v>33783</v>
      </c>
      <c r="C22" s="26">
        <v>4817917</v>
      </c>
      <c r="D22" s="26">
        <v>2057297</v>
      </c>
      <c r="E22" s="26">
        <v>7132498</v>
      </c>
      <c r="F22" s="26">
        <v>25491552</v>
      </c>
      <c r="G22" s="26">
        <v>8512655</v>
      </c>
      <c r="H22" s="26">
        <f>39182+2566178</f>
        <v>2605360</v>
      </c>
      <c r="I22" s="26">
        <f>2844458+1174784+4725202</f>
        <v>8744444</v>
      </c>
      <c r="J22" s="26">
        <v>7135311</v>
      </c>
      <c r="K22" s="26">
        <f t="shared" si="0"/>
        <v>59621820</v>
      </c>
      <c r="L22" s="26">
        <f t="shared" si="1"/>
        <v>66497034</v>
      </c>
      <c r="M22" s="26">
        <v>1705297</v>
      </c>
      <c r="N22" s="26">
        <v>352000</v>
      </c>
      <c r="O22" s="21"/>
      <c r="P22" s="21">
        <f t="shared" si="2"/>
        <v>0</v>
      </c>
    </row>
    <row r="23" spans="1:16" ht="12.75">
      <c r="A23" s="1" t="s">
        <v>0</v>
      </c>
      <c r="B23" s="29">
        <v>201583</v>
      </c>
      <c r="C23" s="26">
        <v>19686115</v>
      </c>
      <c r="D23" s="26">
        <v>8841892</v>
      </c>
      <c r="E23" s="26">
        <v>17294989</v>
      </c>
      <c r="F23" s="26">
        <v>145657747</v>
      </c>
      <c r="G23" s="26">
        <v>91723</v>
      </c>
      <c r="H23" s="26">
        <f>4678523+14082504</f>
        <v>18761027</v>
      </c>
      <c r="I23" s="26">
        <f>17652650+5799021+23112106</f>
        <v>46563777</v>
      </c>
      <c r="J23" s="26">
        <v>45092938</v>
      </c>
      <c r="K23" s="26">
        <f t="shared" si="0"/>
        <v>273462201</v>
      </c>
      <c r="L23" s="26">
        <f t="shared" si="1"/>
        <v>301990208</v>
      </c>
      <c r="M23" s="26">
        <v>3457535</v>
      </c>
      <c r="N23" s="26">
        <v>0</v>
      </c>
      <c r="O23" s="26">
        <f>5309357+75000</f>
        <v>5384357</v>
      </c>
      <c r="P23" s="21">
        <f t="shared" si="2"/>
        <v>0</v>
      </c>
    </row>
    <row r="24" spans="1:16" ht="12.75">
      <c r="A24" s="1" t="s">
        <v>35</v>
      </c>
      <c r="B24" s="29">
        <v>23134</v>
      </c>
      <c r="C24" s="26">
        <v>2242555</v>
      </c>
      <c r="D24" s="26">
        <v>3415000</v>
      </c>
      <c r="E24" s="26">
        <v>5307293</v>
      </c>
      <c r="F24" s="26">
        <v>13380239</v>
      </c>
      <c r="G24" s="26">
        <v>3875087</v>
      </c>
      <c r="H24" s="26">
        <f>642114+6029062</f>
        <v>6671176</v>
      </c>
      <c r="I24" s="26">
        <f>4447335+1490755+3268794</f>
        <v>9206884</v>
      </c>
      <c r="J24" s="26">
        <v>8119691</v>
      </c>
      <c r="K24" s="26">
        <f t="shared" si="0"/>
        <v>46560370</v>
      </c>
      <c r="L24" s="26">
        <f t="shared" si="1"/>
        <v>52217925</v>
      </c>
      <c r="M24" s="26">
        <v>275000</v>
      </c>
      <c r="N24" s="26">
        <v>3140000</v>
      </c>
      <c r="O24" s="21">
        <v>0</v>
      </c>
      <c r="P24" s="21">
        <f t="shared" si="2"/>
        <v>0</v>
      </c>
    </row>
    <row r="25" spans="1:16" ht="12.75">
      <c r="A25" s="1" t="s">
        <v>36</v>
      </c>
      <c r="B25" s="29">
        <v>77834</v>
      </c>
      <c r="C25" s="26">
        <v>5932000</v>
      </c>
      <c r="D25" s="26">
        <v>2200294</v>
      </c>
      <c r="E25" s="26">
        <v>7283285</v>
      </c>
      <c r="F25" s="26">
        <v>25639991</v>
      </c>
      <c r="G25" s="26">
        <v>3134475</v>
      </c>
      <c r="H25" s="26">
        <f>883820+6846721</f>
        <v>7730541</v>
      </c>
      <c r="I25" s="26">
        <f>13987897+1866287+5778580</f>
        <v>21632764</v>
      </c>
      <c r="J25" s="26">
        <v>29892674</v>
      </c>
      <c r="K25" s="26">
        <f t="shared" si="0"/>
        <v>95313730</v>
      </c>
      <c r="L25" s="26">
        <f t="shared" si="1"/>
        <v>103446024</v>
      </c>
      <c r="M25" s="26">
        <v>1750294</v>
      </c>
      <c r="N25" s="26">
        <v>450000</v>
      </c>
      <c r="O25" s="21"/>
      <c r="P25" s="21">
        <f t="shared" si="2"/>
        <v>0</v>
      </c>
    </row>
    <row r="26" spans="1:16" ht="12.75">
      <c r="A26" s="1" t="s">
        <v>37</v>
      </c>
      <c r="B26" s="29">
        <v>36200</v>
      </c>
      <c r="C26" s="26">
        <v>2921710</v>
      </c>
      <c r="D26" s="26">
        <v>3763100</v>
      </c>
      <c r="E26" s="26">
        <v>8991888</v>
      </c>
      <c r="F26" s="26">
        <v>30906572</v>
      </c>
      <c r="G26" s="26">
        <v>4422520</v>
      </c>
      <c r="H26" s="26">
        <f>1248125+3454006</f>
        <v>4702131</v>
      </c>
      <c r="I26" s="26">
        <f>13463124+2625588+927516</f>
        <v>17016228</v>
      </c>
      <c r="J26" s="26">
        <f>22305848+1666581</f>
        <v>23972429</v>
      </c>
      <c r="K26" s="26">
        <f t="shared" si="0"/>
        <v>90011768</v>
      </c>
      <c r="L26" s="26">
        <f t="shared" si="1"/>
        <v>96696578</v>
      </c>
      <c r="M26" s="26">
        <v>2263100</v>
      </c>
      <c r="N26" s="26">
        <v>1500000</v>
      </c>
      <c r="O26" s="21"/>
      <c r="P26" s="21">
        <f t="shared" si="2"/>
        <v>0</v>
      </c>
    </row>
    <row r="27" spans="1:16" ht="12.75">
      <c r="A27" s="1" t="s">
        <v>38</v>
      </c>
      <c r="B27" s="29">
        <v>62682</v>
      </c>
      <c r="C27" s="26">
        <v>5025732</v>
      </c>
      <c r="D27" s="26">
        <v>2139017</v>
      </c>
      <c r="E27" s="26">
        <v>17284101</v>
      </c>
      <c r="F27" s="26">
        <v>61638863</v>
      </c>
      <c r="G27" s="26">
        <v>2284478</v>
      </c>
      <c r="H27" s="26">
        <v>4246037</v>
      </c>
      <c r="I27" s="26">
        <f>10632791+1445763+2650140</f>
        <v>14728694</v>
      </c>
      <c r="J27" s="26">
        <f>7363577+32074</f>
        <v>7395651</v>
      </c>
      <c r="K27" s="26">
        <f t="shared" si="0"/>
        <v>107577824</v>
      </c>
      <c r="L27" s="26">
        <f t="shared" si="1"/>
        <v>114742573</v>
      </c>
      <c r="M27" s="26">
        <v>1370618</v>
      </c>
      <c r="N27" s="26">
        <v>768399</v>
      </c>
      <c r="O27" s="21"/>
      <c r="P27" s="21">
        <f t="shared" si="2"/>
        <v>0</v>
      </c>
    </row>
    <row r="28" spans="1:16" ht="12.75">
      <c r="A28" s="1" t="s">
        <v>39</v>
      </c>
      <c r="B28" s="29">
        <v>33740</v>
      </c>
      <c r="C28" s="26">
        <v>2279429</v>
      </c>
      <c r="D28" s="26">
        <v>918583</v>
      </c>
      <c r="E28" s="26">
        <v>11710470</v>
      </c>
      <c r="F28" s="26">
        <v>19794443</v>
      </c>
      <c r="G28" s="26">
        <v>2116558</v>
      </c>
      <c r="H28" s="26">
        <f>691690+2755807</f>
        <v>3447497</v>
      </c>
      <c r="I28" s="26">
        <f>4056287+823363+856375</f>
        <v>5736025</v>
      </c>
      <c r="J28" s="26">
        <v>7285667</v>
      </c>
      <c r="K28" s="26">
        <f t="shared" si="0"/>
        <v>50090660</v>
      </c>
      <c r="L28" s="26">
        <f t="shared" si="1"/>
        <v>53288672</v>
      </c>
      <c r="M28" s="26">
        <v>668583</v>
      </c>
      <c r="N28" s="26">
        <v>250000</v>
      </c>
      <c r="O28" s="21"/>
      <c r="P28" s="21">
        <f t="shared" si="2"/>
        <v>0</v>
      </c>
    </row>
    <row r="29" spans="1:16" ht="12.75">
      <c r="A29" s="1" t="s">
        <v>9</v>
      </c>
      <c r="B29" s="29">
        <v>20262</v>
      </c>
      <c r="C29" s="26">
        <v>6043690</v>
      </c>
      <c r="D29" s="26">
        <v>155950</v>
      </c>
      <c r="E29" s="26">
        <v>6350276</v>
      </c>
      <c r="F29" s="26">
        <v>11731801</v>
      </c>
      <c r="G29" s="26">
        <v>3673773</v>
      </c>
      <c r="H29" s="26">
        <f>371853+2732815</f>
        <v>3104668</v>
      </c>
      <c r="I29" s="26">
        <f>4265091+1026330+1163938</f>
        <v>6455359</v>
      </c>
      <c r="J29" s="26">
        <f>4848731+73127</f>
        <v>4921858</v>
      </c>
      <c r="K29" s="26">
        <f t="shared" si="0"/>
        <v>36237735</v>
      </c>
      <c r="L29" s="26">
        <f t="shared" si="1"/>
        <v>42437375</v>
      </c>
      <c r="M29" s="26">
        <v>155950</v>
      </c>
      <c r="N29" s="26">
        <v>0</v>
      </c>
      <c r="O29" s="21"/>
      <c r="P29" s="21">
        <f t="shared" si="2"/>
        <v>0</v>
      </c>
    </row>
    <row r="30" spans="1:16" ht="12.75">
      <c r="A30" s="1" t="s">
        <v>40</v>
      </c>
      <c r="B30" s="29">
        <v>8811</v>
      </c>
      <c r="C30" s="26">
        <v>2884689</v>
      </c>
      <c r="D30" s="26">
        <v>480454</v>
      </c>
      <c r="E30" s="26">
        <v>5275864</v>
      </c>
      <c r="F30" s="26">
        <v>3016211</v>
      </c>
      <c r="G30" s="26">
        <v>3646471</v>
      </c>
      <c r="H30" s="26">
        <f>46280+1022585</f>
        <v>1068865</v>
      </c>
      <c r="I30" s="26">
        <f>776539+616614+459628</f>
        <v>1852781</v>
      </c>
      <c r="J30" s="26">
        <v>2631892</v>
      </c>
      <c r="K30" s="26">
        <f t="shared" si="0"/>
        <v>17492084</v>
      </c>
      <c r="L30" s="26">
        <f t="shared" si="1"/>
        <v>20857227</v>
      </c>
      <c r="M30" s="26">
        <v>105454</v>
      </c>
      <c r="N30" s="26">
        <v>375000</v>
      </c>
      <c r="O30" s="21"/>
      <c r="P30" s="21">
        <f t="shared" si="2"/>
        <v>0</v>
      </c>
    </row>
    <row r="31" spans="1:16" ht="12.75">
      <c r="A31" s="1" t="s">
        <v>41</v>
      </c>
      <c r="B31" s="29">
        <v>54527</v>
      </c>
      <c r="C31" s="26">
        <v>8611600</v>
      </c>
      <c r="D31" s="26">
        <v>656000</v>
      </c>
      <c r="E31" s="26">
        <v>12299289</v>
      </c>
      <c r="F31" s="26">
        <v>18119194</v>
      </c>
      <c r="G31" s="26">
        <v>3353712</v>
      </c>
      <c r="H31" s="26">
        <v>4585101</v>
      </c>
      <c r="I31" s="26">
        <f>215062+944270+2122593</f>
        <v>3281925</v>
      </c>
      <c r="J31" s="26">
        <v>2883648</v>
      </c>
      <c r="K31" s="26">
        <f t="shared" si="0"/>
        <v>44522869</v>
      </c>
      <c r="L31" s="26">
        <f t="shared" si="1"/>
        <v>53790469</v>
      </c>
      <c r="M31" s="26">
        <v>56000</v>
      </c>
      <c r="N31" s="26">
        <v>600000</v>
      </c>
      <c r="O31" s="21"/>
      <c r="P31" s="21">
        <f t="shared" si="2"/>
        <v>0</v>
      </c>
    </row>
    <row r="32" spans="1:16" ht="12.75">
      <c r="A32" s="1" t="s">
        <v>75</v>
      </c>
      <c r="B32" s="29">
        <v>33808</v>
      </c>
      <c r="C32" s="26">
        <v>4238898</v>
      </c>
      <c r="D32" s="26">
        <v>1646750</v>
      </c>
      <c r="E32" s="26">
        <v>9670106</v>
      </c>
      <c r="F32" s="26">
        <v>21033302</v>
      </c>
      <c r="G32" s="26">
        <v>1758899</v>
      </c>
      <c r="H32" s="26">
        <f>112379+2639649</f>
        <v>2752028</v>
      </c>
      <c r="I32" s="26">
        <f>2602624+1770435+790322</f>
        <v>5163381</v>
      </c>
      <c r="J32" s="26">
        <v>10496082</v>
      </c>
      <c r="K32" s="26">
        <f t="shared" si="0"/>
        <v>50873798</v>
      </c>
      <c r="L32" s="26">
        <f t="shared" si="1"/>
        <v>56759446</v>
      </c>
      <c r="M32" s="26">
        <v>1048750</v>
      </c>
      <c r="N32" s="26">
        <v>598000</v>
      </c>
      <c r="O32" s="21">
        <v>0</v>
      </c>
      <c r="P32" s="21">
        <f t="shared" si="2"/>
        <v>0</v>
      </c>
    </row>
    <row r="33" spans="1:16" ht="12.75">
      <c r="A33" s="1" t="s">
        <v>7</v>
      </c>
      <c r="B33" s="29">
        <v>40305</v>
      </c>
      <c r="C33" s="26">
        <v>4988436</v>
      </c>
      <c r="D33" s="26">
        <v>1341659</v>
      </c>
      <c r="E33" s="26">
        <v>5673492</v>
      </c>
      <c r="F33" s="26">
        <v>54745900</v>
      </c>
      <c r="G33" s="26">
        <v>2360902</v>
      </c>
      <c r="H33" s="26">
        <f>334673+1788656</f>
        <v>2123329</v>
      </c>
      <c r="I33" s="26">
        <f>5315976+1474887+3252950</f>
        <v>10043813</v>
      </c>
      <c r="J33" s="26">
        <v>8531765</v>
      </c>
      <c r="K33" s="26">
        <f t="shared" si="0"/>
        <v>83479201</v>
      </c>
      <c r="L33" s="26">
        <f t="shared" si="1"/>
        <v>89809296</v>
      </c>
      <c r="M33" s="26">
        <v>1291659</v>
      </c>
      <c r="N33" s="26">
        <v>50000</v>
      </c>
      <c r="O33" s="21"/>
      <c r="P33" s="21">
        <f t="shared" si="2"/>
        <v>0</v>
      </c>
    </row>
    <row r="34" spans="1:16" ht="12.75">
      <c r="A34" s="1" t="s">
        <v>42</v>
      </c>
      <c r="B34" s="29">
        <v>30946</v>
      </c>
      <c r="C34" s="26">
        <v>7068863</v>
      </c>
      <c r="D34" s="26">
        <v>2210398</v>
      </c>
      <c r="E34" s="26">
        <v>15227782</v>
      </c>
      <c r="F34" s="26">
        <v>19703419</v>
      </c>
      <c r="G34" s="26">
        <v>3994047</v>
      </c>
      <c r="H34" s="26">
        <f>642700+3520647</f>
        <v>4163347</v>
      </c>
      <c r="I34" s="26">
        <f>3650010+3316789+4270684</f>
        <v>11237483</v>
      </c>
      <c r="J34" s="26">
        <v>22686215</v>
      </c>
      <c r="K34" s="26">
        <f t="shared" si="0"/>
        <v>77012293</v>
      </c>
      <c r="L34" s="26">
        <f t="shared" si="1"/>
        <v>86291554</v>
      </c>
      <c r="M34" s="26">
        <v>810398</v>
      </c>
      <c r="N34" s="26">
        <v>1400000</v>
      </c>
      <c r="O34" s="21"/>
      <c r="P34" s="21">
        <f t="shared" si="2"/>
        <v>0</v>
      </c>
    </row>
    <row r="35" spans="1:16" ht="12.75">
      <c r="A35" s="1" t="s">
        <v>44</v>
      </c>
      <c r="B35" s="29">
        <v>15314</v>
      </c>
      <c r="C35" s="26">
        <v>4543452</v>
      </c>
      <c r="D35" s="26">
        <v>1863693</v>
      </c>
      <c r="E35" s="26">
        <v>8592173</v>
      </c>
      <c r="F35" s="26">
        <v>15459782</v>
      </c>
      <c r="G35" s="26">
        <v>3807124</v>
      </c>
      <c r="H35" s="26">
        <f>306060+2215971</f>
        <v>2522031</v>
      </c>
      <c r="I35" s="26">
        <f>3457861+602789+2195754</f>
        <v>6256404</v>
      </c>
      <c r="J35" s="26">
        <v>7128809</v>
      </c>
      <c r="K35" s="26">
        <f t="shared" si="0"/>
        <v>43766323</v>
      </c>
      <c r="L35" s="26">
        <f t="shared" si="1"/>
        <v>50173468</v>
      </c>
      <c r="M35" s="26">
        <v>433693</v>
      </c>
      <c r="N35" s="26">
        <v>0</v>
      </c>
      <c r="O35" s="21">
        <v>1430000</v>
      </c>
      <c r="P35" s="21">
        <f t="shared" si="2"/>
        <v>0</v>
      </c>
    </row>
    <row r="36" spans="1:16" ht="12.75">
      <c r="A36" s="1" t="s">
        <v>1</v>
      </c>
      <c r="B36" s="29">
        <v>161074</v>
      </c>
      <c r="C36" s="26">
        <v>29964108</v>
      </c>
      <c r="D36" s="26">
        <v>6990525</v>
      </c>
      <c r="E36" s="26">
        <v>30983388</v>
      </c>
      <c r="F36" s="26">
        <v>127951196</v>
      </c>
      <c r="G36" s="26">
        <v>6802371</v>
      </c>
      <c r="H36" s="26">
        <f>1826949+8767755</f>
        <v>10594704</v>
      </c>
      <c r="I36" s="26">
        <f>8374441+5737360+5955820</f>
        <v>20067621</v>
      </c>
      <c r="J36" s="26">
        <v>62075577</v>
      </c>
      <c r="K36" s="26">
        <f t="shared" si="0"/>
        <v>258474857</v>
      </c>
      <c r="L36" s="26">
        <f t="shared" si="1"/>
        <v>295429490</v>
      </c>
      <c r="M36" s="26">
        <v>5990525</v>
      </c>
      <c r="N36" s="26">
        <v>1000000</v>
      </c>
      <c r="O36" s="21"/>
      <c r="P36" s="21">
        <f t="shared" si="2"/>
        <v>0</v>
      </c>
    </row>
    <row r="37" spans="1:16" ht="12.75">
      <c r="A37" s="1" t="s">
        <v>2</v>
      </c>
      <c r="B37" s="29">
        <v>86164</v>
      </c>
      <c r="C37" s="26">
        <v>11558448</v>
      </c>
      <c r="D37" s="26">
        <v>3201000</v>
      </c>
      <c r="E37" s="26">
        <v>29661705</v>
      </c>
      <c r="F37" s="26">
        <v>83686585</v>
      </c>
      <c r="G37" s="26">
        <v>701583</v>
      </c>
      <c r="H37" s="26">
        <f>868000+6465017</f>
        <v>7333017</v>
      </c>
      <c r="I37" s="26">
        <f>10500003+2881192+3798832</f>
        <v>17180027</v>
      </c>
      <c r="J37" s="26">
        <f>6716658+221492</f>
        <v>6938150</v>
      </c>
      <c r="K37" s="26">
        <f t="shared" si="0"/>
        <v>145501067</v>
      </c>
      <c r="L37" s="26">
        <f t="shared" si="1"/>
        <v>160260515</v>
      </c>
      <c r="M37" s="26">
        <v>566000</v>
      </c>
      <c r="N37" s="26">
        <v>2635000</v>
      </c>
      <c r="O37" s="21"/>
      <c r="P37" s="21">
        <f t="shared" si="2"/>
        <v>0</v>
      </c>
    </row>
    <row r="38" spans="1:16" ht="12.75">
      <c r="A38" s="1" t="s">
        <v>10</v>
      </c>
      <c r="B38" s="30">
        <v>9574</v>
      </c>
      <c r="C38" s="26">
        <v>2465377</v>
      </c>
      <c r="D38" s="26">
        <v>1086316</v>
      </c>
      <c r="E38" s="26">
        <v>5541555</v>
      </c>
      <c r="F38" s="26">
        <v>13981761</v>
      </c>
      <c r="G38" s="26">
        <v>1064776</v>
      </c>
      <c r="H38" s="26">
        <f>115868+2150504</f>
        <v>2266372</v>
      </c>
      <c r="I38" s="26">
        <f>243802+922732+94805</f>
        <v>1261339</v>
      </c>
      <c r="J38" s="26">
        <f>1977525+234682</f>
        <v>2212207</v>
      </c>
      <c r="K38" s="26">
        <f t="shared" si="0"/>
        <v>26328010</v>
      </c>
      <c r="L38" s="26">
        <f t="shared" si="1"/>
        <v>29879703</v>
      </c>
      <c r="M38" s="26">
        <v>586316</v>
      </c>
      <c r="N38" s="26">
        <v>500000</v>
      </c>
      <c r="O38" s="21"/>
      <c r="P38" s="21">
        <f t="shared" si="2"/>
        <v>0</v>
      </c>
    </row>
    <row r="39" spans="1:16" ht="12.75">
      <c r="A39" s="1" t="s">
        <v>43</v>
      </c>
      <c r="B39" s="29">
        <v>12613</v>
      </c>
      <c r="C39" s="26">
        <v>3341844</v>
      </c>
      <c r="D39" s="26">
        <v>623612</v>
      </c>
      <c r="E39" s="26">
        <v>4958185</v>
      </c>
      <c r="F39" s="26">
        <v>9510345</v>
      </c>
      <c r="G39" s="26">
        <v>1971376</v>
      </c>
      <c r="H39" s="26">
        <f>260010+2607286</f>
        <v>2867296</v>
      </c>
      <c r="I39" s="26">
        <f>3874692+1477074+945848</f>
        <v>6297614</v>
      </c>
      <c r="J39" s="26">
        <f>6325889+36222</f>
        <v>6362111</v>
      </c>
      <c r="K39" s="26">
        <f t="shared" si="0"/>
        <v>31966927</v>
      </c>
      <c r="L39" s="26">
        <f t="shared" si="1"/>
        <v>35932383</v>
      </c>
      <c r="M39" s="26">
        <v>17500</v>
      </c>
      <c r="N39" s="26">
        <v>606112</v>
      </c>
      <c r="O39" s="21"/>
      <c r="P39" s="21">
        <f t="shared" si="2"/>
        <v>0</v>
      </c>
    </row>
    <row r="40" spans="1:16" ht="12.75">
      <c r="A40" s="1" t="s">
        <v>8</v>
      </c>
      <c r="B40" s="29">
        <v>21948</v>
      </c>
      <c r="C40" s="26">
        <v>2336036</v>
      </c>
      <c r="D40" s="26">
        <v>994792</v>
      </c>
      <c r="E40" s="26">
        <v>13085329</v>
      </c>
      <c r="F40" s="26">
        <v>9528469</v>
      </c>
      <c r="G40" s="26">
        <v>1124128</v>
      </c>
      <c r="H40" s="26">
        <f>469968+2076672</f>
        <v>2546640</v>
      </c>
      <c r="I40" s="26">
        <f>3845122+1238383+1266714</f>
        <v>6350219</v>
      </c>
      <c r="J40" s="26">
        <v>11949723</v>
      </c>
      <c r="K40" s="26">
        <f t="shared" si="0"/>
        <v>44584508</v>
      </c>
      <c r="L40" s="26">
        <f t="shared" si="1"/>
        <v>47915336</v>
      </c>
      <c r="M40" s="26">
        <v>0</v>
      </c>
      <c r="N40" s="26">
        <v>0</v>
      </c>
      <c r="O40" s="21"/>
      <c r="P40" s="21">
        <f t="shared" si="2"/>
        <v>-994792</v>
      </c>
    </row>
    <row r="41" spans="1:16" ht="12.75">
      <c r="A41" s="1" t="s">
        <v>45</v>
      </c>
      <c r="B41" s="29">
        <v>39548</v>
      </c>
      <c r="C41" s="26">
        <v>5701243</v>
      </c>
      <c r="D41" s="26">
        <v>1669043</v>
      </c>
      <c r="E41" s="26">
        <v>11182780</v>
      </c>
      <c r="F41" s="26">
        <v>19006010</v>
      </c>
      <c r="G41" s="26">
        <v>2372323</v>
      </c>
      <c r="H41" s="26">
        <v>2575572</v>
      </c>
      <c r="I41" s="26">
        <f>5752079+925694+1582510</f>
        <v>8260283</v>
      </c>
      <c r="J41" s="26">
        <v>7339188</v>
      </c>
      <c r="K41" s="26">
        <f t="shared" si="0"/>
        <v>50736156</v>
      </c>
      <c r="L41" s="26">
        <f t="shared" si="1"/>
        <v>58106442</v>
      </c>
      <c r="M41" s="26">
        <v>854043</v>
      </c>
      <c r="N41" s="26">
        <v>815000</v>
      </c>
      <c r="O41" s="21"/>
      <c r="P41" s="21">
        <f t="shared" si="2"/>
        <v>0</v>
      </c>
    </row>
    <row r="42" spans="1:16" ht="12.75">
      <c r="A42" s="1" t="s">
        <v>4</v>
      </c>
      <c r="B42" s="30">
        <v>107425</v>
      </c>
      <c r="C42" s="26">
        <v>9071681</v>
      </c>
      <c r="D42" s="26">
        <v>3259941</v>
      </c>
      <c r="E42" s="26">
        <v>11358146</v>
      </c>
      <c r="F42" s="26">
        <v>38057862</v>
      </c>
      <c r="G42" s="26">
        <v>1275703</v>
      </c>
      <c r="H42" s="26">
        <v>3569283</v>
      </c>
      <c r="I42" s="26">
        <f>23347564+4592958+15200286</f>
        <v>43140808</v>
      </c>
      <c r="J42" s="26">
        <v>25713095</v>
      </c>
      <c r="K42" s="26">
        <f t="shared" si="0"/>
        <v>123114897</v>
      </c>
      <c r="L42" s="26">
        <f t="shared" si="1"/>
        <v>135446519</v>
      </c>
      <c r="M42" s="26">
        <v>2788627</v>
      </c>
      <c r="N42" s="26">
        <v>471314</v>
      </c>
      <c r="O42" s="26"/>
      <c r="P42" s="21">
        <f t="shared" si="2"/>
        <v>0</v>
      </c>
    </row>
    <row r="43" spans="2:16" ht="12.75">
      <c r="B43" s="29" t="s">
        <v>87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20" t="s">
        <v>87</v>
      </c>
    </row>
    <row r="44" spans="1:16" ht="12.75">
      <c r="A44" t="s">
        <v>87</v>
      </c>
      <c r="B44" s="21">
        <f aca="true" t="shared" si="3" ref="B44:O44">SUM(B6:B43)</f>
        <v>1634783</v>
      </c>
      <c r="C44" s="25">
        <f t="shared" si="3"/>
        <v>197982531</v>
      </c>
      <c r="D44" s="25">
        <f t="shared" si="3"/>
        <v>80716055</v>
      </c>
      <c r="E44" s="25">
        <f t="shared" si="3"/>
        <v>374570415</v>
      </c>
      <c r="F44" s="25">
        <f t="shared" si="3"/>
        <v>1018547101</v>
      </c>
      <c r="G44" s="25">
        <f t="shared" si="3"/>
        <v>135791661</v>
      </c>
      <c r="H44" s="25">
        <f t="shared" si="3"/>
        <v>151034136</v>
      </c>
      <c r="I44" s="25">
        <f t="shared" si="3"/>
        <v>385744950</v>
      </c>
      <c r="J44" s="25">
        <f t="shared" si="3"/>
        <v>531641863</v>
      </c>
      <c r="K44" s="25">
        <f t="shared" si="3"/>
        <v>2597330126</v>
      </c>
      <c r="L44" s="25">
        <f t="shared" si="3"/>
        <v>2876028712</v>
      </c>
      <c r="M44" s="25">
        <f t="shared" si="3"/>
        <v>41425502</v>
      </c>
      <c r="N44" s="25">
        <f t="shared" si="3"/>
        <v>29079879</v>
      </c>
      <c r="O44" s="25">
        <f t="shared" si="3"/>
        <v>9215882</v>
      </c>
      <c r="P44" s="25"/>
    </row>
    <row r="45" spans="3:14" ht="12.7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7" ht="12.75">
      <c r="J47" t="s">
        <v>87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  <ignoredErrors>
    <ignoredError sqref="L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esmith</dc:creator>
  <cp:keywords/>
  <dc:description/>
  <cp:lastModifiedBy>Administrator</cp:lastModifiedBy>
  <cp:lastPrinted>2008-11-24T16:50:10Z</cp:lastPrinted>
  <dcterms:created xsi:type="dcterms:W3CDTF">2000-07-12T18:49:34Z</dcterms:created>
  <dcterms:modified xsi:type="dcterms:W3CDTF">2014-07-21T19:46:06Z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1070588521</vt:i4>
  </property>
  <property fmtid="{D5CDD505-2E9C-101B-9397-08002B2CF9AE}" pid="3" name="_ReviewingToolsShownOnce">
    <vt:lpwstr/>
  </property>
</Properties>
</file>