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io\Desktop\SED\"/>
    </mc:Choice>
  </mc:AlternateContent>
  <xr:revisionPtr revIDLastSave="0" documentId="8_{5799987B-C4D9-4DBF-B2AC-34E5C0B80081}" xr6:coauthVersionLast="47" xr6:coauthVersionMax="47" xr10:uidLastSave="{00000000-0000-0000-0000-000000000000}"/>
  <bookViews>
    <workbookView xWindow="-120" yWindow="-120" windowWidth="29040" windowHeight="15720"/>
  </bookViews>
  <sheets>
    <sheet name="PTRC 2022-2023" sheetId="1" r:id="rId1"/>
  </sheets>
  <calcPr calcId="0"/>
</workbook>
</file>

<file path=xl/calcChain.xml><?xml version="1.0" encoding="utf-8"?>
<calcChain xmlns="http://schemas.openxmlformats.org/spreadsheetml/2006/main">
  <c r="A6" i="1" l="1"/>
  <c r="A50" i="1"/>
  <c r="A51" i="1"/>
  <c r="A495" i="1"/>
  <c r="A124" i="1"/>
  <c r="A560" i="1"/>
  <c r="A371" i="1"/>
  <c r="A415" i="1"/>
  <c r="A237" i="1"/>
  <c r="A245" i="1"/>
  <c r="A618" i="1"/>
  <c r="A632" i="1"/>
  <c r="A11" i="1"/>
  <c r="A19" i="1"/>
  <c r="A218" i="1"/>
  <c r="A44" i="1"/>
  <c r="A83" i="1"/>
  <c r="A209" i="1"/>
  <c r="A192" i="1"/>
  <c r="A659" i="1"/>
  <c r="A139" i="1"/>
  <c r="A541" i="1"/>
  <c r="A640" i="1"/>
  <c r="A55" i="1"/>
  <c r="A109" i="1"/>
  <c r="A53" i="1"/>
  <c r="A257" i="1"/>
  <c r="A585" i="1"/>
  <c r="A110" i="1"/>
  <c r="A353" i="1"/>
  <c r="A145" i="1"/>
  <c r="A660" i="1"/>
  <c r="A607" i="1"/>
  <c r="A305" i="1"/>
  <c r="A616" i="1"/>
  <c r="A667" i="1"/>
  <c r="A648" i="1"/>
  <c r="A12" i="1"/>
  <c r="A179" i="1"/>
  <c r="A205" i="1"/>
  <c r="A275" i="1"/>
  <c r="A94" i="1"/>
  <c r="A437" i="1"/>
  <c r="A232" i="1"/>
  <c r="A484" i="1"/>
  <c r="A493" i="1"/>
  <c r="A523" i="1"/>
  <c r="A673" i="1"/>
  <c r="A25" i="1"/>
  <c r="A638" i="1"/>
  <c r="A92" i="1"/>
  <c r="A570" i="1"/>
  <c r="A479" i="1"/>
  <c r="A386" i="1"/>
  <c r="A605" i="1"/>
  <c r="A572" i="1"/>
  <c r="A208" i="1"/>
  <c r="A91" i="1"/>
  <c r="A104" i="1"/>
  <c r="A470" i="1"/>
  <c r="A122" i="1"/>
  <c r="A154" i="1"/>
  <c r="A48" i="1"/>
  <c r="A188" i="1"/>
  <c r="A554" i="1"/>
  <c r="A198" i="1"/>
  <c r="A453" i="1"/>
  <c r="A299" i="1"/>
  <c r="A206" i="1"/>
  <c r="A67" i="1"/>
  <c r="A503" i="1"/>
  <c r="A550" i="1"/>
  <c r="A650" i="1"/>
  <c r="A180" i="1"/>
  <c r="A285" i="1"/>
  <c r="A181" i="1"/>
  <c r="A4" i="1"/>
  <c r="A31" i="1"/>
  <c r="A239" i="1"/>
  <c r="A604" i="1"/>
  <c r="A429" i="1"/>
  <c r="A221" i="1"/>
  <c r="A449" i="1"/>
  <c r="A549" i="1"/>
  <c r="A26" i="1"/>
  <c r="A43" i="1"/>
  <c r="A425" i="1"/>
  <c r="A105" i="1"/>
  <c r="A426" i="1"/>
  <c r="A465" i="1"/>
  <c r="A475" i="1"/>
  <c r="A527" i="1"/>
  <c r="A588" i="1"/>
  <c r="A222" i="1"/>
  <c r="A103" i="1"/>
  <c r="A286" i="1"/>
  <c r="A312" i="1"/>
  <c r="A400" i="1"/>
  <c r="A115" i="1"/>
  <c r="A135" i="1"/>
  <c r="A368" i="1"/>
  <c r="A279" i="1"/>
  <c r="A359" i="1"/>
  <c r="A18" i="1"/>
  <c r="A150" i="1"/>
  <c r="A101" i="1"/>
  <c r="A143" i="1"/>
  <c r="A203" i="1"/>
  <c r="A254" i="1"/>
  <c r="A361" i="1"/>
  <c r="A514" i="1"/>
  <c r="A553" i="1"/>
  <c r="A579" i="1"/>
  <c r="A565" i="1"/>
  <c r="A621" i="1"/>
  <c r="A40" i="1"/>
  <c r="A149" i="1"/>
  <c r="A290" i="1"/>
  <c r="A424" i="1"/>
  <c r="A457" i="1"/>
  <c r="A469" i="1"/>
  <c r="A486" i="1"/>
  <c r="A23" i="1"/>
  <c r="A573" i="1"/>
  <c r="A497" i="1"/>
  <c r="A501" i="1"/>
  <c r="A623" i="1"/>
  <c r="A378" i="1"/>
  <c r="A8" i="1"/>
  <c r="A15" i="1"/>
  <c r="A663" i="1"/>
  <c r="A586" i="1"/>
  <c r="A155" i="1"/>
  <c r="A106" i="1"/>
  <c r="A107" i="1"/>
  <c r="A118" i="1"/>
  <c r="A144" i="1"/>
  <c r="A108" i="1"/>
  <c r="A116" i="1"/>
  <c r="A577" i="1"/>
  <c r="A171" i="1"/>
  <c r="A293" i="1"/>
  <c r="A185" i="1"/>
  <c r="A233" i="1"/>
  <c r="A249" i="1"/>
  <c r="A210" i="1"/>
  <c r="A276" i="1"/>
  <c r="A317" i="1"/>
  <c r="A323" i="1"/>
  <c r="A5" i="1"/>
  <c r="A414" i="1"/>
  <c r="A443" i="1"/>
  <c r="A593" i="1"/>
  <c r="A311" i="1"/>
  <c r="A647" i="1"/>
  <c r="A138" i="1"/>
  <c r="A309" i="1"/>
  <c r="A381" i="1"/>
  <c r="A387" i="1"/>
  <c r="A406" i="1"/>
  <c r="A320" i="1"/>
  <c r="A539" i="1"/>
  <c r="A591" i="1"/>
  <c r="A664" i="1"/>
  <c r="A57" i="1"/>
  <c r="A601" i="1"/>
  <c r="A102" i="1"/>
  <c r="A525" i="1"/>
  <c r="A528" i="1"/>
  <c r="A354" i="1"/>
  <c r="A72" i="1"/>
  <c r="A578" i="1"/>
  <c r="A655" i="1"/>
  <c r="A228" i="1"/>
  <c r="A306" i="1"/>
  <c r="A367" i="1"/>
  <c r="A428" i="1"/>
  <c r="A65" i="1"/>
  <c r="A9" i="1"/>
  <c r="A36" i="1"/>
  <c r="A75" i="1"/>
  <c r="A176" i="1"/>
  <c r="A328" i="1"/>
  <c r="A433" i="1"/>
  <c r="A456" i="1"/>
  <c r="A461" i="1"/>
  <c r="A76" i="1"/>
  <c r="A93" i="1"/>
  <c r="A136" i="1"/>
  <c r="A241" i="1"/>
  <c r="A288" i="1"/>
  <c r="A666" i="1"/>
  <c r="A471" i="1"/>
  <c r="A291" i="1"/>
  <c r="A321" i="1"/>
  <c r="A342" i="1"/>
  <c r="A494" i="1"/>
  <c r="A639" i="1"/>
  <c r="A642" i="1"/>
  <c r="A202" i="1"/>
  <c r="A266" i="1"/>
  <c r="A335" i="1"/>
  <c r="A148" i="1"/>
  <c r="A478" i="1"/>
  <c r="A615" i="1"/>
  <c r="A594" i="1"/>
  <c r="A391" i="1"/>
  <c r="A99" i="1"/>
  <c r="A564" i="1"/>
  <c r="A10" i="1"/>
  <c r="A292" i="1"/>
  <c r="A217" i="1"/>
  <c r="A589" i="1"/>
  <c r="A45" i="1"/>
  <c r="A520" i="1"/>
  <c r="A345" i="1"/>
  <c r="A316" i="1"/>
  <c r="A630" i="1"/>
  <c r="A90" i="1"/>
  <c r="A130" i="1"/>
  <c r="A259" i="1"/>
  <c r="A344" i="1"/>
  <c r="A566" i="1"/>
  <c r="A41" i="1"/>
  <c r="A29" i="1"/>
  <c r="A77" i="1"/>
  <c r="A219" i="1"/>
  <c r="A338" i="1"/>
  <c r="A392" i="1"/>
  <c r="A141" i="1"/>
  <c r="A140" i="1"/>
  <c r="A672" i="1"/>
  <c r="A69" i="1"/>
  <c r="A95" i="1"/>
  <c r="A146" i="1"/>
  <c r="A390" i="1"/>
  <c r="A250" i="1"/>
  <c r="A84" i="1"/>
  <c r="A350" i="1"/>
  <c r="A438" i="1"/>
  <c r="A582" i="1"/>
  <c r="A113" i="1"/>
  <c r="A64" i="1"/>
  <c r="A216" i="1"/>
  <c r="A236" i="1"/>
  <c r="A159" i="1"/>
  <c r="A645" i="1"/>
  <c r="A281" i="1"/>
  <c r="A574" i="1"/>
  <c r="A274" i="1"/>
  <c r="A462" i="1"/>
  <c r="A187" i="1"/>
  <c r="A165" i="1"/>
  <c r="A472" i="1"/>
  <c r="A114" i="1"/>
  <c r="A516" i="1"/>
  <c r="A66" i="1"/>
  <c r="A637" i="1"/>
  <c r="A654" i="1"/>
  <c r="A17" i="1"/>
  <c r="A81" i="1"/>
  <c r="A197" i="1"/>
  <c r="A201" i="1"/>
  <c r="A442" i="1"/>
  <c r="A225" i="1"/>
  <c r="A264" i="1"/>
  <c r="A606" i="1"/>
  <c r="A161" i="1"/>
  <c r="A413" i="1"/>
  <c r="A330" i="1"/>
  <c r="A543" i="1"/>
  <c r="A46" i="1"/>
  <c r="A510" i="1"/>
  <c r="A207" i="1"/>
  <c r="A32" i="1"/>
  <c r="A434" i="1"/>
  <c r="A355" i="1"/>
  <c r="A611" i="1"/>
  <c r="A270" i="1"/>
  <c r="A327" i="1"/>
  <c r="A182" i="1"/>
  <c r="A204" i="1"/>
  <c r="A214" i="1"/>
  <c r="A166" i="1"/>
  <c r="A346" i="1"/>
  <c r="A505" i="1"/>
  <c r="A195" i="1"/>
  <c r="A622" i="1"/>
  <c r="A612" i="1"/>
  <c r="A372" i="1"/>
  <c r="A296" i="1"/>
  <c r="A644" i="1"/>
  <c r="A417" i="1"/>
  <c r="A613" i="1"/>
  <c r="A295" i="1"/>
  <c r="A614" i="1"/>
  <c r="A545" i="1"/>
  <c r="A47" i="1"/>
  <c r="A341" i="1"/>
  <c r="A649" i="1"/>
  <c r="A168" i="1"/>
  <c r="A512" i="1"/>
  <c r="A483" i="1"/>
  <c r="A399" i="1"/>
  <c r="A358" i="1"/>
  <c r="A235" i="1"/>
  <c r="A268" i="1"/>
  <c r="A380" i="1"/>
  <c r="A88" i="1"/>
  <c r="A420" i="1"/>
  <c r="A587" i="1"/>
  <c r="A340" i="1"/>
  <c r="A474" i="1"/>
  <c r="A450" i="1"/>
  <c r="A303" i="1"/>
  <c r="A271" i="1"/>
  <c r="A473" i="1"/>
  <c r="A52" i="1"/>
  <c r="A190" i="1"/>
  <c r="A364" i="1"/>
  <c r="A331" i="1"/>
  <c r="A339" i="1"/>
  <c r="A407" i="1"/>
  <c r="A410" i="1"/>
  <c r="A409" i="1"/>
  <c r="A422" i="1"/>
  <c r="A580" i="1"/>
  <c r="A515" i="1"/>
  <c r="A35" i="1"/>
  <c r="A665" i="1"/>
  <c r="A3" i="1"/>
  <c r="A79" i="1"/>
  <c r="A120" i="1"/>
  <c r="A398" i="1"/>
  <c r="A431" i="1"/>
  <c r="A531" i="1"/>
  <c r="A498" i="1"/>
  <c r="A507" i="1"/>
  <c r="A631" i="1"/>
  <c r="A551" i="1"/>
  <c r="A277" i="1"/>
  <c r="A608" i="1"/>
  <c r="A653" i="1"/>
  <c r="A444" i="1"/>
  <c r="A658" i="1"/>
  <c r="A643" i="1"/>
  <c r="A421" i="1"/>
  <c r="A167" i="1"/>
  <c r="A300" i="1"/>
  <c r="A307" i="1"/>
  <c r="A186" i="1"/>
  <c r="A652" i="1"/>
  <c r="A558" i="1"/>
  <c r="A318" i="1"/>
  <c r="A33" i="1"/>
  <c r="A191" i="1"/>
  <c r="A360" i="1"/>
  <c r="A440" i="1"/>
  <c r="A336" i="1"/>
  <c r="A347" i="1"/>
  <c r="A555" i="1"/>
  <c r="A600" i="1"/>
  <c r="A82" i="1"/>
  <c r="A156" i="1"/>
  <c r="A220" i="1"/>
  <c r="A229" i="1"/>
  <c r="A357" i="1"/>
  <c r="A397" i="1"/>
  <c r="A466" i="1"/>
  <c r="A280" i="1"/>
  <c r="A617" i="1"/>
  <c r="A627" i="1"/>
  <c r="A112" i="1"/>
  <c r="A134" i="1"/>
  <c r="A468" i="1"/>
  <c r="A230" i="1"/>
  <c r="A273" i="1"/>
  <c r="A376" i="1"/>
  <c r="A382" i="1"/>
  <c r="A383" i="1"/>
  <c r="A315" i="1"/>
  <c r="A610" i="1"/>
  <c r="A405" i="1"/>
  <c r="A482" i="1"/>
  <c r="A602" i="1"/>
  <c r="A626" i="1"/>
  <c r="A243" i="1"/>
  <c r="A196" i="1"/>
  <c r="A7" i="1"/>
  <c r="A310" i="1"/>
  <c r="A278" i="1"/>
  <c r="A370" i="1"/>
  <c r="A348" i="1"/>
  <c r="A13" i="1"/>
  <c r="A211" i="1"/>
  <c r="A255" i="1"/>
  <c r="A98" i="1"/>
  <c r="A373" i="1"/>
  <c r="A446" i="1"/>
  <c r="A488" i="1"/>
  <c r="A526" i="1"/>
  <c r="A467" i="1"/>
  <c r="A223" i="1"/>
  <c r="A174" i="1"/>
  <c r="A326" i="1"/>
  <c r="A536" i="1"/>
  <c r="A377" i="1"/>
  <c r="A388" i="1"/>
  <c r="A439" i="1"/>
  <c r="A447" i="1"/>
  <c r="A129" i="1"/>
  <c r="A502" i="1"/>
  <c r="A111" i="1"/>
  <c r="A668" i="1"/>
  <c r="A352" i="1"/>
  <c r="A89" i="1"/>
  <c r="A247" i="1"/>
  <c r="A215" i="1"/>
  <c r="A490" i="1"/>
  <c r="A61" i="1"/>
  <c r="A49" i="1"/>
  <c r="A71" i="1"/>
  <c r="A157" i="1"/>
  <c r="A283" i="1"/>
  <c r="A325" i="1"/>
  <c r="A416" i="1"/>
  <c r="A670" i="1"/>
  <c r="A500" i="1"/>
  <c r="A27" i="1"/>
  <c r="A282" i="1"/>
  <c r="A537" i="1"/>
  <c r="A596" i="1"/>
  <c r="A117" i="1"/>
  <c r="A396" i="1"/>
  <c r="A263" i="1"/>
  <c r="A567" i="1"/>
  <c r="A432" i="1"/>
  <c r="A458" i="1"/>
  <c r="A583" i="1"/>
  <c r="A164" i="1"/>
  <c r="A59" i="1"/>
  <c r="A87" i="1"/>
  <c r="A119" i="1"/>
  <c r="A126" i="1"/>
  <c r="A231" i="1"/>
  <c r="A251" i="1"/>
  <c r="A267" i="1"/>
  <c r="A334" i="1"/>
  <c r="A351" i="1"/>
  <c r="A365" i="1"/>
  <c r="A389" i="1"/>
  <c r="A430" i="1"/>
  <c r="A436" i="1"/>
  <c r="A269" i="1"/>
  <c r="A454" i="1"/>
  <c r="A485" i="1"/>
  <c r="A175" i="1"/>
  <c r="A73" i="1"/>
  <c r="A548" i="1"/>
  <c r="A132" i="1"/>
  <c r="A173" i="1"/>
  <c r="A212" i="1"/>
  <c r="A369" i="1"/>
  <c r="A34" i="1"/>
  <c r="A562" i="1"/>
  <c r="A540" i="1"/>
  <c r="A529" i="1"/>
  <c r="A581" i="1"/>
  <c r="A628" i="1"/>
  <c r="A152" i="1"/>
  <c r="A542" i="1"/>
  <c r="A411" i="1"/>
  <c r="A534" i="1"/>
  <c r="A513" i="1"/>
  <c r="A535" i="1"/>
  <c r="A224" i="1"/>
  <c r="A302" i="1"/>
  <c r="A375" i="1"/>
  <c r="A123" i="1"/>
  <c r="A538" i="1"/>
  <c r="A546" i="1"/>
  <c r="A435" i="1"/>
  <c r="A633" i="1"/>
  <c r="A568" i="1"/>
  <c r="A508" i="1"/>
  <c r="A544" i="1"/>
  <c r="A629" i="1"/>
  <c r="A2" i="1"/>
  <c r="A28" i="1"/>
  <c r="A37" i="1"/>
  <c r="A58" i="1"/>
  <c r="A80" i="1"/>
  <c r="A133" i="1"/>
  <c r="A86" i="1"/>
  <c r="A284" i="1"/>
  <c r="A22" i="1"/>
  <c r="A487" i="1"/>
  <c r="A301" i="1"/>
  <c r="A252" i="1"/>
  <c r="A635" i="1"/>
  <c r="A30" i="1"/>
  <c r="A641" i="1"/>
  <c r="A412" i="1"/>
  <c r="A333" i="1"/>
  <c r="A131" i="1"/>
  <c r="A16" i="1"/>
  <c r="A142" i="1"/>
  <c r="A669" i="1"/>
  <c r="A590" i="1"/>
  <c r="A70" i="1"/>
  <c r="A519" i="1"/>
  <c r="A481" i="1"/>
  <c r="A394" i="1"/>
  <c r="A379" i="1"/>
  <c r="A506" i="1"/>
  <c r="A374" i="1"/>
  <c r="A343" i="1"/>
  <c r="A455" i="1"/>
  <c r="A661" i="1"/>
  <c r="A96" i="1"/>
  <c r="A162" i="1"/>
  <c r="A561" i="1"/>
  <c r="A158" i="1"/>
  <c r="A619" i="1"/>
  <c r="A14" i="1"/>
  <c r="A576" i="1"/>
  <c r="A521" i="1"/>
  <c r="A384" i="1"/>
  <c r="A184" i="1"/>
  <c r="A125" i="1"/>
  <c r="A289" i="1"/>
  <c r="A427" i="1"/>
  <c r="A248" i="1"/>
  <c r="A256" i="1"/>
  <c r="A127" i="1"/>
  <c r="A563" i="1"/>
  <c r="A38" i="1"/>
  <c r="A297" i="1"/>
  <c r="A160" i="1"/>
  <c r="A532" i="1"/>
  <c r="A39" i="1"/>
  <c r="A262" i="1"/>
  <c r="A128" i="1"/>
  <c r="A646" i="1"/>
  <c r="A60" i="1"/>
  <c r="A97" i="1"/>
  <c r="A193" i="1"/>
  <c r="A552" i="1"/>
  <c r="A504" i="1"/>
  <c r="A547" i="1"/>
  <c r="A556" i="1"/>
  <c r="A313" i="1"/>
  <c r="A499" i="1"/>
  <c r="A651" i="1"/>
  <c r="A492" i="1"/>
  <c r="A253" i="1"/>
  <c r="A569" i="1"/>
  <c r="A63" i="1"/>
  <c r="A522" i="1"/>
  <c r="A170" i="1"/>
  <c r="A598" i="1"/>
  <c r="A163" i="1"/>
  <c r="A451" i="1"/>
  <c r="A194" i="1"/>
  <c r="A571" i="1"/>
  <c r="A240" i="1"/>
  <c r="A366" i="1"/>
  <c r="A189" i="1"/>
  <c r="A177" i="1"/>
  <c r="A332" i="1"/>
  <c r="A595" i="1"/>
  <c r="A511" i="1"/>
  <c r="A337" i="1"/>
  <c r="A385" i="1"/>
  <c r="A584" i="1"/>
  <c r="A634" i="1"/>
  <c r="A85" i="1"/>
  <c r="A404" i="1"/>
  <c r="A448" i="1"/>
  <c r="A575" i="1"/>
  <c r="A592" i="1"/>
  <c r="A151" i="1"/>
  <c r="A244" i="1"/>
  <c r="A298" i="1"/>
  <c r="A324" i="1"/>
  <c r="A408" i="1"/>
  <c r="A597" i="1"/>
  <c r="A314" i="1"/>
  <c r="A272" i="1"/>
  <c r="A509" i="1"/>
  <c r="A363" i="1"/>
  <c r="A401" i="1"/>
  <c r="A441" i="1"/>
  <c r="A530" i="1"/>
  <c r="A620" i="1"/>
  <c r="A178" i="1"/>
  <c r="A56" i="1"/>
  <c r="A423" i="1"/>
  <c r="A226" i="1"/>
  <c r="A304" i="1"/>
  <c r="A319" i="1"/>
  <c r="A246" i="1"/>
  <c r="A491" i="1"/>
  <c r="A227" i="1"/>
  <c r="A624" i="1"/>
  <c r="A21" i="1"/>
  <c r="A199" i="1"/>
  <c r="A200" i="1"/>
  <c r="A234" i="1"/>
  <c r="A242" i="1"/>
  <c r="A260" i="1"/>
  <c r="A287" i="1"/>
  <c r="A489" i="1"/>
  <c r="A524" i="1"/>
  <c r="A78" i="1"/>
  <c r="A657" i="1"/>
  <c r="A403" i="1"/>
  <c r="A121" i="1"/>
  <c r="A349" i="1"/>
  <c r="A362" i="1"/>
  <c r="A636" i="1"/>
  <c r="A452" i="1"/>
  <c r="A213" i="1"/>
  <c r="A557" i="1"/>
  <c r="A662" i="1"/>
  <c r="A418" i="1"/>
  <c r="A496" i="1"/>
  <c r="A308" i="1"/>
  <c r="A42" i="1"/>
  <c r="A137" i="1"/>
  <c r="A265" i="1"/>
  <c r="A169" i="1"/>
  <c r="A599" i="1"/>
  <c r="A68" i="1"/>
  <c r="A603" i="1"/>
  <c r="A294" i="1"/>
  <c r="A147" i="1"/>
  <c r="A261" i="1"/>
  <c r="A20" i="1"/>
  <c r="A172" i="1"/>
  <c r="A238" i="1"/>
  <c r="A183" i="1"/>
  <c r="A258" i="1"/>
  <c r="A356" i="1"/>
  <c r="A393" i="1"/>
  <c r="A477" i="1"/>
  <c r="A609" i="1"/>
  <c r="A476" i="1"/>
  <c r="A395" i="1"/>
  <c r="A100" i="1"/>
  <c r="A402" i="1"/>
  <c r="A74" i="1"/>
  <c r="A419" i="1"/>
  <c r="A445" i="1"/>
  <c r="A62" i="1"/>
  <c r="A459" i="1"/>
  <c r="A460" i="1"/>
  <c r="A517" i="1"/>
  <c r="A518" i="1"/>
  <c r="A480" i="1"/>
  <c r="A54" i="1"/>
  <c r="A533" i="1"/>
  <c r="A559" i="1"/>
  <c r="A656" i="1"/>
  <c r="A322" i="1"/>
  <c r="A674" i="1"/>
  <c r="A24" i="1"/>
  <c r="A329" i="1"/>
  <c r="A671" i="1"/>
  <c r="A464" i="1"/>
  <c r="A625" i="1"/>
  <c r="A463" i="1"/>
  <c r="A153" i="1"/>
</calcChain>
</file>

<file path=xl/sharedStrings.xml><?xml version="1.0" encoding="utf-8"?>
<sst xmlns="http://schemas.openxmlformats.org/spreadsheetml/2006/main" count="729" uniqueCount="706">
  <si>
    <t>ALBANY CITY SD</t>
  </si>
  <si>
    <t>BERNE-KNOX-WES</t>
  </si>
  <si>
    <t xml:space="preserve">BETHLEHEM CSD </t>
  </si>
  <si>
    <t>RAVENA-COEYMAN</t>
  </si>
  <si>
    <t>COHOES CITY SD</t>
  </si>
  <si>
    <t xml:space="preserve">SOUTH COLONIE </t>
  </si>
  <si>
    <t xml:space="preserve">MENANDS UFSD  </t>
  </si>
  <si>
    <t xml:space="preserve">NORTH COLONIE </t>
  </si>
  <si>
    <t>GREEN ISLAND U</t>
  </si>
  <si>
    <t>GUILDERLAND CS</t>
  </si>
  <si>
    <t xml:space="preserve">VOORHEESVILLE </t>
  </si>
  <si>
    <t>WATERVLIET CIT</t>
  </si>
  <si>
    <t xml:space="preserve">ALFRED-ALMOND </t>
  </si>
  <si>
    <t xml:space="preserve">ANDOVER CSD   </t>
  </si>
  <si>
    <t>GENESEE VALLEY</t>
  </si>
  <si>
    <t xml:space="preserve">BELFAST CSD   </t>
  </si>
  <si>
    <t>CANASERAGA CSD</t>
  </si>
  <si>
    <t>FRIENDSHIP CSD</t>
  </si>
  <si>
    <t xml:space="preserve">FILLMORE CSD  </t>
  </si>
  <si>
    <t>WHITESVILLE CS</t>
  </si>
  <si>
    <t xml:space="preserve">CUBA-RUSHFORD </t>
  </si>
  <si>
    <t xml:space="preserve">SCIO CSD      </t>
  </si>
  <si>
    <t>WELLSVILLE CSD</t>
  </si>
  <si>
    <t>BOLIVAR-RICHBU</t>
  </si>
  <si>
    <t>CHENANGO FORKS</t>
  </si>
  <si>
    <t>BINGHAMTON CIT</t>
  </si>
  <si>
    <t>HARPURSVILLE C</t>
  </si>
  <si>
    <t>SUSQUEHANNA VA</t>
  </si>
  <si>
    <t>CHENANGO VALLE</t>
  </si>
  <si>
    <t xml:space="preserve">MAINE-ENDWELL </t>
  </si>
  <si>
    <t xml:space="preserve">DEPOSIT CSD   </t>
  </si>
  <si>
    <t xml:space="preserve">WHITNEY POINT </t>
  </si>
  <si>
    <t>UNION-ENDICOTT</t>
  </si>
  <si>
    <t>JOHNSON CITY C</t>
  </si>
  <si>
    <t xml:space="preserve">VESTAL CSD    </t>
  </si>
  <si>
    <t xml:space="preserve">WINDSOR CSD   </t>
  </si>
  <si>
    <t>WEST VALLEY CS</t>
  </si>
  <si>
    <t>ALLEGANY-LIMES</t>
  </si>
  <si>
    <t xml:space="preserve">ELLICOTTVILLE </t>
  </si>
  <si>
    <t xml:space="preserve">FRANKLINVILLE </t>
  </si>
  <si>
    <t xml:space="preserve">HINSDALE CSD  </t>
  </si>
  <si>
    <t>CATTARAUGUS-LI</t>
  </si>
  <si>
    <t xml:space="preserve">OLEAN CITY SD </t>
  </si>
  <si>
    <t xml:space="preserve">GOWANDA CSD   </t>
  </si>
  <si>
    <t xml:space="preserve">PORTVILLE CSD </t>
  </si>
  <si>
    <t xml:space="preserve">RANDOLPH CSD  </t>
  </si>
  <si>
    <t>SALAMANCA CITY</t>
  </si>
  <si>
    <t>YORKSHIRE-PION</t>
  </si>
  <si>
    <t>AUBURN CITY SD</t>
  </si>
  <si>
    <t xml:space="preserve">WEEDSPORT CSD </t>
  </si>
  <si>
    <t xml:space="preserve">CATO-MERIDIAN </t>
  </si>
  <si>
    <t>SOUTHERN CAYUG</t>
  </si>
  <si>
    <t>PORT BYRON CSD</t>
  </si>
  <si>
    <t xml:space="preserve">MORAVIA CSD   </t>
  </si>
  <si>
    <t xml:space="preserve">UNION SPRINGS </t>
  </si>
  <si>
    <t>SOUTHWESTERN C</t>
  </si>
  <si>
    <t xml:space="preserve">FREWSBURG CSD </t>
  </si>
  <si>
    <t>CASSADAGA VALL</t>
  </si>
  <si>
    <t>CHAUTAUQUA LAK</t>
  </si>
  <si>
    <t>PINE VALLEY CS</t>
  </si>
  <si>
    <t xml:space="preserve">CLYMER CSD    </t>
  </si>
  <si>
    <t>DUNKIRK CITY S</t>
  </si>
  <si>
    <t>BEMUS POINT CS</t>
  </si>
  <si>
    <t xml:space="preserve">FALCONER CSD  </t>
  </si>
  <si>
    <t>SILVER CREEK C</t>
  </si>
  <si>
    <t>FORESTVILLE CS</t>
  </si>
  <si>
    <t xml:space="preserve">PANAMA CSD    </t>
  </si>
  <si>
    <t>JAMESTOWN CITY</t>
  </si>
  <si>
    <t xml:space="preserve">FREDONIA CSD  </t>
  </si>
  <si>
    <t xml:space="preserve">BROCTON CSD   </t>
  </si>
  <si>
    <t xml:space="preserve">RIPLEY CSD    </t>
  </si>
  <si>
    <t xml:space="preserve">SHERMAN CSD   </t>
  </si>
  <si>
    <t xml:space="preserve">WESTFIELD CSD </t>
  </si>
  <si>
    <t>ELMIRA CITY SD</t>
  </si>
  <si>
    <t>HORSEHEADS CSD</t>
  </si>
  <si>
    <t>ELMIRA HEIGHTS</t>
  </si>
  <si>
    <t xml:space="preserve">AFTON CSD     </t>
  </si>
  <si>
    <t>BAINBRIDGE-GUI</t>
  </si>
  <si>
    <t xml:space="preserve">GREENE CSD    </t>
  </si>
  <si>
    <t>UNADILLA VALLE</t>
  </si>
  <si>
    <t>NORWICH CITY S</t>
  </si>
  <si>
    <t>GEORGETOWN-SOU</t>
  </si>
  <si>
    <t>OXFORD ACADEMY</t>
  </si>
  <si>
    <t>SHERBURNE-EARL</t>
  </si>
  <si>
    <t>AUSABLE VALLEY</t>
  </si>
  <si>
    <t>BEEKMANTOWN CS</t>
  </si>
  <si>
    <t>NORTHEASTERN C</t>
  </si>
  <si>
    <t xml:space="preserve">CHAZY UFSD    </t>
  </si>
  <si>
    <t>NORTHERN ADIRO</t>
  </si>
  <si>
    <t xml:space="preserve">PERU CSD      </t>
  </si>
  <si>
    <t>PLATTSBURGH CI</t>
  </si>
  <si>
    <t xml:space="preserve">SARANAC CSD   </t>
  </si>
  <si>
    <t xml:space="preserve">TACONIC HILLS </t>
  </si>
  <si>
    <t>GERMANTOWN CSD</t>
  </si>
  <si>
    <t xml:space="preserve">CHATHAM CSD   </t>
  </si>
  <si>
    <t>HUDSON CITY SD</t>
  </si>
  <si>
    <t>KINDERHOOK CSD</t>
  </si>
  <si>
    <t>NEW LEBANON CS</t>
  </si>
  <si>
    <t>CINCINNATUS CS</t>
  </si>
  <si>
    <t xml:space="preserve">CORTLAND CITY </t>
  </si>
  <si>
    <t xml:space="preserve">MCGRAW CSD    </t>
  </si>
  <si>
    <t xml:space="preserve">HOMER CSD     </t>
  </si>
  <si>
    <t xml:space="preserve">MARATHON CSD  </t>
  </si>
  <si>
    <t xml:space="preserve">ANDES CSD     </t>
  </si>
  <si>
    <t>DOWNSVILLE CSD</t>
  </si>
  <si>
    <t>CHARLOTTE VALL</t>
  </si>
  <si>
    <t>DELAWARE ACADE</t>
  </si>
  <si>
    <t xml:space="preserve">FRANKLIN CSD  </t>
  </si>
  <si>
    <t xml:space="preserve">HANCOCK CSD   </t>
  </si>
  <si>
    <t xml:space="preserve">MARGARETVILLE </t>
  </si>
  <si>
    <t xml:space="preserve">ROXBURY CSD   </t>
  </si>
  <si>
    <t xml:space="preserve">SIDNEY CSD    </t>
  </si>
  <si>
    <t xml:space="preserve">STAMFORD CSD  </t>
  </si>
  <si>
    <t>SOUTH KORTRIGH</t>
  </si>
  <si>
    <t xml:space="preserve">WALTON CSD    </t>
  </si>
  <si>
    <t>BEACON CITY SD</t>
  </si>
  <si>
    <t xml:space="preserve">DOVER UFSD    </t>
  </si>
  <si>
    <t xml:space="preserve">HYDE PARK CSD </t>
  </si>
  <si>
    <t xml:space="preserve">NORTHEAST CSD </t>
  </si>
  <si>
    <t xml:space="preserve">PAWLING CSD   </t>
  </si>
  <si>
    <t>PINE PLAINS CS</t>
  </si>
  <si>
    <t>POUGHKEEPSIE C</t>
  </si>
  <si>
    <t xml:space="preserve">ARLINGTON CSD </t>
  </si>
  <si>
    <t>SPACKENKILL UF</t>
  </si>
  <si>
    <t xml:space="preserve">RED HOOK CSD  </t>
  </si>
  <si>
    <t xml:space="preserve">RHINEBECK CSD </t>
  </si>
  <si>
    <t>WAPPINGERS CSD</t>
  </si>
  <si>
    <t xml:space="preserve">MILLBROOK CSD </t>
  </si>
  <si>
    <t xml:space="preserve">ALDEN CSD     </t>
  </si>
  <si>
    <t xml:space="preserve">AMHERST CSD   </t>
  </si>
  <si>
    <t xml:space="preserve">WILLIAMSVILLE </t>
  </si>
  <si>
    <t>SWEET HOME CSD</t>
  </si>
  <si>
    <t>EAST AURORA UF</t>
  </si>
  <si>
    <t>CHEEKTOWAGA CS</t>
  </si>
  <si>
    <t>CHEEKTOWAGA-MA</t>
  </si>
  <si>
    <t>CLEVELAND HILL</t>
  </si>
  <si>
    <t xml:space="preserve">DEPEW UFSD    </t>
  </si>
  <si>
    <t>CHEEKTOWAGA-SL</t>
  </si>
  <si>
    <t xml:space="preserve">CLARENCE CSD  </t>
  </si>
  <si>
    <t>SPRINGVILLE-GR</t>
  </si>
  <si>
    <t xml:space="preserve">EDEN CSD      </t>
  </si>
  <si>
    <t xml:space="preserve">IROQUOIS CSD  </t>
  </si>
  <si>
    <t>EVANS-BRANT CS</t>
  </si>
  <si>
    <t>GRAND ISLAND C</t>
  </si>
  <si>
    <t xml:space="preserve">HAMBURG CSD   </t>
  </si>
  <si>
    <t xml:space="preserve">FRONTIER CSD  </t>
  </si>
  <si>
    <t xml:space="preserve">HOLLAND CSD   </t>
  </si>
  <si>
    <t>LACKAWANNA CIT</t>
  </si>
  <si>
    <t xml:space="preserve">LANCASTER CSD </t>
  </si>
  <si>
    <t xml:space="preserve">AKRON CSD     </t>
  </si>
  <si>
    <t xml:space="preserve">NORTH COLLINS </t>
  </si>
  <si>
    <t>ORCHARD PARK C</t>
  </si>
  <si>
    <t>TONAWANDA CITY</t>
  </si>
  <si>
    <t>KENMORE-TONAWA</t>
  </si>
  <si>
    <t>WEST SENECA CS</t>
  </si>
  <si>
    <t>CROWN POINT CS</t>
  </si>
  <si>
    <t xml:space="preserve">KEENE CSD     </t>
  </si>
  <si>
    <t xml:space="preserve">MINERVA CSD   </t>
  </si>
  <si>
    <t xml:space="preserve">MORIAH CSD    </t>
  </si>
  <si>
    <t xml:space="preserve">NEWCOMB CSD   </t>
  </si>
  <si>
    <t>LAKE PLACID CS</t>
  </si>
  <si>
    <t>SCHROON LAKE C</t>
  </si>
  <si>
    <t>TICONDEROGA CS</t>
  </si>
  <si>
    <t xml:space="preserve">WILLSBORO CSD </t>
  </si>
  <si>
    <t xml:space="preserve">BOQUET VALLEY </t>
  </si>
  <si>
    <t>TUPPER LAKE CS</t>
  </si>
  <si>
    <t>CHATEAUGAY CSD</t>
  </si>
  <si>
    <t>SALMON RIVER C</t>
  </si>
  <si>
    <t>SARANAC LAKE C</t>
  </si>
  <si>
    <t xml:space="preserve">MALONE CSD    </t>
  </si>
  <si>
    <t>BRUSHTON-MOIRA</t>
  </si>
  <si>
    <t>ST REGIS FALLS</t>
  </si>
  <si>
    <t>WHEELERVILLE U</t>
  </si>
  <si>
    <t>GLOVERSVILLE C</t>
  </si>
  <si>
    <t>JOHNSTOWN CITY</t>
  </si>
  <si>
    <t xml:space="preserve">MAYFIELD CSD  </t>
  </si>
  <si>
    <t>NORTHVILLE CSD</t>
  </si>
  <si>
    <t>BROADALBIN-PER</t>
  </si>
  <si>
    <t xml:space="preserve">ALEXANDER CSD </t>
  </si>
  <si>
    <t>BATAVIA CITY S</t>
  </si>
  <si>
    <t>BYRON-BERGEN C</t>
  </si>
  <si>
    <t xml:space="preserve">ELBA CSD      </t>
  </si>
  <si>
    <t xml:space="preserve">LE ROY CSD    </t>
  </si>
  <si>
    <t>OAKFIELD-ALABA</t>
  </si>
  <si>
    <t xml:space="preserve">PAVILION CSD  </t>
  </si>
  <si>
    <t xml:space="preserve">PEMBROKE CSD  </t>
  </si>
  <si>
    <t>CAIRO-DURHAM C</t>
  </si>
  <si>
    <t xml:space="preserve">CATSKILL CSD  </t>
  </si>
  <si>
    <t>COXSACKIE-ATHE</t>
  </si>
  <si>
    <t>GREENVILLE CSD</t>
  </si>
  <si>
    <t>HUNTER-TANNERS</t>
  </si>
  <si>
    <t>WINDHAM-ASHLAN</t>
  </si>
  <si>
    <t>PISECO COMN SD</t>
  </si>
  <si>
    <t>INDIAN LAKE CS</t>
  </si>
  <si>
    <t xml:space="preserve">LAKE PLEASANT </t>
  </si>
  <si>
    <t xml:space="preserve">LONG LAKE CSD </t>
  </si>
  <si>
    <t xml:space="preserve">RAQUETTE LAKE </t>
  </si>
  <si>
    <t xml:space="preserve">WELLS CSD     </t>
  </si>
  <si>
    <t>WEST CANADA VA</t>
  </si>
  <si>
    <t>FRANKFORT-SCHU</t>
  </si>
  <si>
    <t xml:space="preserve">HERKIMER CSD  </t>
  </si>
  <si>
    <t>LITTLE FALLS C</t>
  </si>
  <si>
    <t>DOLGEVILLE CSD</t>
  </si>
  <si>
    <t xml:space="preserve">POLAND CSD    </t>
  </si>
  <si>
    <t>VAN HORNESVILL</t>
  </si>
  <si>
    <t>TOWN OF WEBB U</t>
  </si>
  <si>
    <t xml:space="preserve">MOUNT MARKHAM </t>
  </si>
  <si>
    <t>CENTRAL VALLEY</t>
  </si>
  <si>
    <t>SOUTH JEFFERSO</t>
  </si>
  <si>
    <t>ALEXANDRIA CSD</t>
  </si>
  <si>
    <t>INDIAN RIVER C</t>
  </si>
  <si>
    <t xml:space="preserve">GENERAL BROWN </t>
  </si>
  <si>
    <t>THOUSAND ISLAN</t>
  </si>
  <si>
    <t>BELLEVILLE-HEN</t>
  </si>
  <si>
    <t>SACKETS HARBOR</t>
  </si>
  <si>
    <t xml:space="preserve">LYME CSD      </t>
  </si>
  <si>
    <t xml:space="preserve">LA FARGEVILLE </t>
  </si>
  <si>
    <t>WATERTOWN CITY</t>
  </si>
  <si>
    <t xml:space="preserve">CARTHAGE CSD  </t>
  </si>
  <si>
    <t>COPENHAGEN CSD</t>
  </si>
  <si>
    <t>HARRISVILLE CS</t>
  </si>
  <si>
    <t>LOWVILLE ACADE</t>
  </si>
  <si>
    <t>SOUTH LEWIS CS</t>
  </si>
  <si>
    <t>BEAVER RIVER C</t>
  </si>
  <si>
    <t xml:space="preserve">AVON CSD      </t>
  </si>
  <si>
    <t>CALEDONIA-MUMF</t>
  </si>
  <si>
    <t xml:space="preserve">GENESEO CSD   </t>
  </si>
  <si>
    <t xml:space="preserve">LIVONIA CSD   </t>
  </si>
  <si>
    <t xml:space="preserve">MT MORRIS CSD </t>
  </si>
  <si>
    <t xml:space="preserve">DANSVILLE CSD </t>
  </si>
  <si>
    <t>DALTON-NUNDA C</t>
  </si>
  <si>
    <t xml:space="preserve">YORK CSD      </t>
  </si>
  <si>
    <t>BROOKFIELD CSD</t>
  </si>
  <si>
    <t xml:space="preserve">CAZENOVIA CSD </t>
  </si>
  <si>
    <t xml:space="preserve">DERUYTER CSD  </t>
  </si>
  <si>
    <t>MORRISVILLE-EA</t>
  </si>
  <si>
    <t xml:space="preserve">HAMILTON CSD  </t>
  </si>
  <si>
    <t xml:space="preserve">CANASTOTA CSD </t>
  </si>
  <si>
    <t xml:space="preserve">MADISON CSD   </t>
  </si>
  <si>
    <t>ONEIDA CITY SD</t>
  </si>
  <si>
    <t>STOCKBRIDGE VA</t>
  </si>
  <si>
    <t>CHITTENANGO CS</t>
  </si>
  <si>
    <t xml:space="preserve">BRIGHTON CSD  </t>
  </si>
  <si>
    <t>GATES CHILI CS</t>
  </si>
  <si>
    <t xml:space="preserve">GREECE CSD    </t>
  </si>
  <si>
    <t>EAST IRONDEQUO</t>
  </si>
  <si>
    <t>WEST IRONDEQUO</t>
  </si>
  <si>
    <t>HONEOYE FALLS-</t>
  </si>
  <si>
    <t>SPENCERPORT CS</t>
  </si>
  <si>
    <t xml:space="preserve">HILTON CSD    </t>
  </si>
  <si>
    <t xml:space="preserve">PENFIELD CSD  </t>
  </si>
  <si>
    <t xml:space="preserve">FAIRPORT CSD  </t>
  </si>
  <si>
    <t>EAST ROCHESTER</t>
  </si>
  <si>
    <t xml:space="preserve">PITTSFORD CSD </t>
  </si>
  <si>
    <t>CHURCHVILLE-CH</t>
  </si>
  <si>
    <t>RUSH-HENRIETTA</t>
  </si>
  <si>
    <t xml:space="preserve">BROCKPORT CSD </t>
  </si>
  <si>
    <t xml:space="preserve">WEBSTER CSD   </t>
  </si>
  <si>
    <t>WHEATLAND-CHIL</t>
  </si>
  <si>
    <t>AMSTERDAM CITY</t>
  </si>
  <si>
    <t>CANAJOHARIE CS</t>
  </si>
  <si>
    <t>FONDA-FULTONVI</t>
  </si>
  <si>
    <t>FORT PLAIN CSD</t>
  </si>
  <si>
    <t>OPPENHEIM-EPHR</t>
  </si>
  <si>
    <t>GLEN COVE CITY</t>
  </si>
  <si>
    <t>HEMPSTEAD UFSD</t>
  </si>
  <si>
    <t>UNIONDALE UFSD</t>
  </si>
  <si>
    <t>EAST MEADOW UF</t>
  </si>
  <si>
    <t>NORTH BELLMORE</t>
  </si>
  <si>
    <t>LEVITTOWN UFSD</t>
  </si>
  <si>
    <t xml:space="preserve">SEAFORD UFSD  </t>
  </si>
  <si>
    <t xml:space="preserve">BELLMORE UFSD </t>
  </si>
  <si>
    <t>ROOSEVELT UFSD</t>
  </si>
  <si>
    <t xml:space="preserve">FREEPORT UFSD </t>
  </si>
  <si>
    <t xml:space="preserve">BALDWIN UFSD  </t>
  </si>
  <si>
    <t>OCEANSIDE UFSD</t>
  </si>
  <si>
    <t xml:space="preserve">MALVERNE UFSD </t>
  </si>
  <si>
    <t xml:space="preserve">VALLEY STREAM </t>
  </si>
  <si>
    <t>HEWLETT-WOODME</t>
  </si>
  <si>
    <t xml:space="preserve">LAWRENCE UFSD </t>
  </si>
  <si>
    <t xml:space="preserve">ELMONT UFSD   </t>
  </si>
  <si>
    <t>FRANKLIN SQUAR</t>
  </si>
  <si>
    <t>GARDEN CITY UF</t>
  </si>
  <si>
    <t xml:space="preserve">EAST ROCKAWAY </t>
  </si>
  <si>
    <t xml:space="preserve">LYNBROOK UFSD </t>
  </si>
  <si>
    <t>ROCKVILLE CENT</t>
  </si>
  <si>
    <t>FLORAL PARK-BE</t>
  </si>
  <si>
    <t xml:space="preserve">WANTAGH UFSD  </t>
  </si>
  <si>
    <t xml:space="preserve">MERRICK UFSD  </t>
  </si>
  <si>
    <t>ISLAND TREES U</t>
  </si>
  <si>
    <t>WEST HEMPSTEAD</t>
  </si>
  <si>
    <t xml:space="preserve">NORTH MERRICK </t>
  </si>
  <si>
    <t>ISLAND PARK UF</t>
  </si>
  <si>
    <t>SEWANHAKA CENT</t>
  </si>
  <si>
    <t>BELLMORE-MERRI</t>
  </si>
  <si>
    <t>LONG BEACH CIT</t>
  </si>
  <si>
    <t xml:space="preserve">WESTBURY UFSD </t>
  </si>
  <si>
    <t>EAST WILLISTON</t>
  </si>
  <si>
    <t xml:space="preserve">ROSLYN UFSD   </t>
  </si>
  <si>
    <t>PORT WASHINGTO</t>
  </si>
  <si>
    <t>NEW HYDE PARK-</t>
  </si>
  <si>
    <t>MANHASSET UFSD</t>
  </si>
  <si>
    <t>GREAT NECK UFS</t>
  </si>
  <si>
    <t xml:space="preserve">HERRICKS UFSD </t>
  </si>
  <si>
    <t xml:space="preserve">MINEOLA UFSD  </t>
  </si>
  <si>
    <t>CARLE PLACE UF</t>
  </si>
  <si>
    <t>NORTH SHORE CS</t>
  </si>
  <si>
    <t xml:space="preserve">SYOSSET CSD   </t>
  </si>
  <si>
    <t xml:space="preserve">LOCUST VALLEY </t>
  </si>
  <si>
    <t xml:space="preserve">PLAINVIEW-OLD </t>
  </si>
  <si>
    <t>OYSTER BAY-EAS</t>
  </si>
  <si>
    <t xml:space="preserve">JERICHO UFSD  </t>
  </si>
  <si>
    <t>HICKSVILLE UFS</t>
  </si>
  <si>
    <t>PLAINEDGE UFSD</t>
  </si>
  <si>
    <t xml:space="preserve">BETHPAGE UFSD </t>
  </si>
  <si>
    <t>FARMINGDALE UF</t>
  </si>
  <si>
    <t>MASSAPEQUA UFS</t>
  </si>
  <si>
    <t>LEWISTON-PORTE</t>
  </si>
  <si>
    <t xml:space="preserve">LOCKPORT CITY </t>
  </si>
  <si>
    <t xml:space="preserve">NEWFANE CSD   </t>
  </si>
  <si>
    <t>NIAGARA-WHEATF</t>
  </si>
  <si>
    <t xml:space="preserve">NIAGARA FALLS </t>
  </si>
  <si>
    <t>NORTH TONAWAND</t>
  </si>
  <si>
    <t xml:space="preserve">STARPOINT CSD </t>
  </si>
  <si>
    <t>ROYALTON-HARTL</t>
  </si>
  <si>
    <t xml:space="preserve">BARKER CSD    </t>
  </si>
  <si>
    <t xml:space="preserve">WILSON CSD    </t>
  </si>
  <si>
    <t>ADIRONDACK CSD</t>
  </si>
  <si>
    <t xml:space="preserve">CAMDEN CSD    </t>
  </si>
  <si>
    <t xml:space="preserve">CLINTON CSD   </t>
  </si>
  <si>
    <t>NEW HARTFORD C</t>
  </si>
  <si>
    <t xml:space="preserve">NY MILLS UFSD </t>
  </si>
  <si>
    <t>SAUQUOIT VALLE</t>
  </si>
  <si>
    <t xml:space="preserve">REMSEN CSD    </t>
  </si>
  <si>
    <t xml:space="preserve">ROME CITY SD  </t>
  </si>
  <si>
    <t>WATERVILLE CSD</t>
  </si>
  <si>
    <t xml:space="preserve">SHERRILL CITY </t>
  </si>
  <si>
    <t>HOLLAND PATENT</t>
  </si>
  <si>
    <t xml:space="preserve">UTICA CITY SD </t>
  </si>
  <si>
    <t>WESTMORELAND C</t>
  </si>
  <si>
    <t xml:space="preserve">ORISKANY CSD  </t>
  </si>
  <si>
    <t>WHITESBORO CSD</t>
  </si>
  <si>
    <t>WEST GENESEE C</t>
  </si>
  <si>
    <t>NORTH SYRACUSE</t>
  </si>
  <si>
    <t xml:space="preserve">EAST SYRACUSE </t>
  </si>
  <si>
    <t>JAMESVILLE-DEW</t>
  </si>
  <si>
    <t>JORDAN-ELBRIDG</t>
  </si>
  <si>
    <t xml:space="preserve">FABIUS-POMPEY </t>
  </si>
  <si>
    <t xml:space="preserve">WESTHILL CSD  </t>
  </si>
  <si>
    <t xml:space="preserve">SOLVAY UFSD   </t>
  </si>
  <si>
    <t xml:space="preserve">LAFAYETTE CSD </t>
  </si>
  <si>
    <t xml:space="preserve">BALDWINSVILLE </t>
  </si>
  <si>
    <t>FAYETTEVILLE-M</t>
  </si>
  <si>
    <t xml:space="preserve">MARCELLUS CSD </t>
  </si>
  <si>
    <t xml:space="preserve">ONONDAGA CSD  </t>
  </si>
  <si>
    <t xml:space="preserve">LIVERPOOL CSD </t>
  </si>
  <si>
    <t xml:space="preserve">LYNCOURT UFSD </t>
  </si>
  <si>
    <t>SKANEATELES CS</t>
  </si>
  <si>
    <t xml:space="preserve">TULLY CSD     </t>
  </si>
  <si>
    <t>CANANDAIGUA CI</t>
  </si>
  <si>
    <t>EAST BLOOMFIEL</t>
  </si>
  <si>
    <t>GENEVA CITY SD</t>
  </si>
  <si>
    <t>GORHAM-MIDDLES</t>
  </si>
  <si>
    <t>MANCHESTER-SHO</t>
  </si>
  <si>
    <t xml:space="preserve">NAPLES CSD    </t>
  </si>
  <si>
    <t>PHELPS-CLIFTON</t>
  </si>
  <si>
    <t xml:space="preserve">HONEOYE CSD   </t>
  </si>
  <si>
    <t xml:space="preserve">VICTOR CSD    </t>
  </si>
  <si>
    <t>WASHINGTONVILL</t>
  </si>
  <si>
    <t xml:space="preserve">CHESTER UFSD  </t>
  </si>
  <si>
    <t xml:space="preserve">CORNWALL CSD  </t>
  </si>
  <si>
    <t xml:space="preserve">PINE BUSH CSD </t>
  </si>
  <si>
    <t xml:space="preserve">GOSHEN CSD    </t>
  </si>
  <si>
    <t>HIGHLAND FALLS</t>
  </si>
  <si>
    <t>MIDDLETOWN CIT</t>
  </si>
  <si>
    <t>MINISINK VALLE</t>
  </si>
  <si>
    <t>MONROE-WOODBUR</t>
  </si>
  <si>
    <t>KIRYAS JOEL VI</t>
  </si>
  <si>
    <t>VALLEY CSD (MO</t>
  </si>
  <si>
    <t xml:space="preserve">NEWBURGH CITY </t>
  </si>
  <si>
    <t>PORT JERVIS CI</t>
  </si>
  <si>
    <t xml:space="preserve">TUXEDO UFSD   </t>
  </si>
  <si>
    <t>WARWICK VALLEY</t>
  </si>
  <si>
    <t>GREENWOOD LAKE</t>
  </si>
  <si>
    <t xml:space="preserve">FLORIDA UFSD  </t>
  </si>
  <si>
    <t xml:space="preserve">ALBION CSD    </t>
  </si>
  <si>
    <t xml:space="preserve">KENDALL CSD   </t>
  </si>
  <si>
    <t xml:space="preserve">HOLLEY CSD    </t>
  </si>
  <si>
    <t xml:space="preserve">MEDINA CSD    </t>
  </si>
  <si>
    <t>LYNDONVILLE CS</t>
  </si>
  <si>
    <t>ALTMAR-PARISH-</t>
  </si>
  <si>
    <t>FULTON CITY SD</t>
  </si>
  <si>
    <t xml:space="preserve">HANNIBAL CSD  </t>
  </si>
  <si>
    <t>CENTRAL SQUARE</t>
  </si>
  <si>
    <t xml:space="preserve">MEXICO CSD    </t>
  </si>
  <si>
    <t>OSWEGO CITY SD</t>
  </si>
  <si>
    <t xml:space="preserve">PULASKI CSD   </t>
  </si>
  <si>
    <t>SANDY CREEK CS</t>
  </si>
  <si>
    <t xml:space="preserve">PHOENIX CSD   </t>
  </si>
  <si>
    <t>GILBERTSVILLE-</t>
  </si>
  <si>
    <t xml:space="preserve">EDMESTON CSD  </t>
  </si>
  <si>
    <t xml:space="preserve">LAURENS CSD   </t>
  </si>
  <si>
    <t xml:space="preserve">SCHENEVUS CSD </t>
  </si>
  <si>
    <t xml:space="preserve">MILFORD CSD   </t>
  </si>
  <si>
    <t xml:space="preserve">MORRIS CSD    </t>
  </si>
  <si>
    <t>ONEONTA CITY S</t>
  </si>
  <si>
    <t>OTEGO-UNADILLA</t>
  </si>
  <si>
    <t>COOPERSTOWN CS</t>
  </si>
  <si>
    <t>RICHFIELD SPRI</t>
  </si>
  <si>
    <t>CHERRY VALLEY-</t>
  </si>
  <si>
    <t xml:space="preserve">WORCESTER CSD </t>
  </si>
  <si>
    <t xml:space="preserve">MAHOPAC CSD   </t>
  </si>
  <si>
    <t xml:space="preserve">CARMEL CSD    </t>
  </si>
  <si>
    <t xml:space="preserve">HALDANE CSD   </t>
  </si>
  <si>
    <t xml:space="preserve">GARRISON UFSD </t>
  </si>
  <si>
    <t xml:space="preserve"> </t>
  </si>
  <si>
    <t xml:space="preserve">PUTNAM VALLEY </t>
  </si>
  <si>
    <t xml:space="preserve">BREWSTER CSD  </t>
  </si>
  <si>
    <t xml:space="preserve">BERLIN CSD    </t>
  </si>
  <si>
    <t xml:space="preserve">BRUNSWICK CSD </t>
  </si>
  <si>
    <t>EAST GREENBUSH</t>
  </si>
  <si>
    <t xml:space="preserve">HOOSICK FALLS </t>
  </si>
  <si>
    <t>LANSINGBURGH C</t>
  </si>
  <si>
    <t>NORTH GREENBUS</t>
  </si>
  <si>
    <t>WYNANTSKILL UF</t>
  </si>
  <si>
    <t>RENSSELAER CIT</t>
  </si>
  <si>
    <t>AVERILL PARK C</t>
  </si>
  <si>
    <t xml:space="preserve">HOOSIC VALLEY </t>
  </si>
  <si>
    <t xml:space="preserve">SCHODACK CSD  </t>
  </si>
  <si>
    <t xml:space="preserve">TROY CITY SD  </t>
  </si>
  <si>
    <t>CLARKSTOWN CSD</t>
  </si>
  <si>
    <t xml:space="preserve">NANUET UFSD   </t>
  </si>
  <si>
    <t>HAVERSTRAW-STO</t>
  </si>
  <si>
    <t>SOUTH ORANGETO</t>
  </si>
  <si>
    <t xml:space="preserve">NYACK UFSD    </t>
  </si>
  <si>
    <t>PEARL RIVER UF</t>
  </si>
  <si>
    <t xml:space="preserve">SUFFERN CSD   </t>
  </si>
  <si>
    <t>EAST RAMAPO CS</t>
  </si>
  <si>
    <t xml:space="preserve">BRASHER FALLS </t>
  </si>
  <si>
    <t xml:space="preserve">CANTON CSD    </t>
  </si>
  <si>
    <t>CLIFTON-FINE C</t>
  </si>
  <si>
    <t>COLTON-PIERREP</t>
  </si>
  <si>
    <t>GOUVERNEUR CSD</t>
  </si>
  <si>
    <t xml:space="preserve">HAMMOND CSD   </t>
  </si>
  <si>
    <t xml:space="preserve">HERMON-DEKALB </t>
  </si>
  <si>
    <t xml:space="preserve">LISBON CSD    </t>
  </si>
  <si>
    <t>MADRID-WADDING</t>
  </si>
  <si>
    <t xml:space="preserve">MASSENA CSD   </t>
  </si>
  <si>
    <t>MORRISTOWN CSD</t>
  </si>
  <si>
    <t>NORWOOD-NORFOL</t>
  </si>
  <si>
    <t>OGDENSBURG CIT</t>
  </si>
  <si>
    <t xml:space="preserve">HEUVELTON CSD </t>
  </si>
  <si>
    <t>PARISHVILLE-HO</t>
  </si>
  <si>
    <t xml:space="preserve">POTSDAM CSD   </t>
  </si>
  <si>
    <t>EDWARDS-KNOX C</t>
  </si>
  <si>
    <t>BURNT HILLS-BA</t>
  </si>
  <si>
    <t>SHENENDEHOWA C</t>
  </si>
  <si>
    <t xml:space="preserve">CORINTH CSD   </t>
  </si>
  <si>
    <t>EDINBURG COMMO</t>
  </si>
  <si>
    <t xml:space="preserve">GALWAY CSD    </t>
  </si>
  <si>
    <t xml:space="preserve">MECHANICVILLE </t>
  </si>
  <si>
    <t>BALLSTON SPA C</t>
  </si>
  <si>
    <t>SOUTH GLENS FA</t>
  </si>
  <si>
    <t xml:space="preserve">SCHUYLERVILLE </t>
  </si>
  <si>
    <t>SARATOGA SPRIN</t>
  </si>
  <si>
    <t>STILLWATER CSD</t>
  </si>
  <si>
    <t>WATERFORD-HALF</t>
  </si>
  <si>
    <t>DUANESBURG CSD</t>
  </si>
  <si>
    <t>SCOTIA-GLENVIL</t>
  </si>
  <si>
    <t xml:space="preserve">NISKAYUNA CSD </t>
  </si>
  <si>
    <t xml:space="preserve">SCHALMONT CSD </t>
  </si>
  <si>
    <t>ROTTERDAM-MOHO</t>
  </si>
  <si>
    <t>SCHENECTADY CI</t>
  </si>
  <si>
    <t>GILBOA-CONESVI</t>
  </si>
  <si>
    <t xml:space="preserve">JEFFERSON CSD </t>
  </si>
  <si>
    <t>MIDDLEBURGH CS</t>
  </si>
  <si>
    <t>COBLESKILL-RIC</t>
  </si>
  <si>
    <t xml:space="preserve">SCHOHARIE CSD </t>
  </si>
  <si>
    <t>SHARON SPRINGS</t>
  </si>
  <si>
    <t>ODESSA-MONTOUR</t>
  </si>
  <si>
    <t>WATKINS GLEN C</t>
  </si>
  <si>
    <t>SOUTH SENECA C</t>
  </si>
  <si>
    <t xml:space="preserve">ROMULUS CSD   </t>
  </si>
  <si>
    <t>SENECA FALLS C</t>
  </si>
  <si>
    <t xml:space="preserve">WATERLOO CSD  </t>
  </si>
  <si>
    <t xml:space="preserve">ADDISON CSD   </t>
  </si>
  <si>
    <t xml:space="preserve">AVOCA CSD     </t>
  </si>
  <si>
    <t xml:space="preserve">BATH CSD      </t>
  </si>
  <si>
    <t xml:space="preserve">BRADFORD CSD  </t>
  </si>
  <si>
    <t>CAMPBELL-SAVON</t>
  </si>
  <si>
    <t>CORNING CITY S</t>
  </si>
  <si>
    <t>CANISTEO-GREEN</t>
  </si>
  <si>
    <t>HORNELL CITY S</t>
  </si>
  <si>
    <t xml:space="preserve">ARKPORT CSD   </t>
  </si>
  <si>
    <t>PRATTSBURGH CS</t>
  </si>
  <si>
    <t>JASPER-TROUPSB</t>
  </si>
  <si>
    <t>HAMMONDSPORT C</t>
  </si>
  <si>
    <t>WAYLAND-COHOCT</t>
  </si>
  <si>
    <t xml:space="preserve">BABYLON UFSD  </t>
  </si>
  <si>
    <t>WEST BABYLON U</t>
  </si>
  <si>
    <t xml:space="preserve">NORTH BABYLON </t>
  </si>
  <si>
    <t>LINDENHURST UF</t>
  </si>
  <si>
    <t xml:space="preserve">COPIAGUE UFSD </t>
  </si>
  <si>
    <t>AMITYVILLE UFS</t>
  </si>
  <si>
    <t>DEER PARK UFSD</t>
  </si>
  <si>
    <t>WYANDANCH UFSD</t>
  </si>
  <si>
    <t xml:space="preserve">THREE VILLAGE </t>
  </si>
  <si>
    <t>BROOKHAVEN-COM</t>
  </si>
  <si>
    <t xml:space="preserve">SACHEM CSD    </t>
  </si>
  <si>
    <t>PORT JEFFERSON</t>
  </si>
  <si>
    <t xml:space="preserve">MT SINAI UFSD </t>
  </si>
  <si>
    <t>MILLER PLACE U</t>
  </si>
  <si>
    <t>ROCKY POINT UF</t>
  </si>
  <si>
    <t>MIDDLE COUNTRY</t>
  </si>
  <si>
    <t xml:space="preserve">LONGWOOD CSD  </t>
  </si>
  <si>
    <t>PATCHOGUE-MEDF</t>
  </si>
  <si>
    <t xml:space="preserve">WILLIAM FLOYD </t>
  </si>
  <si>
    <t>CENTER MORICHE</t>
  </si>
  <si>
    <t xml:space="preserve">EAST MORICHES </t>
  </si>
  <si>
    <t xml:space="preserve">SOUTH COUNTRY </t>
  </si>
  <si>
    <t>EAST HAMPTON U</t>
  </si>
  <si>
    <t>WAINSCOTT COMN</t>
  </si>
  <si>
    <t>AMAGANSETT UFS</t>
  </si>
  <si>
    <t xml:space="preserve">SPRINGS UFSD  </t>
  </si>
  <si>
    <t>SAG HARBOR UFS</t>
  </si>
  <si>
    <t xml:space="preserve">MONTAUK UFSD  </t>
  </si>
  <si>
    <t xml:space="preserve">ELWOOD UFSD   </t>
  </si>
  <si>
    <t>COLD SPRING HA</t>
  </si>
  <si>
    <t>HUNTINGTON UFS</t>
  </si>
  <si>
    <t>NORTHPORT-EAST</t>
  </si>
  <si>
    <t>HALF HOLLOW HI</t>
  </si>
  <si>
    <t>HARBORFIELDS C</t>
  </si>
  <si>
    <t xml:space="preserve">COMMACK UFSD  </t>
  </si>
  <si>
    <t>SOUTH HUNTINGT</t>
  </si>
  <si>
    <t>BAY SHORE UFSD</t>
  </si>
  <si>
    <t xml:space="preserve">ISLIP UFSD    </t>
  </si>
  <si>
    <t>EAST ISLIP UFS</t>
  </si>
  <si>
    <t xml:space="preserve">SAYVILLE UFSD </t>
  </si>
  <si>
    <t>BAYPORT-BLUE P</t>
  </si>
  <si>
    <t>HAUPPAUGE UFSD</t>
  </si>
  <si>
    <t>CONNETQUOT CSD</t>
  </si>
  <si>
    <t>WEST ISLIP UFS</t>
  </si>
  <si>
    <t>BRENTWOOD UFSD</t>
  </si>
  <si>
    <t xml:space="preserve">CENTRAL ISLIP </t>
  </si>
  <si>
    <t>FIRE ISLAND UF</t>
  </si>
  <si>
    <t>SHOREHAM-WADIN</t>
  </si>
  <si>
    <t xml:space="preserve">RIVERHEAD CSD </t>
  </si>
  <si>
    <t>SHELTER ISLAND</t>
  </si>
  <si>
    <t xml:space="preserve">SMITHTOWN CSD </t>
  </si>
  <si>
    <t>KINGS PARK CSD</t>
  </si>
  <si>
    <t>REMSENBURG-SPE</t>
  </si>
  <si>
    <t>WESTHAMPTON BE</t>
  </si>
  <si>
    <t xml:space="preserve">QUOGUE UFSD   </t>
  </si>
  <si>
    <t>HAMPTON BAYS U</t>
  </si>
  <si>
    <t>SOUTHAMPTON UF</t>
  </si>
  <si>
    <t xml:space="preserve">BRIDGEHAMPTON </t>
  </si>
  <si>
    <t>SAGAPONACK COM</t>
  </si>
  <si>
    <t>EASTPORT-SOUTH</t>
  </si>
  <si>
    <t xml:space="preserve">TUCKAHOE COMN </t>
  </si>
  <si>
    <t>EAST QUOGUE UF</t>
  </si>
  <si>
    <t>OYSTERPONDS UF</t>
  </si>
  <si>
    <t>FISHERS ISLAND</t>
  </si>
  <si>
    <t xml:space="preserve">SOUTHOLD UFSD </t>
  </si>
  <si>
    <t>GREENPORT UFSD</t>
  </si>
  <si>
    <t>MATTITUCK-CUTC</t>
  </si>
  <si>
    <t xml:space="preserve">FALLSBURG CSD </t>
  </si>
  <si>
    <t xml:space="preserve">ELDRED CSD    </t>
  </si>
  <si>
    <t xml:space="preserve">LIBERTY CSD   </t>
  </si>
  <si>
    <t>TRI-VALLEY CSD</t>
  </si>
  <si>
    <t xml:space="preserve">ROSCOE CSD    </t>
  </si>
  <si>
    <t>LIVINGSTON MAN</t>
  </si>
  <si>
    <t>MONTICELLO CSD</t>
  </si>
  <si>
    <t xml:space="preserve">SULLIVAN WEST </t>
  </si>
  <si>
    <t xml:space="preserve">WAVERLY CSD   </t>
  </si>
  <si>
    <t xml:space="preserve">CANDOR CSD    </t>
  </si>
  <si>
    <t xml:space="preserve">NEWARK VALLEY </t>
  </si>
  <si>
    <t>OWEGO-APALACHI</t>
  </si>
  <si>
    <t>SPENCER-VAN ET</t>
  </si>
  <si>
    <t xml:space="preserve">TIOGA CSD     </t>
  </si>
  <si>
    <t xml:space="preserve">DRYDEN CSD    </t>
  </si>
  <si>
    <t xml:space="preserve">GROTON CSD    </t>
  </si>
  <si>
    <t>ITHACA CITY SD</t>
  </si>
  <si>
    <t xml:space="preserve">LANSING CSD   </t>
  </si>
  <si>
    <t xml:space="preserve">NEWFIELD CSD  </t>
  </si>
  <si>
    <t>TRUMANSBURG CS</t>
  </si>
  <si>
    <t xml:space="preserve">KINGSTON CITY </t>
  </si>
  <si>
    <t xml:space="preserve">HIGHLAND CSD  </t>
  </si>
  <si>
    <t>RONDOUT VALLEY</t>
  </si>
  <si>
    <t xml:space="preserve">MARLBORO CSD  </t>
  </si>
  <si>
    <t xml:space="preserve">NEW PALTZ CSD </t>
  </si>
  <si>
    <t xml:space="preserve">ONTEORA CSD   </t>
  </si>
  <si>
    <t>SAUGERTIES CSD</t>
  </si>
  <si>
    <t xml:space="preserve">WALLKILL CSD  </t>
  </si>
  <si>
    <t>ELLENVILLE CSD</t>
  </si>
  <si>
    <t xml:space="preserve">BOLTON CSD    </t>
  </si>
  <si>
    <t>NORTH WARREN C</t>
  </si>
  <si>
    <t>GLENS FALLS CI</t>
  </si>
  <si>
    <t xml:space="preserve">JOHNSBURG CSD </t>
  </si>
  <si>
    <t>LAKE GEORGE CS</t>
  </si>
  <si>
    <t>HADLEY-LUZERNE</t>
  </si>
  <si>
    <t>QUEENSBURY UFS</t>
  </si>
  <si>
    <t>GLENS FALLS CO</t>
  </si>
  <si>
    <t>WARRENSBURG CS</t>
  </si>
  <si>
    <t xml:space="preserve">ARGYLE CSD    </t>
  </si>
  <si>
    <t xml:space="preserve">FORT ANN CSD  </t>
  </si>
  <si>
    <t>FORT EDWARD UF</t>
  </si>
  <si>
    <t xml:space="preserve">GRANVILLE CSD </t>
  </si>
  <si>
    <t xml:space="preserve">GREENWICH CSD </t>
  </si>
  <si>
    <t xml:space="preserve">HARTFORD CSD  </t>
  </si>
  <si>
    <t>HUDSON FALLS C</t>
  </si>
  <si>
    <t xml:space="preserve">PUTNAM CSD    </t>
  </si>
  <si>
    <t xml:space="preserve">SALEM CSD     </t>
  </si>
  <si>
    <t xml:space="preserve">CAMBRIDGE CSD </t>
  </si>
  <si>
    <t xml:space="preserve">WHITEHALL CSD </t>
  </si>
  <si>
    <t xml:space="preserve">NEWARK CSD    </t>
  </si>
  <si>
    <t>CLYDE-SAVANNAH</t>
  </si>
  <si>
    <t xml:space="preserve">LYONS CSD     </t>
  </si>
  <si>
    <t xml:space="preserve">MARION CSD    </t>
  </si>
  <si>
    <t xml:space="preserve">WAYNE CSD     </t>
  </si>
  <si>
    <t>PALMYRA-MACEDO</t>
  </si>
  <si>
    <t xml:space="preserve">GANANDA CSD   </t>
  </si>
  <si>
    <t xml:space="preserve">SODUS CSD     </t>
  </si>
  <si>
    <t>WILLIAMSON CSD</t>
  </si>
  <si>
    <t>NORTH ROSE-WOL</t>
  </si>
  <si>
    <t xml:space="preserve">RED CREEK CSD </t>
  </si>
  <si>
    <t>KATONAH-LEWISB</t>
  </si>
  <si>
    <t xml:space="preserve">BEDFORD CSD   </t>
  </si>
  <si>
    <t xml:space="preserve">CROTON-HARMON </t>
  </si>
  <si>
    <t>HENDRICK HUDSO</t>
  </si>
  <si>
    <t>EASTCHESTER UF</t>
  </si>
  <si>
    <t xml:space="preserve">TUCKAHOE UFSD </t>
  </si>
  <si>
    <t>BRONXVILLE UFS</t>
  </si>
  <si>
    <t>UFSD-TARRYTOWN</t>
  </si>
  <si>
    <t>IRVINGTON UFSD</t>
  </si>
  <si>
    <t>DOBBS FERRY UF</t>
  </si>
  <si>
    <t>HASTINGS-ON-HU</t>
  </si>
  <si>
    <t xml:space="preserve">ARDSLEY UFSD  </t>
  </si>
  <si>
    <t xml:space="preserve">EDGEMONT UFSD </t>
  </si>
  <si>
    <t>GREENBURGH CSD</t>
  </si>
  <si>
    <t xml:space="preserve">ELMSFORD UFSD </t>
  </si>
  <si>
    <t xml:space="preserve">HARRISON CSD  </t>
  </si>
  <si>
    <t>MAMARONECK UFS</t>
  </si>
  <si>
    <t>MT PLEASANT CS</t>
  </si>
  <si>
    <t>POCANTICO HILL</t>
  </si>
  <si>
    <t xml:space="preserve">VALHALLA UFSD </t>
  </si>
  <si>
    <t xml:space="preserve">PLEASANTVILLE </t>
  </si>
  <si>
    <t>MT VERNON SCHO</t>
  </si>
  <si>
    <t xml:space="preserve">CHAPPAQUA CSD </t>
  </si>
  <si>
    <t>NEW ROCHELLE C</t>
  </si>
  <si>
    <t>BYRAM HILLS CS</t>
  </si>
  <si>
    <t>NORTH SALEM CS</t>
  </si>
  <si>
    <t xml:space="preserve">OSSINING UFSD </t>
  </si>
  <si>
    <t>BRIARCLIFF MAN</t>
  </si>
  <si>
    <t>PEEKSKILL CITY</t>
  </si>
  <si>
    <t xml:space="preserve">PELHAM UFSD   </t>
  </si>
  <si>
    <t xml:space="preserve">RYE CITY SD   </t>
  </si>
  <si>
    <t xml:space="preserve">RYE NECK UFSD </t>
  </si>
  <si>
    <t>PORT CHESTER-R</t>
  </si>
  <si>
    <t>BLIND BROOK-RY</t>
  </si>
  <si>
    <t>SCARSDALE UFSD</t>
  </si>
  <si>
    <t xml:space="preserve">SOMERS CSD    </t>
  </si>
  <si>
    <t>WHITE PLAINS C</t>
  </si>
  <si>
    <t xml:space="preserve">LAKELAND CSD  </t>
  </si>
  <si>
    <t xml:space="preserve">YORKTOWN CSD  </t>
  </si>
  <si>
    <t xml:space="preserve">ATTICA CSD    </t>
  </si>
  <si>
    <t>LETCHWORTH CSD</t>
  </si>
  <si>
    <t xml:space="preserve">WYOMING CSD   </t>
  </si>
  <si>
    <t xml:space="preserve">PERRY CSD     </t>
  </si>
  <si>
    <t xml:space="preserve">WARSAW CSD    </t>
  </si>
  <si>
    <t xml:space="preserve">PENN YAN CSD  </t>
  </si>
  <si>
    <t xml:space="preserve">DUNDEE CSD    </t>
  </si>
  <si>
    <t>BEDS Code</t>
  </si>
  <si>
    <t>District Name</t>
  </si>
  <si>
    <t>Total Proposed Spending 2020-21</t>
  </si>
  <si>
    <t>Total Proposed Spending 2021-22</t>
  </si>
  <si>
    <t>Spending Percent Change</t>
  </si>
  <si>
    <t>Proposed Tax Levy to Support Budget 2020-21</t>
  </si>
  <si>
    <t>Proposed Tax Levy to Support Budget 2021-22</t>
  </si>
  <si>
    <t>Levy for Library Debt 2020-21</t>
  </si>
  <si>
    <t>Levy for Library Debt 2021-22</t>
  </si>
  <si>
    <t>Levy for Non-Excludable Propositions 2020-21</t>
  </si>
  <si>
    <t>Levy for Non-Excludable Propositions 2021-22</t>
  </si>
  <si>
    <t>Tax Cap Reserve Used for 2020-21</t>
  </si>
  <si>
    <t>Tax Cap Reserve Used for 2021-22</t>
  </si>
  <si>
    <t>Total Proposed Tax Levy 2020-21</t>
  </si>
  <si>
    <t>Total Proposed Tax Levy  2021-22</t>
  </si>
  <si>
    <t>Proposed Tax Levy Percent Change</t>
  </si>
  <si>
    <t>Permissible Exclusions 2020-21</t>
  </si>
  <si>
    <t>Permissible Exclusions 2021-22</t>
  </si>
  <si>
    <t>Tax Levy Limit w/o Exclusions 2020-21</t>
  </si>
  <si>
    <t>Tax Levy Limit w/o Exclusions 2021-22</t>
  </si>
  <si>
    <t>Proposed Tax Levy w/o Excl. 2020-21</t>
  </si>
  <si>
    <t>Proposed Tax Levy w/o Excl. 2021-22</t>
  </si>
  <si>
    <t>(w/o Exc.) Tax Levy vs. Tax Levy Limit 2020-21</t>
  </si>
  <si>
    <t>(w/o Exc.) Tax Levy vs. Tax Levy Limit 2021-22</t>
  </si>
  <si>
    <t xml:space="preserve"> Enrollment 2020-21 </t>
  </si>
  <si>
    <t>Enrollment 2021-22</t>
  </si>
  <si>
    <t>Enrollment Percent Change</t>
  </si>
  <si>
    <t>FB - Adj Restricted 2020-21</t>
  </si>
  <si>
    <t>FB - Adj Restricted 2021-22</t>
  </si>
  <si>
    <t>Assigned Approp FB 2020-21</t>
  </si>
  <si>
    <t>Assigned Approp FB 2021-22</t>
  </si>
  <si>
    <t>Adjusted Unrestricted 2020-21</t>
  </si>
  <si>
    <t>Adjusted Unrestricted 2021-22</t>
  </si>
  <si>
    <t>Adjusted Unrestricted Fund Balance as a Percent of Total Budget 2020-21</t>
  </si>
  <si>
    <t>Adjusted Unrestricted Fund Balance as a Percent of Total Budget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</si>
</sst>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wrapText="1"/>
    </xf>
    <xf numFmtId="166" fontId="0" fillId="0" borderId="17" xfId="0" applyNumberFormat="1" applyBorder="1" applyAlignment="1">
      <alignment wrapText="1"/>
    </xf>
    <xf numFmtId="166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9"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&quot;$&quot;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I674" totalsRowShown="0" headerRowDxfId="26" headerRowBorderDxfId="37" tableBorderDxfId="38" totalsRowBorderDxfId="36">
  <autoFilter ref="A1:AI674"/>
  <sortState xmlns:xlrd2="http://schemas.microsoft.com/office/spreadsheetml/2017/richdata2" ref="A2:AI674">
    <sortCondition ref="B1:B674"/>
  </sortState>
  <tableColumns count="35">
    <tableColumn id="1" name="BEDS Code" dataDxfId="35"/>
    <tableColumn id="2" name="District Name" dataDxfId="34"/>
    <tableColumn id="3" name="Total Proposed Spending 2020-21" dataDxfId="25"/>
    <tableColumn id="4" name="Total Proposed Spending 2021-22" dataDxfId="24"/>
    <tableColumn id="5" name="Spending Percent Change" dataDxfId="33"/>
    <tableColumn id="6" name="Proposed Tax Levy to Support Budget 2020-21" dataDxfId="23"/>
    <tableColumn id="7" name="Proposed Tax Levy to Support Budget 2021-22" dataDxfId="22"/>
    <tableColumn id="8" name="Levy for Library Debt 2020-21" dataDxfId="21"/>
    <tableColumn id="9" name="Levy for Library Debt 2021-22" dataDxfId="20"/>
    <tableColumn id="10" name="Levy for Non-Excludable Propositions 2020-21" dataDxfId="19"/>
    <tableColumn id="11" name="Levy for Non-Excludable Propositions 2021-22" dataDxfId="18"/>
    <tableColumn id="12" name="Tax Cap Reserve Used for 2020-21" dataDxfId="17"/>
    <tableColumn id="13" name="Tax Cap Reserve Used for 2021-22" dataDxfId="16"/>
    <tableColumn id="14" name="Total Proposed Tax Levy 2020-21" dataDxfId="15"/>
    <tableColumn id="15" name="Total Proposed Tax Levy  2021-22" dataDxfId="14"/>
    <tableColumn id="16" name="Proposed Tax Levy Percent Change" dataDxfId="32"/>
    <tableColumn id="17" name="Permissible Exclusions 2020-21" dataDxfId="13"/>
    <tableColumn id="18" name="Permissible Exclusions 2021-22" dataDxfId="12"/>
    <tableColumn id="19" name="Tax Levy Limit w/o Exclusions 2020-21" dataDxfId="11"/>
    <tableColumn id="20" name="Tax Levy Limit w/o Exclusions 2021-22" dataDxfId="10"/>
    <tableColumn id="21" name="Proposed Tax Levy w/o Excl. 2020-21" dataDxfId="9"/>
    <tableColumn id="22" name="Proposed Tax Levy w/o Excl. 2021-22" dataDxfId="8"/>
    <tableColumn id="23" name="(w/o Exc.) Tax Levy vs. Tax Levy Limit 2020-21" dataDxfId="7"/>
    <tableColumn id="24" name="(w/o Exc.) Tax Levy vs. Tax Levy Limit 2021-22" dataDxfId="6"/>
    <tableColumn id="25" name=" Enrollment 2020-21 " dataDxfId="31"/>
    <tableColumn id="26" name="Enrollment 2021-22" dataDxfId="30"/>
    <tableColumn id="27" name="Enrollment Percent Change" dataDxfId="29"/>
    <tableColumn id="28" name="FB - Adj Restricted 2020-21" dataDxfId="5"/>
    <tableColumn id="29" name="FB - Adj Restricted 2021-22" dataDxfId="4"/>
    <tableColumn id="30" name="Assigned Approp FB 2020-21" dataDxfId="3"/>
    <tableColumn id="31" name="Assigned Approp FB 2021-22" dataDxfId="2"/>
    <tableColumn id="32" name="Adjusted Unrestricted 2020-21" dataDxfId="1"/>
    <tableColumn id="33" name="Adjusted Unrestricted 2021-22" dataDxfId="0"/>
    <tableColumn id="34" name="Adjusted Unrestricted Fund Balance as a Percent of Total Budget 2020-21" dataDxfId="28"/>
    <tableColumn id="35" name="Adjusted Unrestricted Fund Balance as a Percent of Total Budget 2021-22" dataDxfId="27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3.7109375" bestFit="1" customWidth="1"/>
    <col min="2" max="2" width="19.7109375" bestFit="1" customWidth="1"/>
    <col min="3" max="4" width="20.140625" style="17" customWidth="1"/>
    <col min="5" max="5" width="20.140625" style="1" customWidth="1"/>
    <col min="6" max="15" width="20.140625" style="17" customWidth="1"/>
    <col min="16" max="16" width="20.140625" style="1" customWidth="1"/>
    <col min="17" max="24" width="20.140625" style="17" customWidth="1"/>
    <col min="25" max="27" width="20.140625" style="1" customWidth="1"/>
    <col min="28" max="33" width="20.140625" style="17" customWidth="1"/>
    <col min="34" max="35" width="20.140625" style="1" customWidth="1"/>
  </cols>
  <sheetData>
    <row r="1" spans="1:35" s="2" customFormat="1" ht="78.75" x14ac:dyDescent="0.25">
      <c r="A1" s="11" t="s">
        <v>671</v>
      </c>
      <c r="B1" s="12" t="s">
        <v>672</v>
      </c>
      <c r="C1" s="14" t="s">
        <v>673</v>
      </c>
      <c r="D1" s="14" t="s">
        <v>674</v>
      </c>
      <c r="E1" s="12" t="s">
        <v>675</v>
      </c>
      <c r="F1" s="14" t="s">
        <v>676</v>
      </c>
      <c r="G1" s="14" t="s">
        <v>677</v>
      </c>
      <c r="H1" s="14" t="s">
        <v>678</v>
      </c>
      <c r="I1" s="14" t="s">
        <v>679</v>
      </c>
      <c r="J1" s="14" t="s">
        <v>680</v>
      </c>
      <c r="K1" s="14" t="s">
        <v>681</v>
      </c>
      <c r="L1" s="14" t="s">
        <v>682</v>
      </c>
      <c r="M1" s="14" t="s">
        <v>683</v>
      </c>
      <c r="N1" s="14" t="s">
        <v>684</v>
      </c>
      <c r="O1" s="14" t="s">
        <v>685</v>
      </c>
      <c r="P1" s="12" t="s">
        <v>686</v>
      </c>
      <c r="Q1" s="14" t="s">
        <v>687</v>
      </c>
      <c r="R1" s="14" t="s">
        <v>688</v>
      </c>
      <c r="S1" s="14" t="s">
        <v>689</v>
      </c>
      <c r="T1" s="14" t="s">
        <v>690</v>
      </c>
      <c r="U1" s="14" t="s">
        <v>691</v>
      </c>
      <c r="V1" s="14" t="s">
        <v>692</v>
      </c>
      <c r="W1" s="14" t="s">
        <v>693</v>
      </c>
      <c r="X1" s="14" t="s">
        <v>694</v>
      </c>
      <c r="Y1" s="12" t="s">
        <v>695</v>
      </c>
      <c r="Z1" s="12" t="s">
        <v>696</v>
      </c>
      <c r="AA1" s="12" t="s">
        <v>697</v>
      </c>
      <c r="AB1" s="14" t="s">
        <v>698</v>
      </c>
      <c r="AC1" s="14" t="s">
        <v>699</v>
      </c>
      <c r="AD1" s="14" t="s">
        <v>700</v>
      </c>
      <c r="AE1" s="14" t="s">
        <v>701</v>
      </c>
      <c r="AF1" s="14" t="s">
        <v>702</v>
      </c>
      <c r="AG1" s="14" t="s">
        <v>703</v>
      </c>
      <c r="AH1" s="12" t="s">
        <v>704</v>
      </c>
      <c r="AI1" s="13" t="s">
        <v>705</v>
      </c>
    </row>
    <row r="2" spans="1:35" x14ac:dyDescent="0.25">
      <c r="A2" s="5" t="str">
        <f>"570101"</f>
        <v>570101</v>
      </c>
      <c r="B2" s="3" t="s">
        <v>485</v>
      </c>
      <c r="C2" s="15">
        <v>33654580</v>
      </c>
      <c r="D2" s="15">
        <v>34700337</v>
      </c>
      <c r="E2" s="4">
        <v>3.11</v>
      </c>
      <c r="F2" s="15">
        <v>7344160</v>
      </c>
      <c r="G2" s="15">
        <v>7344160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7344160</v>
      </c>
      <c r="O2" s="15">
        <v>7344160</v>
      </c>
      <c r="P2" s="4">
        <v>0</v>
      </c>
      <c r="Q2" s="15">
        <v>0</v>
      </c>
      <c r="R2" s="15">
        <v>0</v>
      </c>
      <c r="S2" s="15">
        <v>7399167</v>
      </c>
      <c r="T2" s="15">
        <v>7554203</v>
      </c>
      <c r="U2" s="15">
        <v>7344160</v>
      </c>
      <c r="V2" s="15">
        <v>7344160</v>
      </c>
      <c r="W2" s="15">
        <v>55007</v>
      </c>
      <c r="X2" s="15">
        <v>210043</v>
      </c>
      <c r="Y2" s="4">
        <v>1090</v>
      </c>
      <c r="Z2" s="4">
        <v>1064</v>
      </c>
      <c r="AA2" s="4">
        <v>-2.39</v>
      </c>
      <c r="AB2" s="15">
        <v>7254502</v>
      </c>
      <c r="AC2" s="15">
        <v>3389528</v>
      </c>
      <c r="AD2" s="15">
        <v>142500</v>
      </c>
      <c r="AE2" s="15">
        <v>992500</v>
      </c>
      <c r="AF2" s="15">
        <v>1346183</v>
      </c>
      <c r="AG2" s="15">
        <v>1388013</v>
      </c>
      <c r="AH2" s="4">
        <v>4</v>
      </c>
      <c r="AI2" s="6">
        <v>4</v>
      </c>
    </row>
    <row r="3" spans="1:35" x14ac:dyDescent="0.25">
      <c r="A3" s="5" t="str">
        <f>"410401"</f>
        <v>410401</v>
      </c>
      <c r="B3" s="3" t="s">
        <v>327</v>
      </c>
      <c r="C3" s="15">
        <v>31567889</v>
      </c>
      <c r="D3" s="15">
        <v>31584436</v>
      </c>
      <c r="E3" s="4">
        <v>0.05</v>
      </c>
      <c r="F3" s="15">
        <v>10429351</v>
      </c>
      <c r="G3" s="15">
        <v>10642968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10429351</v>
      </c>
      <c r="O3" s="15">
        <v>10642968</v>
      </c>
      <c r="P3" s="4">
        <v>2.0499999999999998</v>
      </c>
      <c r="Q3" s="15">
        <v>272470</v>
      </c>
      <c r="R3" s="15">
        <v>209452</v>
      </c>
      <c r="S3" s="15">
        <v>10267711</v>
      </c>
      <c r="T3" s="15">
        <v>10433516</v>
      </c>
      <c r="U3" s="15">
        <v>10156881</v>
      </c>
      <c r="V3" s="15">
        <v>10433516</v>
      </c>
      <c r="W3" s="15">
        <v>110830</v>
      </c>
      <c r="X3" s="15">
        <v>0</v>
      </c>
      <c r="Y3" s="4">
        <v>1210</v>
      </c>
      <c r="Z3" s="4">
        <v>1162</v>
      </c>
      <c r="AA3" s="4">
        <v>-3.97</v>
      </c>
      <c r="AB3" s="15">
        <v>4614742</v>
      </c>
      <c r="AC3" s="15">
        <v>4614742</v>
      </c>
      <c r="AD3" s="15">
        <v>861151</v>
      </c>
      <c r="AE3" s="15">
        <v>861151</v>
      </c>
      <c r="AF3" s="15">
        <v>2327524</v>
      </c>
      <c r="AG3" s="15">
        <v>3159032</v>
      </c>
      <c r="AH3" s="4">
        <v>7.37</v>
      </c>
      <c r="AI3" s="6">
        <v>10</v>
      </c>
    </row>
    <row r="4" spans="1:35" x14ac:dyDescent="0.25">
      <c r="A4" s="5" t="str">
        <f>"080101"</f>
        <v>080101</v>
      </c>
      <c r="B4" s="3" t="s">
        <v>76</v>
      </c>
      <c r="C4" s="15">
        <v>16568022</v>
      </c>
      <c r="D4" s="15">
        <v>17869284</v>
      </c>
      <c r="E4" s="4">
        <v>7.85</v>
      </c>
      <c r="F4" s="15">
        <v>4758486</v>
      </c>
      <c r="G4" s="15">
        <v>4853656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4758486</v>
      </c>
      <c r="O4" s="15">
        <v>4853656</v>
      </c>
      <c r="P4" s="4">
        <v>2</v>
      </c>
      <c r="Q4" s="15">
        <v>33270</v>
      </c>
      <c r="R4" s="15">
        <v>40063</v>
      </c>
      <c r="S4" s="15">
        <v>4725216</v>
      </c>
      <c r="T4" s="15">
        <v>4823662</v>
      </c>
      <c r="U4" s="15">
        <v>4725216</v>
      </c>
      <c r="V4" s="15">
        <v>4813593</v>
      </c>
      <c r="W4" s="15">
        <v>0</v>
      </c>
      <c r="X4" s="15">
        <v>10069</v>
      </c>
      <c r="Y4" s="4">
        <v>482</v>
      </c>
      <c r="Z4" s="4">
        <v>478</v>
      </c>
      <c r="AA4" s="4">
        <v>-0.83</v>
      </c>
      <c r="AB4" s="15">
        <v>2710340</v>
      </c>
      <c r="AC4" s="15">
        <v>2770340</v>
      </c>
      <c r="AD4" s="15">
        <v>201166</v>
      </c>
      <c r="AE4" s="15">
        <v>302971</v>
      </c>
      <c r="AF4" s="15">
        <v>5095238</v>
      </c>
      <c r="AG4" s="15">
        <v>3095238</v>
      </c>
      <c r="AH4" s="4">
        <v>30.75</v>
      </c>
      <c r="AI4" s="6">
        <v>17.32</v>
      </c>
    </row>
    <row r="5" spans="1:35" x14ac:dyDescent="0.25">
      <c r="A5" s="5" t="str">
        <f>"142101"</f>
        <v>142101</v>
      </c>
      <c r="B5" s="3" t="s">
        <v>149</v>
      </c>
      <c r="C5" s="15">
        <v>32597101</v>
      </c>
      <c r="D5" s="15">
        <v>34730650</v>
      </c>
      <c r="E5" s="4">
        <v>6.55</v>
      </c>
      <c r="F5" s="15">
        <v>10168386</v>
      </c>
      <c r="G5" s="15">
        <v>10168386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10168386</v>
      </c>
      <c r="O5" s="15">
        <v>10168386</v>
      </c>
      <c r="P5" s="4">
        <v>0</v>
      </c>
      <c r="Q5" s="15">
        <v>116050</v>
      </c>
      <c r="R5" s="15">
        <v>0</v>
      </c>
      <c r="S5" s="15">
        <v>10140022</v>
      </c>
      <c r="T5" s="15">
        <v>10316655</v>
      </c>
      <c r="U5" s="15">
        <v>10052336</v>
      </c>
      <c r="V5" s="15">
        <v>10168386</v>
      </c>
      <c r="W5" s="15">
        <v>87686</v>
      </c>
      <c r="X5" s="15">
        <v>148269</v>
      </c>
      <c r="Y5" s="4">
        <v>1338</v>
      </c>
      <c r="Z5" s="4">
        <v>1367</v>
      </c>
      <c r="AA5" s="4">
        <v>2.17</v>
      </c>
      <c r="AB5" s="15">
        <v>11984238</v>
      </c>
      <c r="AC5" s="15">
        <v>11855000</v>
      </c>
      <c r="AD5" s="15">
        <v>1332894</v>
      </c>
      <c r="AE5" s="15">
        <v>2116172</v>
      </c>
      <c r="AF5" s="15">
        <v>6275902</v>
      </c>
      <c r="AG5" s="15">
        <v>5525902</v>
      </c>
      <c r="AH5" s="4">
        <v>19.25</v>
      </c>
      <c r="AI5" s="6">
        <v>15.91</v>
      </c>
    </row>
    <row r="6" spans="1:35" x14ac:dyDescent="0.25">
      <c r="A6" s="5" t="str">
        <f>"010100"</f>
        <v>010100</v>
      </c>
      <c r="B6" s="3" t="s">
        <v>0</v>
      </c>
      <c r="C6" s="15">
        <v>270267867</v>
      </c>
      <c r="D6" s="15">
        <v>288157361</v>
      </c>
      <c r="E6" s="4">
        <v>6.62</v>
      </c>
      <c r="F6" s="15">
        <v>121259962</v>
      </c>
      <c r="G6" s="15">
        <v>122351302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121259962</v>
      </c>
      <c r="O6" s="15">
        <v>122351302</v>
      </c>
      <c r="P6" s="4">
        <v>0.9</v>
      </c>
      <c r="Q6" s="15">
        <v>5719520</v>
      </c>
      <c r="R6" s="15">
        <v>6388212</v>
      </c>
      <c r="S6" s="15">
        <v>116273513</v>
      </c>
      <c r="T6" s="15">
        <v>117829125</v>
      </c>
      <c r="U6" s="15">
        <v>115540442</v>
      </c>
      <c r="V6" s="15">
        <v>115963090</v>
      </c>
      <c r="W6" s="15">
        <v>733071</v>
      </c>
      <c r="X6" s="15">
        <v>1866035</v>
      </c>
      <c r="Y6" s="4">
        <v>8328</v>
      </c>
      <c r="Z6" s="4">
        <v>7992</v>
      </c>
      <c r="AA6" s="4">
        <v>-4.03</v>
      </c>
      <c r="AB6" s="15">
        <v>387000</v>
      </c>
      <c r="AC6" s="15">
        <v>387000</v>
      </c>
      <c r="AD6" s="15">
        <v>2583431</v>
      </c>
      <c r="AE6" s="15">
        <v>3185000</v>
      </c>
      <c r="AF6" s="15">
        <v>10789591</v>
      </c>
      <c r="AG6" s="15">
        <v>10698021</v>
      </c>
      <c r="AH6" s="4">
        <v>3.99</v>
      </c>
      <c r="AI6" s="6">
        <v>3.71</v>
      </c>
    </row>
    <row r="7" spans="1:35" x14ac:dyDescent="0.25">
      <c r="A7" s="5" t="str">
        <f>"450101"</f>
        <v>450101</v>
      </c>
      <c r="B7" s="3" t="s">
        <v>385</v>
      </c>
      <c r="C7" s="15">
        <v>37801299</v>
      </c>
      <c r="D7" s="15">
        <v>38298690</v>
      </c>
      <c r="E7" s="4">
        <v>1.32</v>
      </c>
      <c r="F7" s="15">
        <v>8449039</v>
      </c>
      <c r="G7" s="15">
        <v>8449039</v>
      </c>
      <c r="H7" s="15"/>
      <c r="I7" s="15"/>
      <c r="J7" s="15"/>
      <c r="K7" s="15"/>
      <c r="L7" s="15"/>
      <c r="M7" s="15"/>
      <c r="N7" s="15">
        <v>8449039</v>
      </c>
      <c r="O7" s="15">
        <v>8449039</v>
      </c>
      <c r="P7" s="4">
        <v>0</v>
      </c>
      <c r="Q7" s="15">
        <v>0</v>
      </c>
      <c r="R7" s="15">
        <v>0</v>
      </c>
      <c r="S7" s="15">
        <v>8710526</v>
      </c>
      <c r="T7" s="15">
        <v>8776943</v>
      </c>
      <c r="U7" s="15">
        <v>8449039</v>
      </c>
      <c r="V7" s="15">
        <v>8449039</v>
      </c>
      <c r="W7" s="15">
        <v>261487</v>
      </c>
      <c r="X7" s="15">
        <v>327904</v>
      </c>
      <c r="Y7" s="4">
        <v>1707</v>
      </c>
      <c r="Z7" s="4">
        <v>1767</v>
      </c>
      <c r="AA7" s="4">
        <v>3.51</v>
      </c>
      <c r="AB7" s="15">
        <v>21980683</v>
      </c>
      <c r="AC7" s="15">
        <v>4137566</v>
      </c>
      <c r="AD7" s="15">
        <v>2087262</v>
      </c>
      <c r="AE7" s="15">
        <v>1682489</v>
      </c>
      <c r="AF7" s="15">
        <v>18753782</v>
      </c>
      <c r="AG7" s="15">
        <v>13089832</v>
      </c>
      <c r="AH7" s="4">
        <v>49.61</v>
      </c>
      <c r="AI7" s="6">
        <v>34.18</v>
      </c>
    </row>
    <row r="8" spans="1:35" x14ac:dyDescent="0.25">
      <c r="A8" s="5" t="str">
        <f>"140101"</f>
        <v>140101</v>
      </c>
      <c r="B8" s="3" t="s">
        <v>128</v>
      </c>
      <c r="C8" s="15">
        <v>37152844</v>
      </c>
      <c r="D8" s="15">
        <v>37687668</v>
      </c>
      <c r="E8" s="4">
        <v>1.44</v>
      </c>
      <c r="F8" s="15">
        <v>16038212</v>
      </c>
      <c r="G8" s="15">
        <v>16451998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16038212</v>
      </c>
      <c r="O8" s="15">
        <v>16451998</v>
      </c>
      <c r="P8" s="4">
        <v>2.58</v>
      </c>
      <c r="Q8" s="15">
        <v>0</v>
      </c>
      <c r="R8" s="15">
        <v>0</v>
      </c>
      <c r="S8" s="15">
        <v>16053042</v>
      </c>
      <c r="T8" s="15">
        <v>16484023</v>
      </c>
      <c r="U8" s="15">
        <v>16038212</v>
      </c>
      <c r="V8" s="15">
        <v>16451998</v>
      </c>
      <c r="W8" s="15">
        <v>14830</v>
      </c>
      <c r="X8" s="15">
        <v>32025</v>
      </c>
      <c r="Y8" s="4">
        <v>1563</v>
      </c>
      <c r="Z8" s="4">
        <v>1556</v>
      </c>
      <c r="AA8" s="4">
        <v>-0.45</v>
      </c>
      <c r="AB8" s="15">
        <v>11964169</v>
      </c>
      <c r="AC8" s="15">
        <v>11414193</v>
      </c>
      <c r="AD8" s="15">
        <v>4490800</v>
      </c>
      <c r="AE8" s="15">
        <v>3100000</v>
      </c>
      <c r="AF8" s="15">
        <v>3366046</v>
      </c>
      <c r="AG8" s="15">
        <v>1507907</v>
      </c>
      <c r="AH8" s="4">
        <v>9.06</v>
      </c>
      <c r="AI8" s="6">
        <v>4</v>
      </c>
    </row>
    <row r="9" spans="1:35" x14ac:dyDescent="0.25">
      <c r="A9" s="5" t="str">
        <f>"180202"</f>
        <v>180202</v>
      </c>
      <c r="B9" s="3" t="s">
        <v>178</v>
      </c>
      <c r="C9" s="15">
        <v>19175475</v>
      </c>
      <c r="D9" s="15">
        <v>19404099</v>
      </c>
      <c r="E9" s="4">
        <v>1.19</v>
      </c>
      <c r="F9" s="15">
        <v>6206990</v>
      </c>
      <c r="G9" s="15">
        <v>6206990</v>
      </c>
      <c r="H9" s="15">
        <v>0</v>
      </c>
      <c r="I9" s="15">
        <v>0</v>
      </c>
      <c r="J9" s="15"/>
      <c r="K9" s="15"/>
      <c r="L9" s="15">
        <v>600000</v>
      </c>
      <c r="M9" s="15">
        <v>900000</v>
      </c>
      <c r="N9" s="15">
        <v>5606990</v>
      </c>
      <c r="O9" s="15">
        <v>5306990</v>
      </c>
      <c r="P9" s="4">
        <v>-5.35</v>
      </c>
      <c r="Q9" s="15">
        <v>0</v>
      </c>
      <c r="R9" s="15">
        <v>0</v>
      </c>
      <c r="S9" s="15">
        <v>6321321</v>
      </c>
      <c r="T9" s="15">
        <v>6350756</v>
      </c>
      <c r="U9" s="15">
        <v>6206990</v>
      </c>
      <c r="V9" s="15">
        <v>6206990</v>
      </c>
      <c r="W9" s="15">
        <v>114331</v>
      </c>
      <c r="X9" s="15">
        <v>143766</v>
      </c>
      <c r="Y9" s="4">
        <v>830</v>
      </c>
      <c r="Z9" s="4">
        <v>784</v>
      </c>
      <c r="AA9" s="4">
        <v>-5.54</v>
      </c>
      <c r="AB9" s="15">
        <v>4397458</v>
      </c>
      <c r="AC9" s="15">
        <v>5407273</v>
      </c>
      <c r="AD9" s="15">
        <v>600000</v>
      </c>
      <c r="AE9" s="15">
        <v>900000</v>
      </c>
      <c r="AF9" s="15">
        <v>741610</v>
      </c>
      <c r="AG9" s="15">
        <v>775000</v>
      </c>
      <c r="AH9" s="4">
        <v>3.87</v>
      </c>
      <c r="AI9" s="6">
        <v>3.99</v>
      </c>
    </row>
    <row r="10" spans="1:35" x14ac:dyDescent="0.25">
      <c r="A10" s="5" t="str">
        <f>"220202"</f>
        <v>220202</v>
      </c>
      <c r="B10" s="3" t="s">
        <v>209</v>
      </c>
      <c r="C10" s="15">
        <v>14231186</v>
      </c>
      <c r="D10" s="15">
        <v>15030670</v>
      </c>
      <c r="E10" s="4">
        <v>5.62</v>
      </c>
      <c r="F10" s="15">
        <v>7859325</v>
      </c>
      <c r="G10" s="15">
        <v>8165839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7859325</v>
      </c>
      <c r="O10" s="15">
        <v>8165839</v>
      </c>
      <c r="P10" s="4">
        <v>3.9</v>
      </c>
      <c r="Q10" s="15">
        <v>367888</v>
      </c>
      <c r="R10" s="15">
        <v>495178</v>
      </c>
      <c r="S10" s="15">
        <v>7547300</v>
      </c>
      <c r="T10" s="15">
        <v>7674935</v>
      </c>
      <c r="U10" s="15">
        <v>7491437</v>
      </c>
      <c r="V10" s="15">
        <v>7670661</v>
      </c>
      <c r="W10" s="15">
        <v>55863</v>
      </c>
      <c r="X10" s="15">
        <v>4274</v>
      </c>
      <c r="Y10" s="4">
        <v>503</v>
      </c>
      <c r="Z10" s="4">
        <v>500</v>
      </c>
      <c r="AA10" s="4">
        <v>-0.6</v>
      </c>
      <c r="AB10" s="15">
        <v>629128</v>
      </c>
      <c r="AC10" s="15">
        <v>519127</v>
      </c>
      <c r="AD10" s="15">
        <v>1134654</v>
      </c>
      <c r="AE10" s="15">
        <v>1350000</v>
      </c>
      <c r="AF10" s="15">
        <v>1731365</v>
      </c>
      <c r="AG10" s="15">
        <v>1790575</v>
      </c>
      <c r="AH10" s="4">
        <v>12.17</v>
      </c>
      <c r="AI10" s="6">
        <v>11.91</v>
      </c>
    </row>
    <row r="11" spans="1:35" x14ac:dyDescent="0.25">
      <c r="A11" s="5" t="str">
        <f>"020101"</f>
        <v>020101</v>
      </c>
      <c r="B11" s="3" t="s">
        <v>12</v>
      </c>
      <c r="C11" s="15">
        <v>14937499</v>
      </c>
      <c r="D11" s="15">
        <v>15237699</v>
      </c>
      <c r="E11" s="4">
        <v>2.0099999999999998</v>
      </c>
      <c r="F11" s="15">
        <v>5220459</v>
      </c>
      <c r="G11" s="15">
        <v>5220459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5220459</v>
      </c>
      <c r="O11" s="15">
        <v>5220459</v>
      </c>
      <c r="P11" s="4">
        <v>0</v>
      </c>
      <c r="Q11" s="15">
        <v>176309</v>
      </c>
      <c r="R11" s="15">
        <v>100414</v>
      </c>
      <c r="S11" s="15">
        <v>5091820</v>
      </c>
      <c r="T11" s="15">
        <v>5145033</v>
      </c>
      <c r="U11" s="15">
        <v>5044150</v>
      </c>
      <c r="V11" s="15">
        <v>5120045</v>
      </c>
      <c r="W11" s="15">
        <v>47670</v>
      </c>
      <c r="X11" s="15">
        <v>24988</v>
      </c>
      <c r="Y11" s="4">
        <v>614</v>
      </c>
      <c r="Z11" s="4">
        <v>577</v>
      </c>
      <c r="AA11" s="4">
        <v>-6.03</v>
      </c>
      <c r="AB11" s="15">
        <v>4006229</v>
      </c>
      <c r="AC11" s="15">
        <v>3249972</v>
      </c>
      <c r="AD11" s="15">
        <v>524936</v>
      </c>
      <c r="AE11" s="15">
        <v>358391</v>
      </c>
      <c r="AF11" s="15">
        <v>1423106</v>
      </c>
      <c r="AG11" s="15">
        <v>1200000</v>
      </c>
      <c r="AH11" s="4">
        <v>9.5299999999999994</v>
      </c>
      <c r="AI11" s="6">
        <v>7.88</v>
      </c>
    </row>
    <row r="12" spans="1:35" x14ac:dyDescent="0.25">
      <c r="A12" s="5" t="str">
        <f>"040302"</f>
        <v>040302</v>
      </c>
      <c r="B12" s="3" t="s">
        <v>37</v>
      </c>
      <c r="C12" s="15">
        <v>24518929</v>
      </c>
      <c r="D12" s="15">
        <v>25918655</v>
      </c>
      <c r="E12" s="4">
        <v>5.71</v>
      </c>
      <c r="F12" s="15">
        <v>7155796</v>
      </c>
      <c r="G12" s="15">
        <v>7155796</v>
      </c>
      <c r="H12" s="15"/>
      <c r="I12" s="15"/>
      <c r="J12" s="15"/>
      <c r="K12" s="15"/>
      <c r="L12" s="15"/>
      <c r="M12" s="15"/>
      <c r="N12" s="15">
        <v>7155796</v>
      </c>
      <c r="O12" s="15">
        <v>7155796</v>
      </c>
      <c r="P12" s="4">
        <v>0</v>
      </c>
      <c r="Q12" s="15">
        <v>0</v>
      </c>
      <c r="R12" s="15">
        <v>0</v>
      </c>
      <c r="S12" s="15">
        <v>7545087</v>
      </c>
      <c r="T12" s="15">
        <v>7537733</v>
      </c>
      <c r="U12" s="15">
        <v>7155796</v>
      </c>
      <c r="V12" s="15">
        <v>7155796</v>
      </c>
      <c r="W12" s="15">
        <v>389291</v>
      </c>
      <c r="X12" s="15">
        <v>381937</v>
      </c>
      <c r="Y12" s="4">
        <v>1089</v>
      </c>
      <c r="Z12" s="4">
        <v>1090</v>
      </c>
      <c r="AA12" s="4">
        <v>0.09</v>
      </c>
      <c r="AB12" s="15">
        <v>3572416</v>
      </c>
      <c r="AC12" s="15">
        <v>3852416</v>
      </c>
      <c r="AD12" s="15">
        <v>331770</v>
      </c>
      <c r="AE12" s="15">
        <v>394203</v>
      </c>
      <c r="AF12" s="15">
        <v>3369414</v>
      </c>
      <c r="AG12" s="15">
        <v>3306981</v>
      </c>
      <c r="AH12" s="4">
        <v>13.74</v>
      </c>
      <c r="AI12" s="6">
        <v>12.76</v>
      </c>
    </row>
    <row r="13" spans="1:35" x14ac:dyDescent="0.25">
      <c r="A13" s="5" t="str">
        <f>"460102"</f>
        <v>460102</v>
      </c>
      <c r="B13" s="3" t="s">
        <v>390</v>
      </c>
      <c r="C13" s="15">
        <v>33166285</v>
      </c>
      <c r="D13" s="15">
        <v>34999473</v>
      </c>
      <c r="E13" s="4">
        <v>5.53</v>
      </c>
      <c r="F13" s="15">
        <v>6238263</v>
      </c>
      <c r="G13" s="15">
        <v>6238263</v>
      </c>
      <c r="H13" s="15">
        <v>65000</v>
      </c>
      <c r="I13" s="15">
        <v>75000</v>
      </c>
      <c r="J13" s="15">
        <v>0</v>
      </c>
      <c r="K13" s="15">
        <v>0</v>
      </c>
      <c r="L13" s="15">
        <v>0</v>
      </c>
      <c r="M13" s="15">
        <v>0</v>
      </c>
      <c r="N13" s="15">
        <v>6303263</v>
      </c>
      <c r="O13" s="15">
        <v>6313263</v>
      </c>
      <c r="P13" s="4">
        <v>0.16</v>
      </c>
      <c r="Q13" s="15">
        <v>10744</v>
      </c>
      <c r="R13" s="15">
        <v>10301</v>
      </c>
      <c r="S13" s="15">
        <v>6344752</v>
      </c>
      <c r="T13" s="15">
        <v>6428152</v>
      </c>
      <c r="U13" s="15">
        <v>6227519</v>
      </c>
      <c r="V13" s="15">
        <v>6227962</v>
      </c>
      <c r="W13" s="15">
        <v>117233</v>
      </c>
      <c r="X13" s="15">
        <v>200190</v>
      </c>
      <c r="Y13" s="4">
        <v>1071</v>
      </c>
      <c r="Z13" s="4">
        <v>1061</v>
      </c>
      <c r="AA13" s="4">
        <v>-0.93</v>
      </c>
      <c r="AB13" s="15">
        <v>25402843</v>
      </c>
      <c r="AC13" s="15">
        <v>23841635</v>
      </c>
      <c r="AD13" s="15">
        <v>0</v>
      </c>
      <c r="AE13" s="15">
        <v>1159000</v>
      </c>
      <c r="AF13" s="15">
        <v>1326646</v>
      </c>
      <c r="AG13" s="15">
        <v>1399978</v>
      </c>
      <c r="AH13" s="4">
        <v>4</v>
      </c>
      <c r="AI13" s="6">
        <v>4</v>
      </c>
    </row>
    <row r="14" spans="1:35" x14ac:dyDescent="0.25">
      <c r="A14" s="5" t="str">
        <f>"580303"</f>
        <v>580303</v>
      </c>
      <c r="B14" s="3" t="s">
        <v>522</v>
      </c>
      <c r="C14" s="15">
        <v>11909189</v>
      </c>
      <c r="D14" s="15">
        <v>12659142</v>
      </c>
      <c r="E14" s="4">
        <v>6.3</v>
      </c>
      <c r="F14" s="15">
        <v>10459242</v>
      </c>
      <c r="G14" s="15">
        <v>10767026</v>
      </c>
      <c r="H14" s="15"/>
      <c r="I14" s="15"/>
      <c r="J14" s="15"/>
      <c r="K14" s="15"/>
      <c r="L14" s="15"/>
      <c r="M14" s="15"/>
      <c r="N14" s="15">
        <v>10459242</v>
      </c>
      <c r="O14" s="15">
        <v>10767026</v>
      </c>
      <c r="P14" s="4">
        <v>2.94</v>
      </c>
      <c r="Q14" s="15">
        <v>0</v>
      </c>
      <c r="R14" s="15">
        <v>0</v>
      </c>
      <c r="S14" s="15">
        <v>10459242</v>
      </c>
      <c r="T14" s="15">
        <v>10767026</v>
      </c>
      <c r="U14" s="15">
        <v>10459242</v>
      </c>
      <c r="V14" s="15">
        <v>10767026</v>
      </c>
      <c r="W14" s="15">
        <v>0</v>
      </c>
      <c r="X14" s="15">
        <v>0</v>
      </c>
      <c r="Y14" s="4">
        <v>144</v>
      </c>
      <c r="Z14" s="4">
        <v>144</v>
      </c>
      <c r="AA14" s="4">
        <v>0</v>
      </c>
      <c r="AB14" s="15">
        <v>2924112</v>
      </c>
      <c r="AC14" s="15">
        <v>3204910</v>
      </c>
      <c r="AD14" s="15">
        <v>839760</v>
      </c>
      <c r="AE14" s="15">
        <v>1259509</v>
      </c>
      <c r="AF14" s="15">
        <v>1656890</v>
      </c>
      <c r="AG14" s="15">
        <v>938398</v>
      </c>
      <c r="AH14" s="4">
        <v>13.91</v>
      </c>
      <c r="AI14" s="6">
        <v>7.41</v>
      </c>
    </row>
    <row r="15" spans="1:35" x14ac:dyDescent="0.25">
      <c r="A15" s="5" t="str">
        <f>"140201"</f>
        <v>140201</v>
      </c>
      <c r="B15" s="3" t="s">
        <v>129</v>
      </c>
      <c r="C15" s="15">
        <v>64316000</v>
      </c>
      <c r="D15" s="15">
        <v>68300000</v>
      </c>
      <c r="E15" s="4">
        <v>6.19</v>
      </c>
      <c r="F15" s="15">
        <v>38952886</v>
      </c>
      <c r="G15" s="15">
        <v>38684432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38952886</v>
      </c>
      <c r="O15" s="15">
        <v>38684432</v>
      </c>
      <c r="P15" s="4">
        <v>-0.69</v>
      </c>
      <c r="Q15" s="15">
        <v>1741160</v>
      </c>
      <c r="R15" s="15">
        <v>979147</v>
      </c>
      <c r="S15" s="15">
        <v>37211726</v>
      </c>
      <c r="T15" s="15">
        <v>37705285</v>
      </c>
      <c r="U15" s="15">
        <v>37211726</v>
      </c>
      <c r="V15" s="15">
        <v>37705285</v>
      </c>
      <c r="W15" s="15">
        <v>0</v>
      </c>
      <c r="X15" s="15">
        <v>0</v>
      </c>
      <c r="Y15" s="4">
        <v>2945</v>
      </c>
      <c r="Z15" s="4">
        <v>2993</v>
      </c>
      <c r="AA15" s="4">
        <v>1.63</v>
      </c>
      <c r="AB15" s="15">
        <v>4053436</v>
      </c>
      <c r="AC15" s="15">
        <v>6102904</v>
      </c>
      <c r="AD15" s="15">
        <v>1525945</v>
      </c>
      <c r="AE15" s="15">
        <v>1000000</v>
      </c>
      <c r="AF15" s="15">
        <v>4255523</v>
      </c>
      <c r="AG15" s="15">
        <v>2732000</v>
      </c>
      <c r="AH15" s="4">
        <v>6.62</v>
      </c>
      <c r="AI15" s="6">
        <v>4</v>
      </c>
    </row>
    <row r="16" spans="1:35" x14ac:dyDescent="0.25">
      <c r="A16" s="5" t="str">
        <f>"580106"</f>
        <v>580106</v>
      </c>
      <c r="B16" s="3" t="s">
        <v>503</v>
      </c>
      <c r="C16" s="15">
        <v>100525800</v>
      </c>
      <c r="D16" s="15">
        <v>105480409</v>
      </c>
      <c r="E16" s="4">
        <v>4.93</v>
      </c>
      <c r="F16" s="15">
        <v>60748314</v>
      </c>
      <c r="G16" s="15">
        <v>61916049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60748314</v>
      </c>
      <c r="O16" s="15">
        <v>61916049</v>
      </c>
      <c r="P16" s="4">
        <v>1.92</v>
      </c>
      <c r="Q16" s="15">
        <v>2046537</v>
      </c>
      <c r="R16" s="15">
        <v>3043317</v>
      </c>
      <c r="S16" s="15">
        <v>60389219</v>
      </c>
      <c r="T16" s="15">
        <v>60087575</v>
      </c>
      <c r="U16" s="15">
        <v>58701777</v>
      </c>
      <c r="V16" s="15">
        <v>58872732</v>
      </c>
      <c r="W16" s="15">
        <v>1687442</v>
      </c>
      <c r="X16" s="15">
        <v>1214843</v>
      </c>
      <c r="Y16" s="4">
        <v>3100</v>
      </c>
      <c r="Z16" s="4">
        <v>3000</v>
      </c>
      <c r="AA16" s="4">
        <v>-3.23</v>
      </c>
      <c r="AB16" s="15">
        <v>7748959</v>
      </c>
      <c r="AC16" s="15">
        <v>9000000</v>
      </c>
      <c r="AD16" s="15">
        <v>3000000</v>
      </c>
      <c r="AE16" s="15">
        <v>1400000</v>
      </c>
      <c r="AF16" s="15">
        <v>4010682</v>
      </c>
      <c r="AG16" s="15">
        <v>4219216</v>
      </c>
      <c r="AH16" s="4">
        <v>3.99</v>
      </c>
      <c r="AI16" s="6">
        <v>4</v>
      </c>
    </row>
    <row r="17" spans="1:35" x14ac:dyDescent="0.25">
      <c r="A17" s="5" t="str">
        <f>"270100"</f>
        <v>270100</v>
      </c>
      <c r="B17" s="3" t="s">
        <v>259</v>
      </c>
      <c r="C17" s="15">
        <v>79310319</v>
      </c>
      <c r="D17" s="15">
        <v>86035093</v>
      </c>
      <c r="E17" s="4">
        <v>8.48</v>
      </c>
      <c r="F17" s="15">
        <v>21501377</v>
      </c>
      <c r="G17" s="15">
        <v>21501377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21501377</v>
      </c>
      <c r="O17" s="15">
        <v>21501377</v>
      </c>
      <c r="P17" s="4">
        <v>0</v>
      </c>
      <c r="Q17" s="15">
        <v>2203393</v>
      </c>
      <c r="R17" s="15">
        <v>1795894</v>
      </c>
      <c r="S17" s="15">
        <v>19864793</v>
      </c>
      <c r="T17" s="15">
        <v>19713247</v>
      </c>
      <c r="U17" s="15">
        <v>19297984</v>
      </c>
      <c r="V17" s="15">
        <v>19705483</v>
      </c>
      <c r="W17" s="15">
        <v>566809</v>
      </c>
      <c r="X17" s="15">
        <v>7764</v>
      </c>
      <c r="Y17" s="4">
        <v>3700</v>
      </c>
      <c r="Z17" s="4">
        <v>3700</v>
      </c>
      <c r="AA17" s="4">
        <v>0</v>
      </c>
      <c r="AB17" s="15">
        <v>9533210</v>
      </c>
      <c r="AC17" s="15">
        <v>13017619</v>
      </c>
      <c r="AD17" s="15">
        <v>604209</v>
      </c>
      <c r="AE17" s="15">
        <v>2251466</v>
      </c>
      <c r="AF17" s="15">
        <v>18636253</v>
      </c>
      <c r="AG17" s="15">
        <v>15232434</v>
      </c>
      <c r="AH17" s="4">
        <v>23.5</v>
      </c>
      <c r="AI17" s="6">
        <v>17.7</v>
      </c>
    </row>
    <row r="18" spans="1:35" x14ac:dyDescent="0.25">
      <c r="A18" s="5" t="str">
        <f>"120102"</f>
        <v>120102</v>
      </c>
      <c r="B18" s="3" t="s">
        <v>103</v>
      </c>
      <c r="C18" s="15">
        <v>4494028</v>
      </c>
      <c r="D18" s="15">
        <v>4559034</v>
      </c>
      <c r="E18" s="4">
        <v>1.45</v>
      </c>
      <c r="F18" s="15">
        <v>3071997</v>
      </c>
      <c r="G18" s="15">
        <v>3071997</v>
      </c>
      <c r="H18" s="15"/>
      <c r="I18" s="15"/>
      <c r="J18" s="15"/>
      <c r="K18" s="15"/>
      <c r="L18" s="15"/>
      <c r="M18" s="15"/>
      <c r="N18" s="15">
        <v>3071997</v>
      </c>
      <c r="O18" s="15">
        <v>3071997</v>
      </c>
      <c r="P18" s="4">
        <v>0</v>
      </c>
      <c r="Q18" s="15">
        <v>343574</v>
      </c>
      <c r="R18" s="15">
        <v>270518</v>
      </c>
      <c r="S18" s="15">
        <v>2728423</v>
      </c>
      <c r="T18" s="15">
        <v>2801479</v>
      </c>
      <c r="U18" s="15">
        <v>2728423</v>
      </c>
      <c r="V18" s="15">
        <v>2801479</v>
      </c>
      <c r="W18" s="15">
        <v>0</v>
      </c>
      <c r="X18" s="15">
        <v>0</v>
      </c>
      <c r="Y18" s="4">
        <v>62</v>
      </c>
      <c r="Z18" s="4">
        <v>65</v>
      </c>
      <c r="AA18" s="4">
        <v>4.84</v>
      </c>
      <c r="AB18" s="15">
        <v>1149294</v>
      </c>
      <c r="AC18" s="15">
        <v>1149232</v>
      </c>
      <c r="AD18" s="15">
        <v>247970</v>
      </c>
      <c r="AE18" s="15">
        <v>275619</v>
      </c>
      <c r="AF18" s="15">
        <v>1543232</v>
      </c>
      <c r="AG18" s="15">
        <v>1416237</v>
      </c>
      <c r="AH18" s="4">
        <v>34.340000000000003</v>
      </c>
      <c r="AI18" s="6">
        <v>31.06</v>
      </c>
    </row>
    <row r="19" spans="1:35" x14ac:dyDescent="0.25">
      <c r="A19" s="5" t="str">
        <f>"020601"</f>
        <v>020601</v>
      </c>
      <c r="B19" s="3" t="s">
        <v>13</v>
      </c>
      <c r="C19" s="15">
        <v>9663000</v>
      </c>
      <c r="D19" s="15">
        <v>9924000</v>
      </c>
      <c r="E19" s="4">
        <v>2.7</v>
      </c>
      <c r="F19" s="15">
        <v>2543464</v>
      </c>
      <c r="G19" s="15">
        <v>2618242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2543464</v>
      </c>
      <c r="O19" s="15">
        <v>2618242</v>
      </c>
      <c r="P19" s="4">
        <v>2.94</v>
      </c>
      <c r="Q19" s="15">
        <v>0</v>
      </c>
      <c r="R19" s="15">
        <v>0</v>
      </c>
      <c r="S19" s="15">
        <v>2629375</v>
      </c>
      <c r="T19" s="15">
        <v>2640001</v>
      </c>
      <c r="U19" s="15">
        <v>2543464</v>
      </c>
      <c r="V19" s="15">
        <v>2618242</v>
      </c>
      <c r="W19" s="15">
        <v>85911</v>
      </c>
      <c r="X19" s="15">
        <v>21759</v>
      </c>
      <c r="Y19" s="4">
        <v>260</v>
      </c>
      <c r="Z19" s="4">
        <v>275</v>
      </c>
      <c r="AA19" s="4">
        <v>5.77</v>
      </c>
      <c r="AB19" s="15">
        <v>3407507</v>
      </c>
      <c r="AC19" s="15">
        <v>3177742</v>
      </c>
      <c r="AD19" s="15">
        <v>278000</v>
      </c>
      <c r="AE19" s="15">
        <v>315000</v>
      </c>
      <c r="AF19" s="15">
        <v>386520</v>
      </c>
      <c r="AG19" s="15">
        <v>396960</v>
      </c>
      <c r="AH19" s="4">
        <v>4</v>
      </c>
      <c r="AI19" s="6">
        <v>4</v>
      </c>
    </row>
    <row r="20" spans="1:35" x14ac:dyDescent="0.25">
      <c r="A20" s="5" t="str">
        <f>"660405"</f>
        <v>660405</v>
      </c>
      <c r="B20" s="3" t="s">
        <v>636</v>
      </c>
      <c r="C20" s="15">
        <v>74680461</v>
      </c>
      <c r="D20" s="15">
        <v>76691545</v>
      </c>
      <c r="E20" s="4">
        <v>2.69</v>
      </c>
      <c r="F20" s="15">
        <v>60000000</v>
      </c>
      <c r="G20" s="15">
        <v>60560166</v>
      </c>
      <c r="H20" s="15"/>
      <c r="I20" s="15"/>
      <c r="J20" s="15"/>
      <c r="K20" s="15"/>
      <c r="L20" s="15"/>
      <c r="M20" s="15"/>
      <c r="N20" s="15">
        <v>60000000</v>
      </c>
      <c r="O20" s="15">
        <v>60560166</v>
      </c>
      <c r="P20" s="4">
        <v>0.93</v>
      </c>
      <c r="Q20" s="15">
        <v>2900435</v>
      </c>
      <c r="R20" s="15">
        <v>4144371</v>
      </c>
      <c r="S20" s="15">
        <v>57376188</v>
      </c>
      <c r="T20" s="15">
        <v>58853581</v>
      </c>
      <c r="U20" s="15">
        <v>57099565</v>
      </c>
      <c r="V20" s="15">
        <v>56415795</v>
      </c>
      <c r="W20" s="15">
        <v>276623</v>
      </c>
      <c r="X20" s="15">
        <v>2437786</v>
      </c>
      <c r="Y20" s="4">
        <v>2328</v>
      </c>
      <c r="Z20" s="4">
        <v>2300</v>
      </c>
      <c r="AA20" s="4">
        <v>-1.2</v>
      </c>
      <c r="AB20" s="15">
        <v>15715804</v>
      </c>
      <c r="AC20" s="15">
        <v>16582186</v>
      </c>
      <c r="AD20" s="15">
        <v>2491303</v>
      </c>
      <c r="AE20" s="15">
        <v>1980000</v>
      </c>
      <c r="AF20" s="15">
        <v>2993465</v>
      </c>
      <c r="AG20" s="15">
        <v>3067662</v>
      </c>
      <c r="AH20" s="4">
        <v>4.01</v>
      </c>
      <c r="AI20" s="6">
        <v>4</v>
      </c>
    </row>
    <row r="21" spans="1:35" x14ac:dyDescent="0.25">
      <c r="A21" s="5" t="str">
        <f>"640101"</f>
        <v>640101</v>
      </c>
      <c r="B21" s="3" t="s">
        <v>603</v>
      </c>
      <c r="C21" s="15">
        <v>13201360</v>
      </c>
      <c r="D21" s="15">
        <v>13513030</v>
      </c>
      <c r="E21" s="4">
        <v>2.36</v>
      </c>
      <c r="F21" s="15">
        <v>4908600</v>
      </c>
      <c r="G21" s="15">
        <v>4958480</v>
      </c>
      <c r="H21" s="15"/>
      <c r="I21" s="15"/>
      <c r="J21" s="15"/>
      <c r="K21" s="15"/>
      <c r="L21" s="15"/>
      <c r="M21" s="15"/>
      <c r="N21" s="15">
        <v>4908600</v>
      </c>
      <c r="O21" s="15">
        <v>4958480</v>
      </c>
      <c r="P21" s="4">
        <v>1.02</v>
      </c>
      <c r="Q21" s="15">
        <v>170650</v>
      </c>
      <c r="R21" s="15">
        <v>99795</v>
      </c>
      <c r="S21" s="15">
        <v>4896679</v>
      </c>
      <c r="T21" s="15">
        <v>4858744</v>
      </c>
      <c r="U21" s="15">
        <v>4737950</v>
      </c>
      <c r="V21" s="15">
        <v>4858685</v>
      </c>
      <c r="W21" s="15">
        <v>158729</v>
      </c>
      <c r="X21" s="15">
        <v>59</v>
      </c>
      <c r="Y21" s="4">
        <v>475</v>
      </c>
      <c r="Z21" s="4">
        <v>480</v>
      </c>
      <c r="AA21" s="4">
        <v>1.05</v>
      </c>
      <c r="AB21" s="15">
        <v>1957353</v>
      </c>
      <c r="AC21" s="15">
        <v>2209648</v>
      </c>
      <c r="AD21" s="15">
        <v>240630</v>
      </c>
      <c r="AE21" s="15">
        <v>436800</v>
      </c>
      <c r="AF21" s="15">
        <v>1932058</v>
      </c>
      <c r="AG21" s="15">
        <v>1500000</v>
      </c>
      <c r="AH21" s="4">
        <v>14.64</v>
      </c>
      <c r="AI21" s="6">
        <v>11.1</v>
      </c>
    </row>
    <row r="22" spans="1:35" x14ac:dyDescent="0.25">
      <c r="A22" s="5" t="str">
        <f>"571901"</f>
        <v>571901</v>
      </c>
      <c r="B22" s="3" t="s">
        <v>493</v>
      </c>
      <c r="C22" s="15">
        <v>11969646</v>
      </c>
      <c r="D22" s="15">
        <v>13523602</v>
      </c>
      <c r="E22" s="4">
        <v>12.98</v>
      </c>
      <c r="F22" s="15">
        <v>3786000</v>
      </c>
      <c r="G22" s="15">
        <v>3858691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3786000</v>
      </c>
      <c r="O22" s="15">
        <v>3858691</v>
      </c>
      <c r="P22" s="4">
        <v>1.92</v>
      </c>
      <c r="Q22" s="15">
        <v>97659</v>
      </c>
      <c r="R22" s="15">
        <v>89067</v>
      </c>
      <c r="S22" s="15">
        <v>3688875</v>
      </c>
      <c r="T22" s="15">
        <v>3771723</v>
      </c>
      <c r="U22" s="15">
        <v>3688341</v>
      </c>
      <c r="V22" s="15">
        <v>3769624</v>
      </c>
      <c r="W22" s="15">
        <v>534</v>
      </c>
      <c r="X22" s="15">
        <v>2099</v>
      </c>
      <c r="Y22" s="4">
        <v>488</v>
      </c>
      <c r="Z22" s="4">
        <v>501</v>
      </c>
      <c r="AA22" s="4">
        <v>2.66</v>
      </c>
      <c r="AB22" s="15">
        <v>3044001</v>
      </c>
      <c r="AC22" s="15">
        <v>3457201</v>
      </c>
      <c r="AD22" s="15">
        <v>30000</v>
      </c>
      <c r="AE22" s="15">
        <v>249925</v>
      </c>
      <c r="AF22" s="15">
        <v>538634</v>
      </c>
      <c r="AG22" s="15">
        <v>535467</v>
      </c>
      <c r="AH22" s="4">
        <v>4.5</v>
      </c>
      <c r="AI22" s="6">
        <v>3.96</v>
      </c>
    </row>
    <row r="23" spans="1:35" x14ac:dyDescent="0.25">
      <c r="A23" s="5" t="str">
        <f>"131601"</f>
        <v>131601</v>
      </c>
      <c r="B23" s="3" t="s">
        <v>122</v>
      </c>
      <c r="C23" s="15">
        <v>233582000</v>
      </c>
      <c r="D23" s="15">
        <v>240591000</v>
      </c>
      <c r="E23" s="4">
        <v>3</v>
      </c>
      <c r="F23" s="15">
        <v>147420288</v>
      </c>
      <c r="G23" s="15">
        <v>150298693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147420288</v>
      </c>
      <c r="O23" s="15">
        <v>150298693</v>
      </c>
      <c r="P23" s="4">
        <v>1.95</v>
      </c>
      <c r="Q23" s="15">
        <v>5300230</v>
      </c>
      <c r="R23" s="15">
        <v>5865321</v>
      </c>
      <c r="S23" s="15">
        <v>143578726</v>
      </c>
      <c r="T23" s="15">
        <v>145955767</v>
      </c>
      <c r="U23" s="15">
        <v>142120058</v>
      </c>
      <c r="V23" s="15">
        <v>144433372</v>
      </c>
      <c r="W23" s="15">
        <v>1458668</v>
      </c>
      <c r="X23" s="15">
        <v>1522395</v>
      </c>
      <c r="Y23" s="4">
        <v>7824</v>
      </c>
      <c r="Z23" s="4">
        <v>7763</v>
      </c>
      <c r="AA23" s="4">
        <v>-0.78</v>
      </c>
      <c r="AB23" s="15">
        <v>13823606</v>
      </c>
      <c r="AC23" s="15">
        <v>13966815</v>
      </c>
      <c r="AD23" s="15">
        <v>7403000</v>
      </c>
      <c r="AE23" s="15">
        <v>7403000</v>
      </c>
      <c r="AF23" s="15">
        <v>9151839</v>
      </c>
      <c r="AG23" s="15">
        <v>9141373</v>
      </c>
      <c r="AH23" s="4">
        <v>3.92</v>
      </c>
      <c r="AI23" s="6">
        <v>3.8</v>
      </c>
    </row>
    <row r="24" spans="1:35" x14ac:dyDescent="0.25">
      <c r="A24" s="5" t="str">
        <f>"670201"</f>
        <v>670201</v>
      </c>
      <c r="B24" s="3" t="s">
        <v>664</v>
      </c>
      <c r="C24" s="15">
        <v>31260736</v>
      </c>
      <c r="D24" s="15">
        <v>32092623</v>
      </c>
      <c r="E24" s="4">
        <v>2.66</v>
      </c>
      <c r="F24" s="15">
        <v>10653937</v>
      </c>
      <c r="G24" s="15">
        <v>10760476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10653937</v>
      </c>
      <c r="O24" s="15">
        <v>10760476</v>
      </c>
      <c r="P24" s="4">
        <v>1</v>
      </c>
      <c r="Q24" s="15">
        <v>0</v>
      </c>
      <c r="R24" s="15">
        <v>0</v>
      </c>
      <c r="S24" s="15">
        <v>10811016</v>
      </c>
      <c r="T24" s="15">
        <v>11124696</v>
      </c>
      <c r="U24" s="15">
        <v>10653937</v>
      </c>
      <c r="V24" s="15">
        <v>10760476</v>
      </c>
      <c r="W24" s="15">
        <v>157079</v>
      </c>
      <c r="X24" s="15">
        <v>364220</v>
      </c>
      <c r="Y24" s="4">
        <v>1150</v>
      </c>
      <c r="Z24" s="4">
        <v>1150</v>
      </c>
      <c r="AA24" s="4">
        <v>0</v>
      </c>
      <c r="AB24" s="15">
        <v>8804494</v>
      </c>
      <c r="AC24" s="15">
        <v>7667682</v>
      </c>
      <c r="AD24" s="15">
        <v>1963731</v>
      </c>
      <c r="AE24" s="15">
        <v>2156341</v>
      </c>
      <c r="AF24" s="15">
        <v>1249723</v>
      </c>
      <c r="AG24" s="15">
        <v>1283705</v>
      </c>
      <c r="AH24" s="4">
        <v>4</v>
      </c>
      <c r="AI24" s="6">
        <v>4</v>
      </c>
    </row>
    <row r="25" spans="1:35" x14ac:dyDescent="0.25">
      <c r="A25" s="5" t="str">
        <f>"050100"</f>
        <v>050100</v>
      </c>
      <c r="B25" s="3" t="s">
        <v>48</v>
      </c>
      <c r="C25" s="15">
        <v>83861951</v>
      </c>
      <c r="D25" s="15">
        <v>90286532</v>
      </c>
      <c r="E25" s="4">
        <v>7.66</v>
      </c>
      <c r="F25" s="15">
        <v>33431783</v>
      </c>
      <c r="G25" s="15">
        <v>34267578</v>
      </c>
      <c r="H25" s="15"/>
      <c r="I25" s="15"/>
      <c r="J25" s="15"/>
      <c r="K25" s="15"/>
      <c r="L25" s="15"/>
      <c r="M25" s="15"/>
      <c r="N25" s="15">
        <v>33431783</v>
      </c>
      <c r="O25" s="15">
        <v>34267578</v>
      </c>
      <c r="P25" s="4">
        <v>2.5</v>
      </c>
      <c r="Q25" s="15">
        <v>1082529</v>
      </c>
      <c r="R25" s="15">
        <v>1422908</v>
      </c>
      <c r="S25" s="15">
        <v>32349254</v>
      </c>
      <c r="T25" s="15">
        <v>32844670</v>
      </c>
      <c r="U25" s="15">
        <v>32349254</v>
      </c>
      <c r="V25" s="15">
        <v>32844670</v>
      </c>
      <c r="W25" s="15">
        <v>0</v>
      </c>
      <c r="X25" s="15">
        <v>0</v>
      </c>
      <c r="Y25" s="4">
        <v>3958</v>
      </c>
      <c r="Z25" s="4">
        <v>3840</v>
      </c>
      <c r="AA25" s="4">
        <v>-2.98</v>
      </c>
      <c r="AB25" s="15">
        <v>9220783</v>
      </c>
      <c r="AC25" s="15">
        <v>9184000</v>
      </c>
      <c r="AD25" s="15">
        <v>2020846</v>
      </c>
      <c r="AE25" s="15">
        <v>2920544</v>
      </c>
      <c r="AF25" s="15">
        <v>9129714</v>
      </c>
      <c r="AG25" s="15">
        <v>7609170</v>
      </c>
      <c r="AH25" s="4">
        <v>10.89</v>
      </c>
      <c r="AI25" s="6">
        <v>8.43</v>
      </c>
    </row>
    <row r="26" spans="1:35" x14ac:dyDescent="0.25">
      <c r="A26" s="5" t="str">
        <f>"090201"</f>
        <v>090201</v>
      </c>
      <c r="B26" s="3" t="s">
        <v>84</v>
      </c>
      <c r="C26" s="15">
        <v>34738668</v>
      </c>
      <c r="D26" s="15">
        <v>34977108</v>
      </c>
      <c r="E26" s="4">
        <v>0.69</v>
      </c>
      <c r="F26" s="15">
        <v>14803500</v>
      </c>
      <c r="G26" s="15">
        <v>15193500</v>
      </c>
      <c r="H26" s="15"/>
      <c r="I26" s="15"/>
      <c r="J26" s="15"/>
      <c r="K26" s="15"/>
      <c r="L26" s="15"/>
      <c r="M26" s="15"/>
      <c r="N26" s="15">
        <v>14803500</v>
      </c>
      <c r="O26" s="15">
        <v>15193500</v>
      </c>
      <c r="P26" s="4">
        <v>2.63</v>
      </c>
      <c r="Q26" s="15">
        <v>288176</v>
      </c>
      <c r="R26" s="15">
        <v>291142</v>
      </c>
      <c r="S26" s="15">
        <v>14518954</v>
      </c>
      <c r="T26" s="15">
        <v>14909818</v>
      </c>
      <c r="U26" s="15">
        <v>14515324</v>
      </c>
      <c r="V26" s="15">
        <v>14902358</v>
      </c>
      <c r="W26" s="15">
        <v>3630</v>
      </c>
      <c r="X26" s="15">
        <v>7460</v>
      </c>
      <c r="Y26" s="4">
        <v>1140</v>
      </c>
      <c r="Z26" s="4">
        <v>1135</v>
      </c>
      <c r="AA26" s="4">
        <v>-0.44</v>
      </c>
      <c r="AB26" s="15">
        <v>225000</v>
      </c>
      <c r="AC26" s="15">
        <v>225000</v>
      </c>
      <c r="AD26" s="15">
        <v>895000</v>
      </c>
      <c r="AE26" s="15">
        <v>1150000</v>
      </c>
      <c r="AF26" s="15">
        <v>1385972</v>
      </c>
      <c r="AG26" s="15">
        <v>1394569</v>
      </c>
      <c r="AH26" s="4">
        <v>3.99</v>
      </c>
      <c r="AI26" s="6">
        <v>3.99</v>
      </c>
    </row>
    <row r="27" spans="1:35" x14ac:dyDescent="0.25">
      <c r="A27" s="5" t="str">
        <f>"491302"</f>
        <v>491302</v>
      </c>
      <c r="B27" s="3" t="s">
        <v>426</v>
      </c>
      <c r="C27" s="15">
        <v>61456847</v>
      </c>
      <c r="D27" s="15">
        <v>63873347</v>
      </c>
      <c r="E27" s="4">
        <v>3.93</v>
      </c>
      <c r="F27" s="15">
        <v>32790622</v>
      </c>
      <c r="G27" s="15">
        <v>33756381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32790622</v>
      </c>
      <c r="O27" s="15">
        <v>33756381</v>
      </c>
      <c r="P27" s="4">
        <v>2.95</v>
      </c>
      <c r="Q27" s="15">
        <v>618121</v>
      </c>
      <c r="R27" s="15">
        <v>699574</v>
      </c>
      <c r="S27" s="15">
        <v>32481348</v>
      </c>
      <c r="T27" s="15">
        <v>33056807</v>
      </c>
      <c r="U27" s="15">
        <v>32172501</v>
      </c>
      <c r="V27" s="15">
        <v>33056807</v>
      </c>
      <c r="W27" s="15">
        <v>308847</v>
      </c>
      <c r="X27" s="15">
        <v>0</v>
      </c>
      <c r="Y27" s="4">
        <v>2631</v>
      </c>
      <c r="Z27" s="4">
        <v>2631</v>
      </c>
      <c r="AA27" s="4">
        <v>0</v>
      </c>
      <c r="AB27" s="15">
        <v>7276000</v>
      </c>
      <c r="AC27" s="15">
        <v>6661150</v>
      </c>
      <c r="AD27" s="15">
        <v>780000</v>
      </c>
      <c r="AE27" s="15">
        <v>780000</v>
      </c>
      <c r="AF27" s="15">
        <v>1813213</v>
      </c>
      <c r="AG27" s="15">
        <v>2554934</v>
      </c>
      <c r="AH27" s="4">
        <v>2.95</v>
      </c>
      <c r="AI27" s="6">
        <v>4</v>
      </c>
    </row>
    <row r="28" spans="1:35" x14ac:dyDescent="0.25">
      <c r="A28" s="5" t="str">
        <f>"570201"</f>
        <v>570201</v>
      </c>
      <c r="B28" s="3" t="s">
        <v>486</v>
      </c>
      <c r="C28" s="15">
        <v>13990232</v>
      </c>
      <c r="D28" s="15">
        <v>14124734</v>
      </c>
      <c r="E28" s="4">
        <v>0.96</v>
      </c>
      <c r="F28" s="15">
        <v>2415879</v>
      </c>
      <c r="G28" s="15">
        <v>2415879</v>
      </c>
      <c r="H28" s="15"/>
      <c r="I28" s="15"/>
      <c r="J28" s="15"/>
      <c r="K28" s="15"/>
      <c r="L28" s="15"/>
      <c r="M28" s="15"/>
      <c r="N28" s="15">
        <v>2415879</v>
      </c>
      <c r="O28" s="15">
        <v>2415879</v>
      </c>
      <c r="P28" s="4">
        <v>0</v>
      </c>
      <c r="Q28" s="15">
        <v>14192</v>
      </c>
      <c r="R28" s="15">
        <v>0</v>
      </c>
      <c r="S28" s="15">
        <v>2469591</v>
      </c>
      <c r="T28" s="15">
        <v>2499572</v>
      </c>
      <c r="U28" s="15">
        <v>2401687</v>
      </c>
      <c r="V28" s="15">
        <v>2415879</v>
      </c>
      <c r="W28" s="15">
        <v>67904</v>
      </c>
      <c r="X28" s="15">
        <v>83693</v>
      </c>
      <c r="Y28" s="4">
        <v>407</v>
      </c>
      <c r="Z28" s="4">
        <v>390</v>
      </c>
      <c r="AA28" s="4">
        <v>-4.18</v>
      </c>
      <c r="AB28" s="15">
        <v>3109000</v>
      </c>
      <c r="AC28" s="15">
        <v>3261400</v>
      </c>
      <c r="AD28" s="15">
        <v>62645</v>
      </c>
      <c r="AE28" s="15">
        <v>63661</v>
      </c>
      <c r="AF28" s="15">
        <v>2162000</v>
      </c>
      <c r="AG28" s="15">
        <v>2410300</v>
      </c>
      <c r="AH28" s="4">
        <v>15.45</v>
      </c>
      <c r="AI28" s="6">
        <v>17.059999999999999</v>
      </c>
    </row>
    <row r="29" spans="1:35" x14ac:dyDescent="0.25">
      <c r="A29" s="5" t="str">
        <f>"240101"</f>
        <v>240101</v>
      </c>
      <c r="B29" s="3" t="s">
        <v>224</v>
      </c>
      <c r="C29" s="15">
        <v>21749604</v>
      </c>
      <c r="D29" s="15">
        <v>22798857</v>
      </c>
      <c r="E29" s="4">
        <v>4.82</v>
      </c>
      <c r="F29" s="15">
        <v>10250000</v>
      </c>
      <c r="G29" s="15">
        <v>10400675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10250000</v>
      </c>
      <c r="O29" s="15">
        <v>10400675</v>
      </c>
      <c r="P29" s="4">
        <v>1.47</v>
      </c>
      <c r="Q29" s="15">
        <v>0</v>
      </c>
      <c r="R29" s="15">
        <v>0</v>
      </c>
      <c r="S29" s="15">
        <v>10250372</v>
      </c>
      <c r="T29" s="15">
        <v>10558805</v>
      </c>
      <c r="U29" s="15">
        <v>10250000</v>
      </c>
      <c r="V29" s="15">
        <v>10400675</v>
      </c>
      <c r="W29" s="15">
        <v>372</v>
      </c>
      <c r="X29" s="15">
        <v>158130</v>
      </c>
      <c r="Y29" s="4">
        <v>910</v>
      </c>
      <c r="Z29" s="4">
        <v>880</v>
      </c>
      <c r="AA29" s="4">
        <v>-3.3</v>
      </c>
      <c r="AB29" s="15">
        <v>10957350</v>
      </c>
      <c r="AC29" s="15">
        <v>11960000</v>
      </c>
      <c r="AD29" s="15">
        <v>446030</v>
      </c>
      <c r="AE29" s="15">
        <v>450000</v>
      </c>
      <c r="AF29" s="15">
        <v>869984</v>
      </c>
      <c r="AG29" s="15">
        <v>911954</v>
      </c>
      <c r="AH29" s="4">
        <v>4</v>
      </c>
      <c r="AI29" s="6">
        <v>4</v>
      </c>
    </row>
    <row r="30" spans="1:35" x14ac:dyDescent="0.25">
      <c r="A30" s="5" t="str">
        <f>"580101"</f>
        <v>580101</v>
      </c>
      <c r="B30" s="3" t="s">
        <v>498</v>
      </c>
      <c r="C30" s="15">
        <v>56414443</v>
      </c>
      <c r="D30" s="15">
        <v>57413093</v>
      </c>
      <c r="E30" s="4">
        <v>1.77</v>
      </c>
      <c r="F30" s="15">
        <v>44472506</v>
      </c>
      <c r="G30" s="15">
        <v>44472506</v>
      </c>
      <c r="H30" s="15"/>
      <c r="I30" s="15"/>
      <c r="J30" s="15"/>
      <c r="K30" s="15"/>
      <c r="L30" s="15"/>
      <c r="M30" s="15"/>
      <c r="N30" s="15">
        <v>44472506</v>
      </c>
      <c r="O30" s="15">
        <v>44472506</v>
      </c>
      <c r="P30" s="4">
        <v>0</v>
      </c>
      <c r="Q30" s="15">
        <v>2752282</v>
      </c>
      <c r="R30" s="15">
        <v>1528855</v>
      </c>
      <c r="S30" s="15">
        <v>41720224</v>
      </c>
      <c r="T30" s="15">
        <v>42943651</v>
      </c>
      <c r="U30" s="15">
        <v>41720224</v>
      </c>
      <c r="V30" s="15">
        <v>42943651</v>
      </c>
      <c r="W30" s="15">
        <v>0</v>
      </c>
      <c r="X30" s="15">
        <v>0</v>
      </c>
      <c r="Y30" s="4">
        <v>1526</v>
      </c>
      <c r="Z30" s="4">
        <v>1517</v>
      </c>
      <c r="AA30" s="4">
        <v>-0.59</v>
      </c>
      <c r="AB30" s="15">
        <v>6918780</v>
      </c>
      <c r="AC30" s="15">
        <v>7218780</v>
      </c>
      <c r="AD30" s="15">
        <v>1200000</v>
      </c>
      <c r="AE30" s="15">
        <v>1200000</v>
      </c>
      <c r="AF30" s="15">
        <v>2256577</v>
      </c>
      <c r="AG30" s="15">
        <v>2296524</v>
      </c>
      <c r="AH30" s="4">
        <v>4</v>
      </c>
      <c r="AI30" s="6">
        <v>4</v>
      </c>
    </row>
    <row r="31" spans="1:35" x14ac:dyDescent="0.25">
      <c r="A31" s="5" t="str">
        <f>"080201"</f>
        <v>080201</v>
      </c>
      <c r="B31" s="3" t="s">
        <v>77</v>
      </c>
      <c r="C31" s="15">
        <v>20735382</v>
      </c>
      <c r="D31" s="15">
        <v>21441361</v>
      </c>
      <c r="E31" s="4">
        <v>3.4</v>
      </c>
      <c r="F31" s="15">
        <v>6789108</v>
      </c>
      <c r="G31" s="15">
        <v>6921638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6789108</v>
      </c>
      <c r="O31" s="15">
        <v>6921638</v>
      </c>
      <c r="P31" s="4">
        <v>1.95</v>
      </c>
      <c r="Q31" s="15">
        <v>249374</v>
      </c>
      <c r="R31" s="15">
        <v>238462</v>
      </c>
      <c r="S31" s="15">
        <v>6539734</v>
      </c>
      <c r="T31" s="15">
        <v>6683176</v>
      </c>
      <c r="U31" s="15">
        <v>6539734</v>
      </c>
      <c r="V31" s="15">
        <v>6683176</v>
      </c>
      <c r="W31" s="15">
        <v>0</v>
      </c>
      <c r="X31" s="15">
        <v>0</v>
      </c>
      <c r="Y31" s="4">
        <v>760</v>
      </c>
      <c r="Z31" s="4">
        <v>742</v>
      </c>
      <c r="AA31" s="4">
        <v>-2.37</v>
      </c>
      <c r="AB31" s="15">
        <v>6619388</v>
      </c>
      <c r="AC31" s="15">
        <v>7602474</v>
      </c>
      <c r="AD31" s="15">
        <v>750000</v>
      </c>
      <c r="AE31" s="15">
        <v>750000</v>
      </c>
      <c r="AF31" s="15">
        <v>1181746</v>
      </c>
      <c r="AG31" s="15">
        <v>857654</v>
      </c>
      <c r="AH31" s="4">
        <v>5.7</v>
      </c>
      <c r="AI31" s="6">
        <v>4</v>
      </c>
    </row>
    <row r="32" spans="1:35" x14ac:dyDescent="0.25">
      <c r="A32" s="5" t="str">
        <f>"280210"</f>
        <v>280210</v>
      </c>
      <c r="B32" s="3" t="s">
        <v>274</v>
      </c>
      <c r="C32" s="15">
        <v>142453425</v>
      </c>
      <c r="D32" s="15">
        <v>146984556</v>
      </c>
      <c r="E32" s="4">
        <v>3.18</v>
      </c>
      <c r="F32" s="15">
        <v>99994496</v>
      </c>
      <c r="G32" s="15">
        <v>101979179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99994496</v>
      </c>
      <c r="O32" s="15">
        <v>101979179</v>
      </c>
      <c r="P32" s="4">
        <v>1.98</v>
      </c>
      <c r="Q32" s="15">
        <v>1913746</v>
      </c>
      <c r="R32" s="15">
        <v>1769882</v>
      </c>
      <c r="S32" s="15">
        <v>98080750</v>
      </c>
      <c r="T32" s="15">
        <v>100209297</v>
      </c>
      <c r="U32" s="15">
        <v>98080750</v>
      </c>
      <c r="V32" s="15">
        <v>100209297</v>
      </c>
      <c r="W32" s="15">
        <v>0</v>
      </c>
      <c r="X32" s="15">
        <v>0</v>
      </c>
      <c r="Y32" s="4">
        <v>4528</v>
      </c>
      <c r="Z32" s="4">
        <v>4409</v>
      </c>
      <c r="AA32" s="4">
        <v>-2.63</v>
      </c>
      <c r="AB32" s="15">
        <v>36151033</v>
      </c>
      <c r="AC32" s="15">
        <v>37158000</v>
      </c>
      <c r="AD32" s="15">
        <v>2000000</v>
      </c>
      <c r="AE32" s="15">
        <v>1500000</v>
      </c>
      <c r="AF32" s="15">
        <v>8349651</v>
      </c>
      <c r="AG32" s="15">
        <v>5879382</v>
      </c>
      <c r="AH32" s="4">
        <v>5.86</v>
      </c>
      <c r="AI32" s="6">
        <v>4</v>
      </c>
    </row>
    <row r="33" spans="1:35" x14ac:dyDescent="0.25">
      <c r="A33" s="5" t="str">
        <f>"420901"</f>
        <v>420901</v>
      </c>
      <c r="B33" s="3" t="s">
        <v>351</v>
      </c>
      <c r="C33" s="15">
        <v>114375039</v>
      </c>
      <c r="D33" s="15">
        <v>118937347</v>
      </c>
      <c r="E33" s="4">
        <v>3.99</v>
      </c>
      <c r="F33" s="15">
        <v>60182572</v>
      </c>
      <c r="G33" s="15">
        <v>61557316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60182572</v>
      </c>
      <c r="O33" s="15">
        <v>61557316</v>
      </c>
      <c r="P33" s="4">
        <v>2.2799999999999998</v>
      </c>
      <c r="Q33" s="15">
        <v>561040</v>
      </c>
      <c r="R33" s="15">
        <v>453748</v>
      </c>
      <c r="S33" s="15">
        <v>59621532</v>
      </c>
      <c r="T33" s="15">
        <v>61103568</v>
      </c>
      <c r="U33" s="15">
        <v>59621532</v>
      </c>
      <c r="V33" s="15">
        <v>61103568</v>
      </c>
      <c r="W33" s="15">
        <v>0</v>
      </c>
      <c r="X33" s="15">
        <v>0</v>
      </c>
      <c r="Y33" s="4">
        <v>5416</v>
      </c>
      <c r="Z33" s="4">
        <v>5416</v>
      </c>
      <c r="AA33" s="4">
        <v>0</v>
      </c>
      <c r="AB33" s="15">
        <v>32113089</v>
      </c>
      <c r="AC33" s="15">
        <v>35317537</v>
      </c>
      <c r="AD33" s="15">
        <v>26048365</v>
      </c>
      <c r="AE33" s="15">
        <v>1813494</v>
      </c>
      <c r="AF33" s="15">
        <v>4575001</v>
      </c>
      <c r="AG33" s="15">
        <v>4757494</v>
      </c>
      <c r="AH33" s="4">
        <v>4</v>
      </c>
      <c r="AI33" s="6">
        <v>4</v>
      </c>
    </row>
    <row r="34" spans="1:35" x14ac:dyDescent="0.25">
      <c r="A34" s="5" t="str">
        <f>"521301"</f>
        <v>521301</v>
      </c>
      <c r="B34" s="3" t="s">
        <v>461</v>
      </c>
      <c r="C34" s="15">
        <v>94927725</v>
      </c>
      <c r="D34" s="15">
        <v>98575342</v>
      </c>
      <c r="E34" s="4">
        <v>3.84</v>
      </c>
      <c r="F34" s="15">
        <v>54895674</v>
      </c>
      <c r="G34" s="15">
        <v>56248499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54895674</v>
      </c>
      <c r="O34" s="15">
        <v>56248499</v>
      </c>
      <c r="P34" s="4">
        <v>2.46</v>
      </c>
      <c r="Q34" s="15">
        <v>1685316</v>
      </c>
      <c r="R34" s="15">
        <v>1675970</v>
      </c>
      <c r="S34" s="15">
        <v>54469778</v>
      </c>
      <c r="T34" s="15">
        <v>55745848</v>
      </c>
      <c r="U34" s="15">
        <v>53210358</v>
      </c>
      <c r="V34" s="15">
        <v>54572529</v>
      </c>
      <c r="W34" s="15">
        <v>1259420</v>
      </c>
      <c r="X34" s="15">
        <v>1173319</v>
      </c>
      <c r="Y34" s="4">
        <v>4029</v>
      </c>
      <c r="Z34" s="4">
        <v>3994</v>
      </c>
      <c r="AA34" s="4">
        <v>-0.87</v>
      </c>
      <c r="AB34" s="15">
        <v>10625000</v>
      </c>
      <c r="AC34" s="15">
        <v>11550000</v>
      </c>
      <c r="AD34" s="15">
        <v>1225000</v>
      </c>
      <c r="AE34" s="15">
        <v>1200000</v>
      </c>
      <c r="AF34" s="15">
        <v>3406561</v>
      </c>
      <c r="AG34" s="15">
        <v>3389661</v>
      </c>
      <c r="AH34" s="4">
        <v>3.59</v>
      </c>
      <c r="AI34" s="6">
        <v>3.44</v>
      </c>
    </row>
    <row r="35" spans="1:35" x14ac:dyDescent="0.25">
      <c r="A35" s="5" t="str">
        <f>"401301"</f>
        <v>401301</v>
      </c>
      <c r="B35" s="3" t="s">
        <v>325</v>
      </c>
      <c r="C35" s="15">
        <v>17254712</v>
      </c>
      <c r="D35" s="15">
        <v>17817534</v>
      </c>
      <c r="E35" s="4">
        <v>3.26</v>
      </c>
      <c r="F35" s="15">
        <v>4767964</v>
      </c>
      <c r="G35" s="15">
        <v>4953914</v>
      </c>
      <c r="H35" s="15">
        <v>79590</v>
      </c>
      <c r="I35" s="15">
        <v>81182</v>
      </c>
      <c r="J35" s="15">
        <v>0</v>
      </c>
      <c r="K35" s="15">
        <v>0</v>
      </c>
      <c r="L35" s="15">
        <v>0</v>
      </c>
      <c r="M35" s="15">
        <v>0</v>
      </c>
      <c r="N35" s="15">
        <v>4847554</v>
      </c>
      <c r="O35" s="15">
        <v>5035096</v>
      </c>
      <c r="P35" s="4">
        <v>3.87</v>
      </c>
      <c r="Q35" s="15">
        <v>0</v>
      </c>
      <c r="R35" s="15">
        <v>0</v>
      </c>
      <c r="S35" s="15">
        <v>4771988</v>
      </c>
      <c r="T35" s="15">
        <v>5004625</v>
      </c>
      <c r="U35" s="15">
        <v>4767964</v>
      </c>
      <c r="V35" s="15">
        <v>4953914</v>
      </c>
      <c r="W35" s="15">
        <v>4024</v>
      </c>
      <c r="X35" s="15">
        <v>50711</v>
      </c>
      <c r="Y35" s="4">
        <v>665</v>
      </c>
      <c r="Z35" s="4">
        <v>650</v>
      </c>
      <c r="AA35" s="4">
        <v>-2.2599999999999998</v>
      </c>
      <c r="AB35" s="15">
        <v>7695085</v>
      </c>
      <c r="AC35" s="15">
        <v>7684962</v>
      </c>
      <c r="AD35" s="15">
        <v>532577</v>
      </c>
      <c r="AE35" s="15">
        <v>615358</v>
      </c>
      <c r="AF35" s="15">
        <v>690099</v>
      </c>
      <c r="AG35" s="15">
        <v>712000</v>
      </c>
      <c r="AH35" s="4">
        <v>4</v>
      </c>
      <c r="AI35" s="6">
        <v>4</v>
      </c>
    </row>
    <row r="36" spans="1:35" x14ac:dyDescent="0.25">
      <c r="A36" s="5" t="str">
        <f>"180300"</f>
        <v>180300</v>
      </c>
      <c r="B36" s="3" t="s">
        <v>179</v>
      </c>
      <c r="C36" s="15">
        <v>52096661</v>
      </c>
      <c r="D36" s="15">
        <v>54802593</v>
      </c>
      <c r="E36" s="4">
        <v>5.19</v>
      </c>
      <c r="F36" s="15">
        <v>19493958</v>
      </c>
      <c r="G36" s="15">
        <v>19688898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19493958</v>
      </c>
      <c r="O36" s="15">
        <v>19688898</v>
      </c>
      <c r="P36" s="4">
        <v>1</v>
      </c>
      <c r="Q36" s="15">
        <v>275897</v>
      </c>
      <c r="R36" s="15">
        <v>0</v>
      </c>
      <c r="S36" s="15">
        <v>19302327</v>
      </c>
      <c r="T36" s="15">
        <v>19809674</v>
      </c>
      <c r="U36" s="15">
        <v>19218061</v>
      </c>
      <c r="V36" s="15">
        <v>19688898</v>
      </c>
      <c r="W36" s="15">
        <v>84266</v>
      </c>
      <c r="X36" s="15">
        <v>120776</v>
      </c>
      <c r="Y36" s="4">
        <v>2264</v>
      </c>
      <c r="Z36" s="4">
        <v>2258</v>
      </c>
      <c r="AA36" s="4">
        <v>-0.27</v>
      </c>
      <c r="AB36" s="15">
        <v>13521397</v>
      </c>
      <c r="AC36" s="15">
        <v>12351292</v>
      </c>
      <c r="AD36" s="15">
        <v>2250000</v>
      </c>
      <c r="AE36" s="15">
        <v>2770800</v>
      </c>
      <c r="AF36" s="15">
        <v>2273655</v>
      </c>
      <c r="AG36" s="15">
        <v>2140000</v>
      </c>
      <c r="AH36" s="4">
        <v>4.3600000000000003</v>
      </c>
      <c r="AI36" s="6">
        <v>3.9</v>
      </c>
    </row>
    <row r="37" spans="1:35" x14ac:dyDescent="0.25">
      <c r="A37" s="5" t="str">
        <f>"570302"</f>
        <v>570302</v>
      </c>
      <c r="B37" s="3" t="s">
        <v>487</v>
      </c>
      <c r="C37" s="15">
        <v>38493545</v>
      </c>
      <c r="D37" s="15">
        <v>39994763</v>
      </c>
      <c r="E37" s="4">
        <v>3.9</v>
      </c>
      <c r="F37" s="15">
        <v>8745370</v>
      </c>
      <c r="G37" s="15">
        <v>8982700</v>
      </c>
      <c r="H37" s="15"/>
      <c r="I37" s="15"/>
      <c r="J37" s="15"/>
      <c r="K37" s="15"/>
      <c r="L37" s="15"/>
      <c r="M37" s="15"/>
      <c r="N37" s="15">
        <v>8745370</v>
      </c>
      <c r="O37" s="15">
        <v>8982700</v>
      </c>
      <c r="P37" s="4">
        <v>2.71</v>
      </c>
      <c r="Q37" s="15">
        <v>624619</v>
      </c>
      <c r="R37" s="15">
        <v>607045</v>
      </c>
      <c r="S37" s="15">
        <v>8120751</v>
      </c>
      <c r="T37" s="15">
        <v>8375655</v>
      </c>
      <c r="U37" s="15">
        <v>8120751</v>
      </c>
      <c r="V37" s="15">
        <v>8375655</v>
      </c>
      <c r="W37" s="15">
        <v>0</v>
      </c>
      <c r="X37" s="15">
        <v>0</v>
      </c>
      <c r="Y37" s="4">
        <v>1485</v>
      </c>
      <c r="Z37" s="4">
        <v>1439</v>
      </c>
      <c r="AA37" s="4">
        <v>-3.1</v>
      </c>
      <c r="AB37" s="15">
        <v>6925858</v>
      </c>
      <c r="AC37" s="15">
        <v>6925858</v>
      </c>
      <c r="AD37" s="15">
        <v>1824452</v>
      </c>
      <c r="AE37" s="15">
        <v>1824452</v>
      </c>
      <c r="AF37" s="15">
        <v>1539742</v>
      </c>
      <c r="AG37" s="15">
        <v>1599791</v>
      </c>
      <c r="AH37" s="4">
        <v>4</v>
      </c>
      <c r="AI37" s="6">
        <v>4</v>
      </c>
    </row>
    <row r="38" spans="1:35" x14ac:dyDescent="0.25">
      <c r="A38" s="5" t="str">
        <f>"580501"</f>
        <v>580501</v>
      </c>
      <c r="B38" s="3" t="s">
        <v>534</v>
      </c>
      <c r="C38" s="15">
        <v>171016490</v>
      </c>
      <c r="D38" s="15">
        <v>181243677</v>
      </c>
      <c r="E38" s="4">
        <v>5.98</v>
      </c>
      <c r="F38" s="15">
        <v>115360073</v>
      </c>
      <c r="G38" s="15">
        <v>115360073</v>
      </c>
      <c r="H38" s="15"/>
      <c r="I38" s="15"/>
      <c r="J38" s="15"/>
      <c r="K38" s="15"/>
      <c r="L38" s="15"/>
      <c r="M38" s="15"/>
      <c r="N38" s="15">
        <v>115360073</v>
      </c>
      <c r="O38" s="15">
        <v>115360073</v>
      </c>
      <c r="P38" s="4">
        <v>0</v>
      </c>
      <c r="Q38" s="15">
        <v>5483585</v>
      </c>
      <c r="R38" s="15">
        <v>5835790</v>
      </c>
      <c r="S38" s="15">
        <v>109876488</v>
      </c>
      <c r="T38" s="15">
        <v>109524283</v>
      </c>
      <c r="U38" s="15">
        <v>109876488</v>
      </c>
      <c r="V38" s="15">
        <v>109524283</v>
      </c>
      <c r="W38" s="15">
        <v>0</v>
      </c>
      <c r="X38" s="15">
        <v>0</v>
      </c>
      <c r="Y38" s="4">
        <v>5700</v>
      </c>
      <c r="Z38" s="4">
        <v>5700</v>
      </c>
      <c r="AA38" s="4">
        <v>0</v>
      </c>
      <c r="AB38" s="15">
        <v>13010871</v>
      </c>
      <c r="AC38" s="15">
        <v>17500000</v>
      </c>
      <c r="AD38" s="15">
        <v>0</v>
      </c>
      <c r="AE38" s="15">
        <v>0</v>
      </c>
      <c r="AF38" s="15">
        <v>6840660</v>
      </c>
      <c r="AG38" s="15">
        <v>7249747</v>
      </c>
      <c r="AH38" s="4">
        <v>4</v>
      </c>
      <c r="AI38" s="6">
        <v>4</v>
      </c>
    </row>
    <row r="39" spans="1:35" x14ac:dyDescent="0.25">
      <c r="A39" s="5" t="str">
        <f>"580505"</f>
        <v>580505</v>
      </c>
      <c r="B39" s="3" t="s">
        <v>538</v>
      </c>
      <c r="C39" s="15">
        <v>76972535</v>
      </c>
      <c r="D39" s="15">
        <v>80969342</v>
      </c>
      <c r="E39" s="4">
        <v>5.19</v>
      </c>
      <c r="F39" s="15">
        <v>55530215</v>
      </c>
      <c r="G39" s="15">
        <v>57468219</v>
      </c>
      <c r="H39" s="15"/>
      <c r="I39" s="15"/>
      <c r="J39" s="15"/>
      <c r="K39" s="15"/>
      <c r="L39" s="15"/>
      <c r="M39" s="15"/>
      <c r="N39" s="15">
        <v>55530215</v>
      </c>
      <c r="O39" s="15">
        <v>57468219</v>
      </c>
      <c r="P39" s="4">
        <v>3.49</v>
      </c>
      <c r="Q39" s="15">
        <v>2241354</v>
      </c>
      <c r="R39" s="15">
        <v>3208980</v>
      </c>
      <c r="S39" s="15">
        <v>53380956</v>
      </c>
      <c r="T39" s="15">
        <v>54569873</v>
      </c>
      <c r="U39" s="15">
        <v>53288861</v>
      </c>
      <c r="V39" s="15">
        <v>54259239</v>
      </c>
      <c r="W39" s="15">
        <v>92095</v>
      </c>
      <c r="X39" s="15">
        <v>310634</v>
      </c>
      <c r="Y39" s="4">
        <v>1908</v>
      </c>
      <c r="Z39" s="4">
        <v>1812</v>
      </c>
      <c r="AA39" s="4">
        <v>-5.03</v>
      </c>
      <c r="AB39" s="15">
        <v>9602058</v>
      </c>
      <c r="AC39" s="15">
        <v>10442447</v>
      </c>
      <c r="AD39" s="15">
        <v>1684000</v>
      </c>
      <c r="AE39" s="15">
        <v>2695700</v>
      </c>
      <c r="AF39" s="15">
        <v>4578902</v>
      </c>
      <c r="AG39" s="15">
        <v>3171060</v>
      </c>
      <c r="AH39" s="4">
        <v>5.95</v>
      </c>
      <c r="AI39" s="6">
        <v>3.92</v>
      </c>
    </row>
    <row r="40" spans="1:35" x14ac:dyDescent="0.25">
      <c r="A40" s="5" t="str">
        <f>"130200"</f>
        <v>130200</v>
      </c>
      <c r="B40" s="3" t="s">
        <v>115</v>
      </c>
      <c r="C40" s="15">
        <v>76830000</v>
      </c>
      <c r="D40" s="15">
        <v>78604000</v>
      </c>
      <c r="E40" s="4">
        <v>2.31</v>
      </c>
      <c r="F40" s="15">
        <v>42545478</v>
      </c>
      <c r="G40" s="15">
        <v>44196162</v>
      </c>
      <c r="H40" s="15">
        <v>0</v>
      </c>
      <c r="I40" s="15">
        <v>0</v>
      </c>
      <c r="J40" s="15">
        <v>75000</v>
      </c>
      <c r="K40" s="15">
        <v>75000</v>
      </c>
      <c r="L40" s="15">
        <v>0</v>
      </c>
      <c r="M40" s="15">
        <v>0</v>
      </c>
      <c r="N40" s="15">
        <v>42620478</v>
      </c>
      <c r="O40" s="15">
        <v>44271162</v>
      </c>
      <c r="P40" s="4">
        <v>3.87</v>
      </c>
      <c r="Q40" s="15">
        <v>0</v>
      </c>
      <c r="R40" s="15">
        <v>0</v>
      </c>
      <c r="S40" s="15">
        <v>42620478</v>
      </c>
      <c r="T40" s="15">
        <v>44271162</v>
      </c>
      <c r="U40" s="15">
        <v>42620478</v>
      </c>
      <c r="V40" s="15">
        <v>44271162</v>
      </c>
      <c r="W40" s="15">
        <v>0</v>
      </c>
      <c r="X40" s="15">
        <v>0</v>
      </c>
      <c r="Y40" s="4">
        <v>2575</v>
      </c>
      <c r="Z40" s="4">
        <v>2550</v>
      </c>
      <c r="AA40" s="4">
        <v>-0.97</v>
      </c>
      <c r="AB40" s="15">
        <v>3174476</v>
      </c>
      <c r="AC40" s="15">
        <v>4818263</v>
      </c>
      <c r="AD40" s="15">
        <v>2971175</v>
      </c>
      <c r="AE40" s="15">
        <v>3128853</v>
      </c>
      <c r="AF40" s="15">
        <v>4500000</v>
      </c>
      <c r="AG40" s="15">
        <v>4634499</v>
      </c>
      <c r="AH40" s="4">
        <v>5.86</v>
      </c>
      <c r="AI40" s="6">
        <v>5.9</v>
      </c>
    </row>
    <row r="41" spans="1:35" x14ac:dyDescent="0.25">
      <c r="A41" s="5" t="str">
        <f>"231301"</f>
        <v>231301</v>
      </c>
      <c r="B41" s="3" t="s">
        <v>223</v>
      </c>
      <c r="C41" s="15">
        <v>18241189</v>
      </c>
      <c r="D41" s="15">
        <v>19135156</v>
      </c>
      <c r="E41" s="4">
        <v>4.9000000000000004</v>
      </c>
      <c r="F41" s="15">
        <v>5620494</v>
      </c>
      <c r="G41" s="15">
        <v>5732904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5620494</v>
      </c>
      <c r="O41" s="15">
        <v>5732904</v>
      </c>
      <c r="P41" s="4">
        <v>2</v>
      </c>
      <c r="Q41" s="15">
        <v>0</v>
      </c>
      <c r="R41" s="15">
        <v>0</v>
      </c>
      <c r="S41" s="15">
        <v>5621908</v>
      </c>
      <c r="T41" s="15">
        <v>5837003</v>
      </c>
      <c r="U41" s="15">
        <v>5620494</v>
      </c>
      <c r="V41" s="15">
        <v>5732904</v>
      </c>
      <c r="W41" s="15">
        <v>1414</v>
      </c>
      <c r="X41" s="15">
        <v>104099</v>
      </c>
      <c r="Y41" s="4">
        <v>803</v>
      </c>
      <c r="Z41" s="4">
        <v>842</v>
      </c>
      <c r="AA41" s="4">
        <v>4.8600000000000003</v>
      </c>
      <c r="AB41" s="15">
        <v>1276043</v>
      </c>
      <c r="AC41" s="15">
        <v>2363657</v>
      </c>
      <c r="AD41" s="15">
        <v>1000000</v>
      </c>
      <c r="AE41" s="15">
        <v>1300000</v>
      </c>
      <c r="AF41" s="15">
        <v>3687265</v>
      </c>
      <c r="AG41" s="15">
        <v>2401165</v>
      </c>
      <c r="AH41" s="4">
        <v>20.21</v>
      </c>
      <c r="AI41" s="6">
        <v>12.55</v>
      </c>
    </row>
    <row r="42" spans="1:35" x14ac:dyDescent="0.25">
      <c r="A42" s="5" t="str">
        <f>"660102"</f>
        <v>660102</v>
      </c>
      <c r="B42" s="3" t="s">
        <v>626</v>
      </c>
      <c r="C42" s="15">
        <v>144465256</v>
      </c>
      <c r="D42" s="15">
        <v>148032191</v>
      </c>
      <c r="E42" s="4">
        <v>2.4700000000000002</v>
      </c>
      <c r="F42" s="15">
        <v>130922937</v>
      </c>
      <c r="G42" s="15">
        <v>134440264</v>
      </c>
      <c r="H42" s="15">
        <v>0</v>
      </c>
      <c r="I42" s="15" t="s">
        <v>415</v>
      </c>
      <c r="J42" s="15">
        <v>0</v>
      </c>
      <c r="K42" s="15">
        <v>0</v>
      </c>
      <c r="L42" s="15">
        <v>0</v>
      </c>
      <c r="M42" s="15">
        <v>0</v>
      </c>
      <c r="N42" s="15">
        <v>130922937</v>
      </c>
      <c r="O42" s="15">
        <v>134440264</v>
      </c>
      <c r="P42" s="4">
        <v>2.69</v>
      </c>
      <c r="Q42" s="15">
        <v>9105822</v>
      </c>
      <c r="R42" s="15">
        <v>9024997</v>
      </c>
      <c r="S42" s="15">
        <v>122231568</v>
      </c>
      <c r="T42" s="15">
        <v>125415267</v>
      </c>
      <c r="U42" s="15">
        <v>121817115</v>
      </c>
      <c r="V42" s="15">
        <v>125415267</v>
      </c>
      <c r="W42" s="15">
        <v>414453</v>
      </c>
      <c r="X42" s="15">
        <v>0</v>
      </c>
      <c r="Y42" s="4">
        <v>3724</v>
      </c>
      <c r="Z42" s="4">
        <v>3720</v>
      </c>
      <c r="AA42" s="4">
        <v>-0.11</v>
      </c>
      <c r="AB42" s="15">
        <v>12389930</v>
      </c>
      <c r="AC42" s="15">
        <v>12435417</v>
      </c>
      <c r="AD42" s="15">
        <v>999974</v>
      </c>
      <c r="AE42" s="15">
        <v>2896500</v>
      </c>
      <c r="AF42" s="15">
        <v>8713209</v>
      </c>
      <c r="AG42" s="15">
        <v>5921288</v>
      </c>
      <c r="AH42" s="4">
        <v>6.03</v>
      </c>
      <c r="AI42" s="6">
        <v>4</v>
      </c>
    </row>
    <row r="43" spans="1:35" x14ac:dyDescent="0.25">
      <c r="A43" s="5" t="str">
        <f>"090301"</f>
        <v>090301</v>
      </c>
      <c r="B43" s="3" t="s">
        <v>85</v>
      </c>
      <c r="C43" s="15">
        <v>46064390</v>
      </c>
      <c r="D43" s="15">
        <v>49003123</v>
      </c>
      <c r="E43" s="4">
        <v>6.38</v>
      </c>
      <c r="F43" s="15">
        <v>22449618</v>
      </c>
      <c r="G43" s="15">
        <v>23065694</v>
      </c>
      <c r="H43" s="15"/>
      <c r="I43" s="15"/>
      <c r="J43" s="15"/>
      <c r="K43" s="15"/>
      <c r="L43" s="15"/>
      <c r="M43" s="15"/>
      <c r="N43" s="15">
        <v>22449618</v>
      </c>
      <c r="O43" s="15">
        <v>23065694</v>
      </c>
      <c r="P43" s="4">
        <v>2.74</v>
      </c>
      <c r="Q43" s="15">
        <v>183990</v>
      </c>
      <c r="R43" s="15">
        <v>140401</v>
      </c>
      <c r="S43" s="15">
        <v>22265628</v>
      </c>
      <c r="T43" s="15">
        <v>22925294</v>
      </c>
      <c r="U43" s="15">
        <v>22265628</v>
      </c>
      <c r="V43" s="15">
        <v>22925293</v>
      </c>
      <c r="W43" s="15">
        <v>0</v>
      </c>
      <c r="X43" s="15">
        <v>1</v>
      </c>
      <c r="Y43" s="4">
        <v>1925</v>
      </c>
      <c r="Z43" s="4">
        <v>1930</v>
      </c>
      <c r="AA43" s="4">
        <v>0.26</v>
      </c>
      <c r="AB43" s="15">
        <v>6285214</v>
      </c>
      <c r="AC43" s="15">
        <v>10193078</v>
      </c>
      <c r="AD43" s="15">
        <v>1600000</v>
      </c>
      <c r="AE43" s="15">
        <v>2100000</v>
      </c>
      <c r="AF43" s="15">
        <v>4685214</v>
      </c>
      <c r="AG43" s="15">
        <v>8093078</v>
      </c>
      <c r="AH43" s="4">
        <v>10.17</v>
      </c>
      <c r="AI43" s="6">
        <v>16.52</v>
      </c>
    </row>
    <row r="44" spans="1:35" x14ac:dyDescent="0.25">
      <c r="A44" s="5" t="str">
        <f>"020801"</f>
        <v>020801</v>
      </c>
      <c r="B44" s="3" t="s">
        <v>15</v>
      </c>
      <c r="C44" s="15">
        <v>10101482</v>
      </c>
      <c r="D44" s="15">
        <v>10739734</v>
      </c>
      <c r="E44" s="4">
        <v>6.32</v>
      </c>
      <c r="F44" s="15">
        <v>1819955</v>
      </c>
      <c r="G44" s="15">
        <v>1847981</v>
      </c>
      <c r="H44" s="15">
        <v>76332</v>
      </c>
      <c r="I44" s="15">
        <v>81294</v>
      </c>
      <c r="J44" s="15">
        <v>0</v>
      </c>
      <c r="K44" s="15">
        <v>0</v>
      </c>
      <c r="L44" s="15">
        <v>0</v>
      </c>
      <c r="M44" s="15">
        <v>0</v>
      </c>
      <c r="N44" s="15">
        <v>1896287</v>
      </c>
      <c r="O44" s="15">
        <v>1929275</v>
      </c>
      <c r="P44" s="4">
        <v>1.74</v>
      </c>
      <c r="Q44" s="15">
        <v>21805</v>
      </c>
      <c r="R44" s="15">
        <v>6431</v>
      </c>
      <c r="S44" s="15">
        <v>1848420</v>
      </c>
      <c r="T44" s="15">
        <v>1874210</v>
      </c>
      <c r="U44" s="15">
        <v>1798150</v>
      </c>
      <c r="V44" s="15">
        <v>1841550</v>
      </c>
      <c r="W44" s="15">
        <v>50270</v>
      </c>
      <c r="X44" s="15">
        <v>32660</v>
      </c>
      <c r="Y44" s="4">
        <v>354</v>
      </c>
      <c r="Z44" s="4">
        <v>357</v>
      </c>
      <c r="AA44" s="4">
        <v>0.85</v>
      </c>
      <c r="AB44" s="15">
        <v>587073</v>
      </c>
      <c r="AC44" s="15">
        <v>563620</v>
      </c>
      <c r="AD44" s="15">
        <v>81288</v>
      </c>
      <c r="AE44" s="15">
        <v>99850</v>
      </c>
      <c r="AF44" s="15">
        <v>572613</v>
      </c>
      <c r="AG44" s="15">
        <v>472763</v>
      </c>
      <c r="AH44" s="4">
        <v>5.67</v>
      </c>
      <c r="AI44" s="6">
        <v>4.4000000000000004</v>
      </c>
    </row>
    <row r="45" spans="1:35" x14ac:dyDescent="0.25">
      <c r="A45" s="5" t="str">
        <f>"220909"</f>
        <v>220909</v>
      </c>
      <c r="B45" s="3" t="s">
        <v>213</v>
      </c>
      <c r="C45" s="15">
        <v>11374742</v>
      </c>
      <c r="D45" s="15">
        <v>11668784</v>
      </c>
      <c r="E45" s="4">
        <v>2.59</v>
      </c>
      <c r="F45" s="15">
        <v>4933977</v>
      </c>
      <c r="G45" s="15">
        <v>5081996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4933977</v>
      </c>
      <c r="O45" s="15">
        <v>5081996</v>
      </c>
      <c r="P45" s="4">
        <v>3</v>
      </c>
      <c r="Q45" s="15">
        <v>280041</v>
      </c>
      <c r="R45" s="15">
        <v>214415</v>
      </c>
      <c r="S45" s="15">
        <v>4653936</v>
      </c>
      <c r="T45" s="15">
        <v>4772489</v>
      </c>
      <c r="U45" s="15">
        <v>4653936</v>
      </c>
      <c r="V45" s="15">
        <v>4867581</v>
      </c>
      <c r="W45" s="15">
        <v>0</v>
      </c>
      <c r="X45" s="15">
        <v>-95092</v>
      </c>
      <c r="Y45" s="4">
        <v>502</v>
      </c>
      <c r="Z45" s="4">
        <v>497</v>
      </c>
      <c r="AA45" s="4">
        <v>-1</v>
      </c>
      <c r="AB45" s="15">
        <v>988169</v>
      </c>
      <c r="AC45" s="15">
        <v>988232</v>
      </c>
      <c r="AD45" s="15">
        <v>694333</v>
      </c>
      <c r="AE45" s="15">
        <v>603998</v>
      </c>
      <c r="AF45" s="15">
        <v>192265</v>
      </c>
      <c r="AG45" s="15">
        <v>282600</v>
      </c>
      <c r="AH45" s="4">
        <v>1.69</v>
      </c>
      <c r="AI45" s="6">
        <v>2.42</v>
      </c>
    </row>
    <row r="46" spans="1:35" x14ac:dyDescent="0.25">
      <c r="A46" s="5" t="str">
        <f>"280207"</f>
        <v>280207</v>
      </c>
      <c r="B46" s="3" t="s">
        <v>271</v>
      </c>
      <c r="C46" s="15">
        <v>37266532</v>
      </c>
      <c r="D46" s="15">
        <v>37617262</v>
      </c>
      <c r="E46" s="4">
        <v>0.94</v>
      </c>
      <c r="F46" s="15">
        <v>26583621</v>
      </c>
      <c r="G46" s="15">
        <v>27032931</v>
      </c>
      <c r="H46" s="15"/>
      <c r="I46" s="15"/>
      <c r="J46" s="15"/>
      <c r="K46" s="15"/>
      <c r="L46" s="15"/>
      <c r="M46" s="15"/>
      <c r="N46" s="15">
        <v>26583621</v>
      </c>
      <c r="O46" s="15">
        <v>27032931</v>
      </c>
      <c r="P46" s="4">
        <v>1.69</v>
      </c>
      <c r="Q46" s="15">
        <v>759593</v>
      </c>
      <c r="R46" s="15">
        <v>608454</v>
      </c>
      <c r="S46" s="15">
        <v>25828183</v>
      </c>
      <c r="T46" s="15">
        <v>26427277</v>
      </c>
      <c r="U46" s="15">
        <v>25824028</v>
      </c>
      <c r="V46" s="15">
        <v>26424477</v>
      </c>
      <c r="W46" s="15">
        <v>4155</v>
      </c>
      <c r="X46" s="15">
        <v>2800</v>
      </c>
      <c r="Y46" s="4">
        <v>1040</v>
      </c>
      <c r="Z46" s="4">
        <v>1069</v>
      </c>
      <c r="AA46" s="4">
        <v>2.79</v>
      </c>
      <c r="AB46" s="15">
        <v>7775891</v>
      </c>
      <c r="AC46" s="15">
        <v>8888681</v>
      </c>
      <c r="AD46" s="15">
        <v>2218039</v>
      </c>
      <c r="AE46" s="15">
        <v>1968416</v>
      </c>
      <c r="AF46" s="15">
        <v>2330863</v>
      </c>
      <c r="AG46" s="15">
        <v>1504690</v>
      </c>
      <c r="AH46" s="4">
        <v>6.25</v>
      </c>
      <c r="AI46" s="6">
        <v>4</v>
      </c>
    </row>
    <row r="47" spans="1:35" x14ac:dyDescent="0.25">
      <c r="A47" s="5" t="str">
        <f>"280253"</f>
        <v>280253</v>
      </c>
      <c r="B47" s="3" t="s">
        <v>294</v>
      </c>
      <c r="C47" s="15">
        <v>170160406</v>
      </c>
      <c r="D47" s="15">
        <v>177106499</v>
      </c>
      <c r="E47" s="4">
        <v>4.08</v>
      </c>
      <c r="F47" s="15">
        <v>124237285</v>
      </c>
      <c r="G47" s="15">
        <v>126861135</v>
      </c>
      <c r="H47" s="15"/>
      <c r="I47" s="15"/>
      <c r="J47" s="15"/>
      <c r="K47" s="15"/>
      <c r="L47" s="15"/>
      <c r="M47" s="15"/>
      <c r="N47" s="15">
        <v>124237285</v>
      </c>
      <c r="O47" s="15">
        <v>126861135</v>
      </c>
      <c r="P47" s="4">
        <v>2.11</v>
      </c>
      <c r="Q47" s="15">
        <v>2105870</v>
      </c>
      <c r="R47" s="15">
        <v>2034348</v>
      </c>
      <c r="S47" s="15">
        <v>122131415</v>
      </c>
      <c r="T47" s="15">
        <v>124826787</v>
      </c>
      <c r="U47" s="15">
        <v>122131415</v>
      </c>
      <c r="V47" s="15">
        <v>124826787</v>
      </c>
      <c r="W47" s="15">
        <v>0</v>
      </c>
      <c r="X47" s="15">
        <v>0</v>
      </c>
      <c r="Y47" s="4">
        <v>5083</v>
      </c>
      <c r="Z47" s="4">
        <v>5168</v>
      </c>
      <c r="AA47" s="4">
        <v>1.67</v>
      </c>
      <c r="AB47" s="15">
        <v>26390369</v>
      </c>
      <c r="AC47" s="15">
        <v>24090369</v>
      </c>
      <c r="AD47" s="15">
        <v>5150000</v>
      </c>
      <c r="AE47" s="15">
        <v>4650000</v>
      </c>
      <c r="AF47" s="15">
        <v>6806416</v>
      </c>
      <c r="AG47" s="15">
        <v>7084260</v>
      </c>
      <c r="AH47" s="4">
        <v>4</v>
      </c>
      <c r="AI47" s="6">
        <v>4</v>
      </c>
    </row>
    <row r="48" spans="1:35" x14ac:dyDescent="0.25">
      <c r="A48" s="5" t="str">
        <f>"061001"</f>
        <v>061001</v>
      </c>
      <c r="B48" s="3" t="s">
        <v>62</v>
      </c>
      <c r="C48" s="15">
        <v>15588352</v>
      </c>
      <c r="D48" s="15">
        <v>16084938</v>
      </c>
      <c r="E48" s="4">
        <v>3.19</v>
      </c>
      <c r="F48" s="15">
        <v>9054864</v>
      </c>
      <c r="G48" s="15">
        <v>9316717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9054864</v>
      </c>
      <c r="O48" s="15">
        <v>9316717</v>
      </c>
      <c r="P48" s="4">
        <v>2.89</v>
      </c>
      <c r="Q48" s="15">
        <v>659468</v>
      </c>
      <c r="R48" s="15">
        <v>666954</v>
      </c>
      <c r="S48" s="15">
        <v>8395396</v>
      </c>
      <c r="T48" s="15">
        <v>8649763</v>
      </c>
      <c r="U48" s="15">
        <v>8395396</v>
      </c>
      <c r="V48" s="15">
        <v>8649763</v>
      </c>
      <c r="W48" s="15">
        <v>0</v>
      </c>
      <c r="X48" s="15">
        <v>0</v>
      </c>
      <c r="Y48" s="4">
        <v>667</v>
      </c>
      <c r="Z48" s="4">
        <v>659</v>
      </c>
      <c r="AA48" s="4">
        <v>-1.2</v>
      </c>
      <c r="AB48" s="15">
        <v>1804742</v>
      </c>
      <c r="AC48" s="15">
        <v>1808030</v>
      </c>
      <c r="AD48" s="15">
        <v>400000</v>
      </c>
      <c r="AE48" s="15">
        <v>400000</v>
      </c>
      <c r="AF48" s="15">
        <v>927661</v>
      </c>
      <c r="AG48" s="15">
        <v>643000</v>
      </c>
      <c r="AH48" s="4">
        <v>5.95</v>
      </c>
      <c r="AI48" s="6">
        <v>4</v>
      </c>
    </row>
    <row r="49" spans="1:35" x14ac:dyDescent="0.25">
      <c r="A49" s="5" t="str">
        <f>"490101"</f>
        <v>490101</v>
      </c>
      <c r="B49" s="3" t="s">
        <v>418</v>
      </c>
      <c r="C49" s="15">
        <v>23840690</v>
      </c>
      <c r="D49" s="15">
        <v>25974187</v>
      </c>
      <c r="E49" s="4">
        <v>8.9499999999999993</v>
      </c>
      <c r="F49" s="15">
        <v>9864340</v>
      </c>
      <c r="G49" s="15">
        <v>10060913</v>
      </c>
      <c r="H49" s="15"/>
      <c r="I49" s="15"/>
      <c r="J49" s="15"/>
      <c r="K49" s="15"/>
      <c r="L49" s="15"/>
      <c r="M49" s="15"/>
      <c r="N49" s="15">
        <v>9864340</v>
      </c>
      <c r="O49" s="15">
        <v>10060913</v>
      </c>
      <c r="P49" s="4">
        <v>1.99</v>
      </c>
      <c r="Q49" s="15">
        <v>336080</v>
      </c>
      <c r="R49" s="15">
        <v>343414</v>
      </c>
      <c r="S49" s="15">
        <v>9868761</v>
      </c>
      <c r="T49" s="15">
        <v>9764499</v>
      </c>
      <c r="U49" s="15">
        <v>9528260</v>
      </c>
      <c r="V49" s="15">
        <v>9717499</v>
      </c>
      <c r="W49" s="15">
        <v>340501</v>
      </c>
      <c r="X49" s="15">
        <v>47000</v>
      </c>
      <c r="Y49" s="4">
        <v>752</v>
      </c>
      <c r="Z49" s="4">
        <v>752</v>
      </c>
      <c r="AA49" s="4">
        <v>0</v>
      </c>
      <c r="AB49" s="15">
        <v>3725646</v>
      </c>
      <c r="AC49" s="15">
        <v>3725646</v>
      </c>
      <c r="AD49" s="15">
        <v>1320832</v>
      </c>
      <c r="AE49" s="15">
        <v>800000</v>
      </c>
      <c r="AF49" s="15">
        <v>650000</v>
      </c>
      <c r="AG49" s="15">
        <v>800000</v>
      </c>
      <c r="AH49" s="4">
        <v>2.73</v>
      </c>
      <c r="AI49" s="6">
        <v>3.08</v>
      </c>
    </row>
    <row r="50" spans="1:35" x14ac:dyDescent="0.25">
      <c r="A50" s="5" t="str">
        <f>"010201"</f>
        <v>010201</v>
      </c>
      <c r="B50" s="3" t="s">
        <v>1</v>
      </c>
      <c r="C50" s="15">
        <v>23672248</v>
      </c>
      <c r="D50" s="15">
        <v>24688027</v>
      </c>
      <c r="E50" s="4">
        <v>4.29</v>
      </c>
      <c r="F50" s="15">
        <v>10779562</v>
      </c>
      <c r="G50" s="15">
        <v>10725665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10779562</v>
      </c>
      <c r="O50" s="15">
        <v>10725665</v>
      </c>
      <c r="P50" s="4">
        <v>-0.5</v>
      </c>
      <c r="Q50" s="15">
        <v>0</v>
      </c>
      <c r="R50" s="15">
        <v>542857</v>
      </c>
      <c r="S50" s="15">
        <v>10924077</v>
      </c>
      <c r="T50" s="15">
        <v>11552304</v>
      </c>
      <c r="U50" s="15">
        <v>10779562</v>
      </c>
      <c r="V50" s="15">
        <v>10182808</v>
      </c>
      <c r="W50" s="15">
        <v>144515</v>
      </c>
      <c r="X50" s="15">
        <v>1369496</v>
      </c>
      <c r="Y50" s="4">
        <v>680</v>
      </c>
      <c r="Z50" s="4">
        <v>700</v>
      </c>
      <c r="AA50" s="4">
        <v>2.94</v>
      </c>
      <c r="AB50" s="15">
        <v>3320949</v>
      </c>
      <c r="AC50" s="15">
        <v>3640949</v>
      </c>
      <c r="AD50" s="15">
        <v>1300000</v>
      </c>
      <c r="AE50" s="15">
        <v>410000</v>
      </c>
      <c r="AF50" s="15">
        <v>1543517</v>
      </c>
      <c r="AG50" s="15">
        <v>987521</v>
      </c>
      <c r="AH50" s="4">
        <v>6.52</v>
      </c>
      <c r="AI50" s="6">
        <v>4</v>
      </c>
    </row>
    <row r="51" spans="1:35" x14ac:dyDescent="0.25">
      <c r="A51" s="5" t="str">
        <f>"010306"</f>
        <v>010306</v>
      </c>
      <c r="B51" s="3" t="s">
        <v>2</v>
      </c>
      <c r="C51" s="15">
        <v>102037000</v>
      </c>
      <c r="D51" s="15">
        <v>102698000</v>
      </c>
      <c r="E51" s="4">
        <v>0.65</v>
      </c>
      <c r="F51" s="15">
        <v>69233000</v>
      </c>
      <c r="G51" s="15">
        <v>69233000</v>
      </c>
      <c r="H51" s="15"/>
      <c r="I51" s="15"/>
      <c r="J51" s="15"/>
      <c r="K51" s="15"/>
      <c r="L51" s="15"/>
      <c r="M51" s="15"/>
      <c r="N51" s="15">
        <v>69233000</v>
      </c>
      <c r="O51" s="15">
        <v>69233000</v>
      </c>
      <c r="P51" s="4">
        <v>0</v>
      </c>
      <c r="Q51" s="15">
        <v>4757175</v>
      </c>
      <c r="R51" s="15">
        <v>3040754</v>
      </c>
      <c r="S51" s="15">
        <v>65063935</v>
      </c>
      <c r="T51" s="15">
        <v>66295097</v>
      </c>
      <c r="U51" s="15">
        <v>64475825</v>
      </c>
      <c r="V51" s="15">
        <v>66192246</v>
      </c>
      <c r="W51" s="15">
        <v>588110</v>
      </c>
      <c r="X51" s="15">
        <v>102851</v>
      </c>
      <c r="Y51" s="4">
        <v>4068</v>
      </c>
      <c r="Z51" s="4">
        <v>3997</v>
      </c>
      <c r="AA51" s="4">
        <v>-1.75</v>
      </c>
      <c r="AB51" s="15">
        <v>23636222</v>
      </c>
      <c r="AC51" s="15">
        <v>26895000</v>
      </c>
      <c r="AD51" s="15">
        <v>390000</v>
      </c>
      <c r="AE51" s="15">
        <v>0</v>
      </c>
      <c r="AF51" s="15">
        <v>3471376</v>
      </c>
      <c r="AG51" s="15">
        <v>4105000</v>
      </c>
      <c r="AH51" s="4">
        <v>3.4</v>
      </c>
      <c r="AI51" s="6">
        <v>4</v>
      </c>
    </row>
    <row r="52" spans="1:35" x14ac:dyDescent="0.25">
      <c r="A52" s="5" t="str">
        <f>"280521"</f>
        <v>280521</v>
      </c>
      <c r="B52" s="3" t="s">
        <v>314</v>
      </c>
      <c r="C52" s="15">
        <v>90347886</v>
      </c>
      <c r="D52" s="15">
        <v>94755332</v>
      </c>
      <c r="E52" s="4">
        <v>4.88</v>
      </c>
      <c r="F52" s="15">
        <v>68583618</v>
      </c>
      <c r="G52" s="15">
        <v>68583618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68583618</v>
      </c>
      <c r="O52" s="15">
        <v>68583618</v>
      </c>
      <c r="P52" s="4">
        <v>0</v>
      </c>
      <c r="Q52" s="15">
        <v>1436466</v>
      </c>
      <c r="R52" s="15">
        <v>1664239</v>
      </c>
      <c r="S52" s="15">
        <v>67147152</v>
      </c>
      <c r="T52" s="15">
        <v>68137886</v>
      </c>
      <c r="U52" s="15">
        <v>67147152</v>
      </c>
      <c r="V52" s="15">
        <v>66919379</v>
      </c>
      <c r="W52" s="15">
        <v>0</v>
      </c>
      <c r="X52" s="15">
        <v>1218507</v>
      </c>
      <c r="Y52" s="4">
        <v>2919</v>
      </c>
      <c r="Z52" s="4">
        <v>2969</v>
      </c>
      <c r="AA52" s="4">
        <v>1.71</v>
      </c>
      <c r="AB52" s="15">
        <v>14398927</v>
      </c>
      <c r="AC52" s="15">
        <v>14478871</v>
      </c>
      <c r="AD52" s="15">
        <v>0</v>
      </c>
      <c r="AE52" s="15">
        <v>0</v>
      </c>
      <c r="AF52" s="15">
        <v>4269573</v>
      </c>
      <c r="AG52" s="15">
        <v>3790213</v>
      </c>
      <c r="AH52" s="4">
        <v>4.7300000000000004</v>
      </c>
      <c r="AI52" s="6">
        <v>4</v>
      </c>
    </row>
    <row r="53" spans="1:35" x14ac:dyDescent="0.25">
      <c r="A53" s="5" t="str">
        <f>"030200"</f>
        <v>030200</v>
      </c>
      <c r="B53" s="3" t="s">
        <v>25</v>
      </c>
      <c r="C53" s="15">
        <v>128786217</v>
      </c>
      <c r="D53" s="15">
        <v>136090097</v>
      </c>
      <c r="E53" s="4">
        <v>5.67</v>
      </c>
      <c r="F53" s="15">
        <v>43946926</v>
      </c>
      <c r="G53" s="15">
        <v>44765288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43946926</v>
      </c>
      <c r="O53" s="15">
        <v>44765288</v>
      </c>
      <c r="P53" s="4">
        <v>1.86</v>
      </c>
      <c r="Q53" s="15">
        <v>945770</v>
      </c>
      <c r="R53" s="15">
        <v>945990</v>
      </c>
      <c r="S53" s="15">
        <v>43001156</v>
      </c>
      <c r="T53" s="15">
        <v>43819298</v>
      </c>
      <c r="U53" s="15">
        <v>43001156</v>
      </c>
      <c r="V53" s="15">
        <v>43819298</v>
      </c>
      <c r="W53" s="15">
        <v>0</v>
      </c>
      <c r="X53" s="15">
        <v>0</v>
      </c>
      <c r="Y53" s="4">
        <v>4780</v>
      </c>
      <c r="Z53" s="4">
        <v>4780</v>
      </c>
      <c r="AA53" s="4">
        <v>0</v>
      </c>
      <c r="AB53" s="15">
        <v>20279620</v>
      </c>
      <c r="AC53" s="15">
        <v>24203218</v>
      </c>
      <c r="AD53" s="15">
        <v>2450000</v>
      </c>
      <c r="AE53" s="15">
        <v>2450000</v>
      </c>
      <c r="AF53" s="15">
        <v>4738538</v>
      </c>
      <c r="AG53" s="15">
        <v>5057383</v>
      </c>
      <c r="AH53" s="4">
        <v>3.68</v>
      </c>
      <c r="AI53" s="6">
        <v>3.72</v>
      </c>
    </row>
    <row r="54" spans="1:35" x14ac:dyDescent="0.25">
      <c r="A54" s="5" t="str">
        <f>"661905"</f>
        <v>661905</v>
      </c>
      <c r="B54" s="3" t="s">
        <v>658</v>
      </c>
      <c r="C54" s="15">
        <v>51169419</v>
      </c>
      <c r="D54" s="15">
        <v>52567594</v>
      </c>
      <c r="E54" s="4">
        <v>2.73</v>
      </c>
      <c r="F54" s="15">
        <v>44042253</v>
      </c>
      <c r="G54" s="15">
        <v>45809574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44042253</v>
      </c>
      <c r="O54" s="15">
        <v>45809574</v>
      </c>
      <c r="P54" s="4">
        <v>4.01</v>
      </c>
      <c r="Q54" s="15">
        <v>3693657</v>
      </c>
      <c r="R54" s="15">
        <v>4312591</v>
      </c>
      <c r="S54" s="15">
        <v>40696292</v>
      </c>
      <c r="T54" s="15">
        <v>41496983</v>
      </c>
      <c r="U54" s="15">
        <v>40348596</v>
      </c>
      <c r="V54" s="15">
        <v>41496983</v>
      </c>
      <c r="W54" s="15">
        <v>347696</v>
      </c>
      <c r="X54" s="15">
        <v>0</v>
      </c>
      <c r="Y54" s="4">
        <v>1336</v>
      </c>
      <c r="Z54" s="4">
        <v>1340</v>
      </c>
      <c r="AA54" s="4">
        <v>0.3</v>
      </c>
      <c r="AB54" s="15">
        <v>549690</v>
      </c>
      <c r="AC54" s="15">
        <v>829435</v>
      </c>
      <c r="AD54" s="15">
        <v>2782033</v>
      </c>
      <c r="AE54" s="15">
        <v>1797841</v>
      </c>
      <c r="AF54" s="15">
        <v>2870274</v>
      </c>
      <c r="AG54" s="15">
        <v>2102704</v>
      </c>
      <c r="AH54" s="4">
        <v>5.61</v>
      </c>
      <c r="AI54" s="6">
        <v>4</v>
      </c>
    </row>
    <row r="55" spans="1:35" x14ac:dyDescent="0.25">
      <c r="A55" s="5" t="str">
        <f>"022902"</f>
        <v>022902</v>
      </c>
      <c r="B55" s="3" t="s">
        <v>23</v>
      </c>
      <c r="C55" s="15">
        <v>20481690</v>
      </c>
      <c r="D55" s="15">
        <v>21178283</v>
      </c>
      <c r="E55" s="4">
        <v>3.4</v>
      </c>
      <c r="F55" s="15">
        <v>2714763</v>
      </c>
      <c r="G55" s="15">
        <v>2714763</v>
      </c>
      <c r="H55" s="15"/>
      <c r="I55" s="15"/>
      <c r="J55" s="15"/>
      <c r="K55" s="15"/>
      <c r="L55" s="15"/>
      <c r="M55" s="15"/>
      <c r="N55" s="15">
        <v>2714763</v>
      </c>
      <c r="O55" s="15">
        <v>2714763</v>
      </c>
      <c r="P55" s="4">
        <v>0</v>
      </c>
      <c r="Q55" s="15">
        <v>0</v>
      </c>
      <c r="R55" s="15">
        <v>0</v>
      </c>
      <c r="S55" s="15">
        <v>2795467</v>
      </c>
      <c r="T55" s="15">
        <v>2820959</v>
      </c>
      <c r="U55" s="15">
        <v>2714763</v>
      </c>
      <c r="V55" s="15">
        <v>2714763</v>
      </c>
      <c r="W55" s="15">
        <v>80704</v>
      </c>
      <c r="X55" s="15">
        <v>106196</v>
      </c>
      <c r="Y55" s="4">
        <v>734</v>
      </c>
      <c r="Z55" s="4">
        <v>729</v>
      </c>
      <c r="AA55" s="4">
        <v>-0.68</v>
      </c>
      <c r="AB55" s="15">
        <v>7668150</v>
      </c>
      <c r="AC55" s="15">
        <v>7744832</v>
      </c>
      <c r="AD55" s="15">
        <v>600000</v>
      </c>
      <c r="AE55" s="15">
        <v>866484</v>
      </c>
      <c r="AF55" s="15">
        <v>3859000</v>
      </c>
      <c r="AG55" s="15">
        <v>3747590</v>
      </c>
      <c r="AH55" s="4">
        <v>18.84</v>
      </c>
      <c r="AI55" s="6">
        <v>17.7</v>
      </c>
    </row>
    <row r="56" spans="1:35" x14ac:dyDescent="0.25">
      <c r="A56" s="5" t="str">
        <f>"630101"</f>
        <v>630101</v>
      </c>
      <c r="B56" s="3" t="s">
        <v>594</v>
      </c>
      <c r="C56" s="15">
        <v>9917491</v>
      </c>
      <c r="D56" s="15">
        <v>10111321</v>
      </c>
      <c r="E56" s="4">
        <v>1.95</v>
      </c>
      <c r="F56" s="15">
        <v>7960456</v>
      </c>
      <c r="G56" s="15">
        <v>8138289</v>
      </c>
      <c r="H56" s="15"/>
      <c r="I56" s="15"/>
      <c r="J56" s="15"/>
      <c r="K56" s="15"/>
      <c r="L56" s="15"/>
      <c r="M56" s="15"/>
      <c r="N56" s="15">
        <v>7960456</v>
      </c>
      <c r="O56" s="15">
        <v>8138289</v>
      </c>
      <c r="P56" s="4">
        <v>2.23</v>
      </c>
      <c r="Q56" s="15">
        <v>252479</v>
      </c>
      <c r="R56" s="15">
        <v>264743</v>
      </c>
      <c r="S56" s="15">
        <v>7707978</v>
      </c>
      <c r="T56" s="15">
        <v>7903547</v>
      </c>
      <c r="U56" s="15">
        <v>7707977</v>
      </c>
      <c r="V56" s="15">
        <v>7873546</v>
      </c>
      <c r="W56" s="15">
        <v>1</v>
      </c>
      <c r="X56" s="15">
        <v>30001</v>
      </c>
      <c r="Y56" s="4">
        <v>168</v>
      </c>
      <c r="Z56" s="4">
        <v>175</v>
      </c>
      <c r="AA56" s="4">
        <v>4.17</v>
      </c>
      <c r="AB56" s="15">
        <v>946457</v>
      </c>
      <c r="AC56" s="15">
        <v>1026009</v>
      </c>
      <c r="AD56" s="15">
        <v>995725</v>
      </c>
      <c r="AE56" s="15">
        <v>975000</v>
      </c>
      <c r="AF56" s="15">
        <v>1900319</v>
      </c>
      <c r="AG56" s="15">
        <v>865319</v>
      </c>
      <c r="AH56" s="4">
        <v>19.16</v>
      </c>
      <c r="AI56" s="6">
        <v>8.56</v>
      </c>
    </row>
    <row r="57" spans="1:35" x14ac:dyDescent="0.25">
      <c r="A57" s="5" t="str">
        <f>"151801"</f>
        <v>151801</v>
      </c>
      <c r="B57" s="3" t="s">
        <v>164</v>
      </c>
      <c r="C57" s="15">
        <v>15118683</v>
      </c>
      <c r="D57" s="15">
        <v>15194692</v>
      </c>
      <c r="E57" s="4">
        <v>0.5</v>
      </c>
      <c r="F57" s="15">
        <v>7669235</v>
      </c>
      <c r="G57" s="15">
        <v>7844104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7669235</v>
      </c>
      <c r="O57" s="15">
        <v>7844104</v>
      </c>
      <c r="P57" s="4">
        <v>2.2799999999999998</v>
      </c>
      <c r="Q57" s="15">
        <v>0</v>
      </c>
      <c r="R57" s="15">
        <v>0</v>
      </c>
      <c r="S57" s="15">
        <v>7669235</v>
      </c>
      <c r="T57" s="15">
        <v>7844104</v>
      </c>
      <c r="U57" s="15">
        <v>7669235</v>
      </c>
      <c r="V57" s="15">
        <v>7844104</v>
      </c>
      <c r="W57" s="15">
        <v>0</v>
      </c>
      <c r="X57" s="15">
        <v>0</v>
      </c>
      <c r="Y57" s="4">
        <v>414</v>
      </c>
      <c r="Z57" s="4">
        <v>402</v>
      </c>
      <c r="AA57" s="4">
        <v>-2.9</v>
      </c>
      <c r="AB57" s="15">
        <v>5057381</v>
      </c>
      <c r="AC57" s="15">
        <v>5849891</v>
      </c>
      <c r="AD57" s="15">
        <v>0</v>
      </c>
      <c r="AE57" s="15">
        <v>0</v>
      </c>
      <c r="AF57" s="15">
        <v>1370150</v>
      </c>
      <c r="AG57" s="15">
        <v>1096168</v>
      </c>
      <c r="AH57" s="4">
        <v>9.06</v>
      </c>
      <c r="AI57" s="6">
        <v>7.21</v>
      </c>
    </row>
    <row r="58" spans="1:35" x14ac:dyDescent="0.25">
      <c r="A58" s="5" t="str">
        <f>"570401"</f>
        <v>570401</v>
      </c>
      <c r="B58" s="3" t="s">
        <v>488</v>
      </c>
      <c r="C58" s="15">
        <v>9819296</v>
      </c>
      <c r="D58" s="15">
        <v>9512227</v>
      </c>
      <c r="E58" s="4">
        <v>-3.13</v>
      </c>
      <c r="F58" s="15">
        <v>2502678</v>
      </c>
      <c r="G58" s="15">
        <v>2565370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2502678</v>
      </c>
      <c r="O58" s="15">
        <v>2565370</v>
      </c>
      <c r="P58" s="4">
        <v>2.5</v>
      </c>
      <c r="Q58" s="15">
        <v>0</v>
      </c>
      <c r="R58" s="15">
        <v>0</v>
      </c>
      <c r="S58" s="15">
        <v>2502678</v>
      </c>
      <c r="T58" s="15">
        <v>2584143</v>
      </c>
      <c r="U58" s="15">
        <v>2502678</v>
      </c>
      <c r="V58" s="15">
        <v>2565370</v>
      </c>
      <c r="W58" s="15">
        <v>0</v>
      </c>
      <c r="X58" s="15">
        <v>18773</v>
      </c>
      <c r="Y58" s="4">
        <v>239</v>
      </c>
      <c r="Z58" s="4">
        <v>241</v>
      </c>
      <c r="AA58" s="4">
        <v>0.84</v>
      </c>
      <c r="AB58" s="15">
        <v>2770293</v>
      </c>
      <c r="AC58" s="15">
        <v>3425889</v>
      </c>
      <c r="AD58" s="15">
        <v>279500</v>
      </c>
      <c r="AE58" s="15">
        <v>332509</v>
      </c>
      <c r="AF58" s="15">
        <v>785537</v>
      </c>
      <c r="AG58" s="15">
        <v>380489</v>
      </c>
      <c r="AH58" s="4">
        <v>8</v>
      </c>
      <c r="AI58" s="6">
        <v>4</v>
      </c>
    </row>
    <row r="59" spans="1:35" x14ac:dyDescent="0.25">
      <c r="A59" s="5" t="str">
        <f>"510101"</f>
        <v>510101</v>
      </c>
      <c r="B59" s="3" t="s">
        <v>438</v>
      </c>
      <c r="C59" s="15">
        <v>26279357</v>
      </c>
      <c r="D59" s="15">
        <v>27806564</v>
      </c>
      <c r="E59" s="4">
        <v>5.81</v>
      </c>
      <c r="F59" s="15">
        <v>5285934</v>
      </c>
      <c r="G59" s="15">
        <v>5365223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5285934</v>
      </c>
      <c r="O59" s="15">
        <v>5365223</v>
      </c>
      <c r="P59" s="4">
        <v>1.5</v>
      </c>
      <c r="Q59" s="15">
        <v>274930</v>
      </c>
      <c r="R59" s="15">
        <v>479887</v>
      </c>
      <c r="S59" s="15">
        <v>5094265</v>
      </c>
      <c r="T59" s="15">
        <v>5095704</v>
      </c>
      <c r="U59" s="15">
        <v>5011004</v>
      </c>
      <c r="V59" s="15">
        <v>4885336</v>
      </c>
      <c r="W59" s="15">
        <v>83261</v>
      </c>
      <c r="X59" s="15">
        <v>210368</v>
      </c>
      <c r="Y59" s="4">
        <v>973</v>
      </c>
      <c r="Z59" s="4">
        <v>973</v>
      </c>
      <c r="AA59" s="4">
        <v>0</v>
      </c>
      <c r="AB59" s="15">
        <v>7848393</v>
      </c>
      <c r="AC59" s="15">
        <v>7451327</v>
      </c>
      <c r="AD59" s="15">
        <v>750000</v>
      </c>
      <c r="AE59" s="15">
        <v>750000</v>
      </c>
      <c r="AF59" s="15">
        <v>2864984</v>
      </c>
      <c r="AG59" s="15">
        <v>3909495</v>
      </c>
      <c r="AH59" s="4">
        <v>10.9</v>
      </c>
      <c r="AI59" s="6">
        <v>14.06</v>
      </c>
    </row>
    <row r="60" spans="1:35" x14ac:dyDescent="0.25">
      <c r="A60" s="5" t="str">
        <f>"580512"</f>
        <v>580512</v>
      </c>
      <c r="B60" s="3" t="s">
        <v>542</v>
      </c>
      <c r="C60" s="15">
        <v>454813370</v>
      </c>
      <c r="D60" s="15">
        <v>503374071</v>
      </c>
      <c r="E60" s="4">
        <v>10.68</v>
      </c>
      <c r="F60" s="15">
        <v>111568807</v>
      </c>
      <c r="G60" s="15">
        <v>111568807</v>
      </c>
      <c r="H60" s="15"/>
      <c r="I60" s="15"/>
      <c r="J60" s="15"/>
      <c r="K60" s="15"/>
      <c r="L60" s="15"/>
      <c r="M60" s="15"/>
      <c r="N60" s="15">
        <v>111568807</v>
      </c>
      <c r="O60" s="15">
        <v>111568807</v>
      </c>
      <c r="P60" s="4">
        <v>0</v>
      </c>
      <c r="Q60" s="15">
        <v>651919</v>
      </c>
      <c r="R60" s="15">
        <v>252049</v>
      </c>
      <c r="S60" s="15">
        <v>114891420</v>
      </c>
      <c r="T60" s="15">
        <v>115384805</v>
      </c>
      <c r="U60" s="15">
        <v>110916888</v>
      </c>
      <c r="V60" s="15">
        <v>111316758</v>
      </c>
      <c r="W60" s="15">
        <v>3974532</v>
      </c>
      <c r="X60" s="15">
        <v>4068047</v>
      </c>
      <c r="Y60" s="4">
        <v>18092</v>
      </c>
      <c r="Z60" s="4">
        <v>18500</v>
      </c>
      <c r="AA60" s="4">
        <v>2.2599999999999998</v>
      </c>
      <c r="AB60" s="15">
        <v>48118027</v>
      </c>
      <c r="AC60" s="15">
        <v>48166145</v>
      </c>
      <c r="AD60" s="15">
        <v>19876240</v>
      </c>
      <c r="AE60" s="15">
        <v>12561017</v>
      </c>
      <c r="AF60" s="15">
        <v>28560296</v>
      </c>
      <c r="AG60" s="15">
        <v>25000000</v>
      </c>
      <c r="AH60" s="4">
        <v>6.28</v>
      </c>
      <c r="AI60" s="6">
        <v>4.97</v>
      </c>
    </row>
    <row r="61" spans="1:35" x14ac:dyDescent="0.25">
      <c r="A61" s="5" t="str">
        <f>"480601"</f>
        <v>480601</v>
      </c>
      <c r="B61" s="3" t="s">
        <v>417</v>
      </c>
      <c r="C61" s="15">
        <v>104903457</v>
      </c>
      <c r="D61" s="15">
        <v>110551974</v>
      </c>
      <c r="E61" s="4">
        <v>5.38</v>
      </c>
      <c r="F61" s="15">
        <v>78956175</v>
      </c>
      <c r="G61" s="15">
        <v>80291974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78956175</v>
      </c>
      <c r="O61" s="15">
        <v>80291974</v>
      </c>
      <c r="P61" s="4">
        <v>1.69</v>
      </c>
      <c r="Q61" s="15">
        <v>3076442</v>
      </c>
      <c r="R61" s="15">
        <v>2669523</v>
      </c>
      <c r="S61" s="15">
        <v>75879733</v>
      </c>
      <c r="T61" s="15">
        <v>77790451</v>
      </c>
      <c r="U61" s="15">
        <v>75879733</v>
      </c>
      <c r="V61" s="15">
        <v>77622451</v>
      </c>
      <c r="W61" s="15">
        <v>0</v>
      </c>
      <c r="X61" s="15">
        <v>168000</v>
      </c>
      <c r="Y61" s="4">
        <v>2971</v>
      </c>
      <c r="Z61" s="4">
        <v>2956</v>
      </c>
      <c r="AA61" s="4">
        <v>-0.5</v>
      </c>
      <c r="AB61" s="15">
        <v>10397531</v>
      </c>
      <c r="AC61" s="15">
        <v>16264591</v>
      </c>
      <c r="AD61" s="15">
        <v>3000000</v>
      </c>
      <c r="AE61" s="15">
        <v>3000000</v>
      </c>
      <c r="AF61" s="15">
        <v>4196138</v>
      </c>
      <c r="AG61" s="15">
        <v>4422078</v>
      </c>
      <c r="AH61" s="4">
        <v>4</v>
      </c>
      <c r="AI61" s="6">
        <v>4</v>
      </c>
    </row>
    <row r="62" spans="1:35" x14ac:dyDescent="0.25">
      <c r="A62" s="5" t="str">
        <f>"661402"</f>
        <v>661402</v>
      </c>
      <c r="B62" s="3" t="s">
        <v>652</v>
      </c>
      <c r="C62" s="15">
        <v>53692283</v>
      </c>
      <c r="D62" s="15">
        <v>56280408</v>
      </c>
      <c r="E62" s="4">
        <v>4.82</v>
      </c>
      <c r="F62" s="15">
        <v>43696931</v>
      </c>
      <c r="G62" s="15">
        <v>44898025</v>
      </c>
      <c r="H62" s="15"/>
      <c r="I62" s="15"/>
      <c r="J62" s="15"/>
      <c r="K62" s="15"/>
      <c r="L62" s="15"/>
      <c r="M62" s="15"/>
      <c r="N62" s="15">
        <v>43696931</v>
      </c>
      <c r="O62" s="15">
        <v>44898025</v>
      </c>
      <c r="P62" s="4">
        <v>2.75</v>
      </c>
      <c r="Q62" s="15">
        <v>2966734</v>
      </c>
      <c r="R62" s="15">
        <v>3217472</v>
      </c>
      <c r="S62" s="15">
        <v>42004057</v>
      </c>
      <c r="T62" s="15">
        <v>42445132</v>
      </c>
      <c r="U62" s="15">
        <v>40730197</v>
      </c>
      <c r="V62" s="15">
        <v>41680553</v>
      </c>
      <c r="W62" s="15">
        <v>1273860</v>
      </c>
      <c r="X62" s="15">
        <v>764579</v>
      </c>
      <c r="Y62" s="4">
        <v>1349</v>
      </c>
      <c r="Z62" s="4">
        <v>1308</v>
      </c>
      <c r="AA62" s="4">
        <v>-3.04</v>
      </c>
      <c r="AB62" s="15">
        <v>6021988</v>
      </c>
      <c r="AC62" s="15">
        <v>4878801</v>
      </c>
      <c r="AD62" s="15">
        <v>1022000</v>
      </c>
      <c r="AE62" s="15">
        <v>2764384</v>
      </c>
      <c r="AF62" s="15">
        <v>2264271</v>
      </c>
      <c r="AG62" s="15">
        <v>2251216</v>
      </c>
      <c r="AH62" s="4">
        <v>4.22</v>
      </c>
      <c r="AI62" s="6">
        <v>4</v>
      </c>
    </row>
    <row r="63" spans="1:35" x14ac:dyDescent="0.25">
      <c r="A63" s="5" t="str">
        <f>"580909"</f>
        <v>580909</v>
      </c>
      <c r="B63" s="3" t="s">
        <v>555</v>
      </c>
      <c r="C63" s="15">
        <v>20658612</v>
      </c>
      <c r="D63" s="15">
        <v>20957637</v>
      </c>
      <c r="E63" s="4">
        <v>1.45</v>
      </c>
      <c r="F63" s="15">
        <v>17489822</v>
      </c>
      <c r="G63" s="15">
        <v>17763369</v>
      </c>
      <c r="H63" s="15"/>
      <c r="I63" s="15"/>
      <c r="J63" s="15"/>
      <c r="K63" s="15"/>
      <c r="L63" s="15"/>
      <c r="M63" s="15"/>
      <c r="N63" s="15">
        <v>17489822</v>
      </c>
      <c r="O63" s="15">
        <v>17763369</v>
      </c>
      <c r="P63" s="4">
        <v>1.56</v>
      </c>
      <c r="Q63" s="15">
        <v>2518994</v>
      </c>
      <c r="R63" s="15">
        <v>2314028</v>
      </c>
      <c r="S63" s="15">
        <v>14385876</v>
      </c>
      <c r="T63" s="15">
        <v>15449341</v>
      </c>
      <c r="U63" s="15">
        <v>14970828</v>
      </c>
      <c r="V63" s="15">
        <v>15449341</v>
      </c>
      <c r="W63" s="15">
        <v>-584952</v>
      </c>
      <c r="X63" s="15">
        <v>0</v>
      </c>
      <c r="Y63" s="4">
        <v>207</v>
      </c>
      <c r="Z63" s="4">
        <v>211</v>
      </c>
      <c r="AA63" s="4">
        <v>1.93</v>
      </c>
      <c r="AB63" s="15">
        <v>2242606</v>
      </c>
      <c r="AC63" s="15">
        <v>2117606</v>
      </c>
      <c r="AD63" s="15">
        <v>800000</v>
      </c>
      <c r="AE63" s="15">
        <v>800000</v>
      </c>
      <c r="AF63" s="15">
        <v>825864</v>
      </c>
      <c r="AG63" s="15">
        <v>838306</v>
      </c>
      <c r="AH63" s="4">
        <v>4</v>
      </c>
      <c r="AI63" s="6">
        <v>4</v>
      </c>
    </row>
    <row r="64" spans="1:35" x14ac:dyDescent="0.25">
      <c r="A64" s="5" t="str">
        <f>"260101"</f>
        <v>260101</v>
      </c>
      <c r="B64" s="3" t="s">
        <v>242</v>
      </c>
      <c r="C64" s="15">
        <v>87686048</v>
      </c>
      <c r="D64" s="15">
        <v>93153759</v>
      </c>
      <c r="E64" s="4">
        <v>6.24</v>
      </c>
      <c r="F64" s="15">
        <v>56729971</v>
      </c>
      <c r="G64" s="15">
        <v>57931204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56729971</v>
      </c>
      <c r="O64" s="15">
        <v>57931204</v>
      </c>
      <c r="P64" s="4">
        <v>2.12</v>
      </c>
      <c r="Q64" s="15">
        <v>1708730</v>
      </c>
      <c r="R64" s="15">
        <v>1799538</v>
      </c>
      <c r="S64" s="15">
        <v>55421241</v>
      </c>
      <c r="T64" s="15">
        <v>56131666</v>
      </c>
      <c r="U64" s="15">
        <v>55021241</v>
      </c>
      <c r="V64" s="15">
        <v>56131666</v>
      </c>
      <c r="W64" s="15">
        <v>400000</v>
      </c>
      <c r="X64" s="15">
        <v>0</v>
      </c>
      <c r="Y64" s="4">
        <v>3377</v>
      </c>
      <c r="Z64" s="4">
        <v>3353</v>
      </c>
      <c r="AA64" s="4">
        <v>-0.71</v>
      </c>
      <c r="AB64" s="15">
        <v>22460367</v>
      </c>
      <c r="AC64" s="15">
        <v>21491367</v>
      </c>
      <c r="AD64" s="15">
        <v>3000000</v>
      </c>
      <c r="AE64" s="15">
        <v>3750000</v>
      </c>
      <c r="AF64" s="15">
        <v>3507442</v>
      </c>
      <c r="AG64" s="15">
        <v>3726150</v>
      </c>
      <c r="AH64" s="4">
        <v>4</v>
      </c>
      <c r="AI64" s="6">
        <v>4</v>
      </c>
    </row>
    <row r="65" spans="1:35" x14ac:dyDescent="0.25">
      <c r="A65" s="5" t="str">
        <f>"171102"</f>
        <v>171102</v>
      </c>
      <c r="B65" s="3" t="s">
        <v>177</v>
      </c>
      <c r="C65" s="15">
        <v>38760750</v>
      </c>
      <c r="D65" s="15">
        <v>39730000</v>
      </c>
      <c r="E65" s="4">
        <v>2.5</v>
      </c>
      <c r="F65" s="15">
        <v>16230000</v>
      </c>
      <c r="G65" s="15">
        <v>16384185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16230000</v>
      </c>
      <c r="O65" s="15">
        <v>16384185</v>
      </c>
      <c r="P65" s="4">
        <v>0.95</v>
      </c>
      <c r="Q65" s="15">
        <v>2030509</v>
      </c>
      <c r="R65" s="15">
        <v>3003392</v>
      </c>
      <c r="S65" s="15">
        <v>14879087</v>
      </c>
      <c r="T65" s="15">
        <v>14630252</v>
      </c>
      <c r="U65" s="15">
        <v>14199491</v>
      </c>
      <c r="V65" s="15">
        <v>13380793</v>
      </c>
      <c r="W65" s="15">
        <v>679596</v>
      </c>
      <c r="X65" s="15">
        <v>1249459</v>
      </c>
      <c r="Y65" s="4">
        <v>1683</v>
      </c>
      <c r="Z65" s="4">
        <v>1700</v>
      </c>
      <c r="AA65" s="4">
        <v>1.01</v>
      </c>
      <c r="AB65" s="15">
        <v>1105768</v>
      </c>
      <c r="AC65" s="15">
        <v>1865523</v>
      </c>
      <c r="AD65" s="15">
        <v>2074945</v>
      </c>
      <c r="AE65" s="15">
        <v>1360000</v>
      </c>
      <c r="AF65" s="15">
        <v>2777436</v>
      </c>
      <c r="AG65" s="15">
        <v>2132626</v>
      </c>
      <c r="AH65" s="4">
        <v>7.17</v>
      </c>
      <c r="AI65" s="6">
        <v>5.37</v>
      </c>
    </row>
    <row r="66" spans="1:35" x14ac:dyDescent="0.25">
      <c r="A66" s="5" t="str">
        <f>"261801"</f>
        <v>261801</v>
      </c>
      <c r="B66" s="3" t="s">
        <v>256</v>
      </c>
      <c r="C66" s="15">
        <v>86288688</v>
      </c>
      <c r="D66" s="15">
        <v>89417493</v>
      </c>
      <c r="E66" s="4">
        <v>3.63</v>
      </c>
      <c r="F66" s="15">
        <v>34093153</v>
      </c>
      <c r="G66" s="15">
        <v>35092082</v>
      </c>
      <c r="H66" s="15"/>
      <c r="I66" s="15"/>
      <c r="J66" s="15"/>
      <c r="K66" s="15"/>
      <c r="L66" s="15"/>
      <c r="M66" s="15"/>
      <c r="N66" s="15">
        <v>34093153</v>
      </c>
      <c r="O66" s="15">
        <v>35092082</v>
      </c>
      <c r="P66" s="4">
        <v>2.93</v>
      </c>
      <c r="Q66" s="15">
        <v>723598</v>
      </c>
      <c r="R66" s="15">
        <v>567502</v>
      </c>
      <c r="S66" s="15">
        <v>33371359</v>
      </c>
      <c r="T66" s="15">
        <v>34529706</v>
      </c>
      <c r="U66" s="15">
        <v>33369555</v>
      </c>
      <c r="V66" s="15">
        <v>34524580</v>
      </c>
      <c r="W66" s="15">
        <v>1804</v>
      </c>
      <c r="X66" s="15">
        <v>5126</v>
      </c>
      <c r="Y66" s="4">
        <v>2982</v>
      </c>
      <c r="Z66" s="4">
        <v>2905</v>
      </c>
      <c r="AA66" s="4">
        <v>-2.58</v>
      </c>
      <c r="AB66" s="15">
        <v>33602148</v>
      </c>
      <c r="AC66" s="15">
        <v>29223148</v>
      </c>
      <c r="AD66" s="15">
        <v>3271877</v>
      </c>
      <c r="AE66" s="15">
        <v>3010189</v>
      </c>
      <c r="AF66" s="15">
        <v>3451548</v>
      </c>
      <c r="AG66" s="15">
        <v>3576699</v>
      </c>
      <c r="AH66" s="4">
        <v>4</v>
      </c>
      <c r="AI66" s="6">
        <v>4</v>
      </c>
    </row>
    <row r="67" spans="1:35" x14ac:dyDescent="0.25">
      <c r="A67" s="5" t="str">
        <f>"062301"</f>
        <v>062301</v>
      </c>
      <c r="B67" s="3" t="s">
        <v>69</v>
      </c>
      <c r="C67" s="15">
        <v>17837480</v>
      </c>
      <c r="D67" s="15">
        <v>18132136</v>
      </c>
      <c r="E67" s="4">
        <v>1.65</v>
      </c>
      <c r="F67" s="15">
        <v>5061707</v>
      </c>
      <c r="G67" s="15">
        <v>5006466</v>
      </c>
      <c r="H67" s="15"/>
      <c r="I67" s="15"/>
      <c r="J67" s="15"/>
      <c r="K67" s="15"/>
      <c r="L67" s="15"/>
      <c r="M67" s="15"/>
      <c r="N67" s="15">
        <v>5061707</v>
      </c>
      <c r="O67" s="15">
        <v>5006466</v>
      </c>
      <c r="P67" s="4">
        <v>-1.0900000000000001</v>
      </c>
      <c r="Q67" s="15">
        <v>204282</v>
      </c>
      <c r="R67" s="15">
        <v>130130</v>
      </c>
      <c r="S67" s="15">
        <v>4857425</v>
      </c>
      <c r="T67" s="15">
        <v>4876336</v>
      </c>
      <c r="U67" s="15">
        <v>4857425</v>
      </c>
      <c r="V67" s="15">
        <v>4876336</v>
      </c>
      <c r="W67" s="15">
        <v>0</v>
      </c>
      <c r="X67" s="15">
        <v>0</v>
      </c>
      <c r="Y67" s="4">
        <v>579</v>
      </c>
      <c r="Z67" s="4">
        <v>587</v>
      </c>
      <c r="AA67" s="4">
        <v>1.38</v>
      </c>
      <c r="AB67" s="15">
        <v>2235013</v>
      </c>
      <c r="AC67" s="15">
        <v>2884936</v>
      </c>
      <c r="AD67" s="15">
        <v>605007</v>
      </c>
      <c r="AE67" s="15">
        <v>824814</v>
      </c>
      <c r="AF67" s="15">
        <v>2521100</v>
      </c>
      <c r="AG67" s="15">
        <v>1797414</v>
      </c>
      <c r="AH67" s="4">
        <v>14.13</v>
      </c>
      <c r="AI67" s="6">
        <v>9.91</v>
      </c>
    </row>
    <row r="68" spans="1:35" x14ac:dyDescent="0.25">
      <c r="A68" s="5" t="str">
        <f>"660303"</f>
        <v>660303</v>
      </c>
      <c r="B68" s="3" t="s">
        <v>631</v>
      </c>
      <c r="C68" s="15">
        <v>50618988</v>
      </c>
      <c r="D68" s="15">
        <v>51017862</v>
      </c>
      <c r="E68" s="4">
        <v>0.79</v>
      </c>
      <c r="F68" s="15">
        <v>44588988</v>
      </c>
      <c r="G68" s="15">
        <v>45547862</v>
      </c>
      <c r="H68" s="15"/>
      <c r="I68" s="15"/>
      <c r="J68" s="15"/>
      <c r="K68" s="15"/>
      <c r="L68" s="15"/>
      <c r="M68" s="15"/>
      <c r="N68" s="15">
        <v>44588988</v>
      </c>
      <c r="O68" s="15">
        <v>45547862</v>
      </c>
      <c r="P68" s="4">
        <v>2.15</v>
      </c>
      <c r="Q68" s="15">
        <v>0</v>
      </c>
      <c r="R68" s="15">
        <v>0</v>
      </c>
      <c r="S68" s="15">
        <v>44600119</v>
      </c>
      <c r="T68" s="15">
        <v>45670769</v>
      </c>
      <c r="U68" s="15">
        <v>44588988</v>
      </c>
      <c r="V68" s="15">
        <v>45547862</v>
      </c>
      <c r="W68" s="15">
        <v>11131</v>
      </c>
      <c r="X68" s="15">
        <v>122907</v>
      </c>
      <c r="Y68" s="4">
        <v>1604</v>
      </c>
      <c r="Z68" s="4">
        <v>1556</v>
      </c>
      <c r="AA68" s="4">
        <v>-2.99</v>
      </c>
      <c r="AB68" s="15">
        <v>5813468</v>
      </c>
      <c r="AC68" s="15">
        <v>5219306</v>
      </c>
      <c r="AD68" s="15">
        <v>1197057</v>
      </c>
      <c r="AE68" s="15">
        <v>500000</v>
      </c>
      <c r="AF68" s="15">
        <v>2024760</v>
      </c>
      <c r="AG68" s="15">
        <v>2024760</v>
      </c>
      <c r="AH68" s="4">
        <v>4</v>
      </c>
      <c r="AI68" s="6">
        <v>3.97</v>
      </c>
    </row>
    <row r="69" spans="1:35" x14ac:dyDescent="0.25">
      <c r="A69" s="5" t="str">
        <f>"250109"</f>
        <v>250109</v>
      </c>
      <c r="B69" s="3" t="s">
        <v>232</v>
      </c>
      <c r="C69" s="15">
        <v>7192137</v>
      </c>
      <c r="D69" s="15">
        <v>7616147</v>
      </c>
      <c r="E69" s="4">
        <v>5.9</v>
      </c>
      <c r="F69" s="15">
        <v>1607000</v>
      </c>
      <c r="G69" s="15">
        <v>1639000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1607000</v>
      </c>
      <c r="O69" s="15">
        <v>1639000</v>
      </c>
      <c r="P69" s="4">
        <v>1.99</v>
      </c>
      <c r="Q69" s="15">
        <v>38054</v>
      </c>
      <c r="R69" s="15">
        <v>183649</v>
      </c>
      <c r="S69" s="15">
        <v>1568946</v>
      </c>
      <c r="T69" s="15">
        <v>1455351</v>
      </c>
      <c r="U69" s="15">
        <v>1568946</v>
      </c>
      <c r="V69" s="15">
        <v>1455351</v>
      </c>
      <c r="W69" s="15">
        <v>0</v>
      </c>
      <c r="X69" s="15">
        <v>0</v>
      </c>
      <c r="Y69" s="4">
        <v>201</v>
      </c>
      <c r="Z69" s="4">
        <v>201</v>
      </c>
      <c r="AA69" s="4">
        <v>0</v>
      </c>
      <c r="AB69" s="15">
        <v>198560</v>
      </c>
      <c r="AC69" s="15">
        <v>198560</v>
      </c>
      <c r="AD69" s="15">
        <v>822800</v>
      </c>
      <c r="AE69" s="15">
        <v>822800</v>
      </c>
      <c r="AF69" s="15">
        <v>705594</v>
      </c>
      <c r="AG69" s="15">
        <v>505594</v>
      </c>
      <c r="AH69" s="4">
        <v>9.81</v>
      </c>
      <c r="AI69" s="6">
        <v>6.64</v>
      </c>
    </row>
    <row r="70" spans="1:35" x14ac:dyDescent="0.25">
      <c r="A70" s="5" t="str">
        <f>"580203"</f>
        <v>580203</v>
      </c>
      <c r="B70" s="3" t="s">
        <v>507</v>
      </c>
      <c r="C70" s="15">
        <v>98479289</v>
      </c>
      <c r="D70" s="15">
        <v>102117258</v>
      </c>
      <c r="E70" s="4">
        <v>3.69</v>
      </c>
      <c r="F70" s="15">
        <v>59417689</v>
      </c>
      <c r="G70" s="15">
        <v>60610658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59417689</v>
      </c>
      <c r="O70" s="15">
        <v>60610658</v>
      </c>
      <c r="P70" s="4">
        <v>2.0099999999999998</v>
      </c>
      <c r="Q70" s="15">
        <v>3214108</v>
      </c>
      <c r="R70" s="15">
        <v>3309314</v>
      </c>
      <c r="S70" s="15">
        <v>56605432</v>
      </c>
      <c r="T70" s="15">
        <v>57301344</v>
      </c>
      <c r="U70" s="15">
        <v>56203581</v>
      </c>
      <c r="V70" s="15">
        <v>57301344</v>
      </c>
      <c r="W70" s="15">
        <v>401851</v>
      </c>
      <c r="X70" s="15">
        <v>0</v>
      </c>
      <c r="Y70" s="4">
        <v>3445</v>
      </c>
      <c r="Z70" s="4">
        <v>3445</v>
      </c>
      <c r="AA70" s="4">
        <v>0</v>
      </c>
      <c r="AB70" s="15">
        <v>5267952</v>
      </c>
      <c r="AC70" s="15">
        <v>5267952</v>
      </c>
      <c r="AD70" s="15">
        <v>20242256</v>
      </c>
      <c r="AE70" s="15">
        <v>19042256</v>
      </c>
      <c r="AF70" s="15">
        <v>3453290</v>
      </c>
      <c r="AG70" s="15">
        <v>2365041</v>
      </c>
      <c r="AH70" s="4">
        <v>3.51</v>
      </c>
      <c r="AI70" s="6">
        <v>2.3199999999999998</v>
      </c>
    </row>
    <row r="71" spans="1:35" x14ac:dyDescent="0.25">
      <c r="A71" s="5" t="str">
        <f>"490202"</f>
        <v>490202</v>
      </c>
      <c r="B71" s="3" t="s">
        <v>419</v>
      </c>
      <c r="C71" s="15">
        <v>26809812</v>
      </c>
      <c r="D71" s="15">
        <v>27168482</v>
      </c>
      <c r="E71" s="4">
        <v>1.34</v>
      </c>
      <c r="F71" s="15">
        <v>13947957</v>
      </c>
      <c r="G71" s="15">
        <v>14225521</v>
      </c>
      <c r="H71" s="15"/>
      <c r="I71" s="15"/>
      <c r="J71" s="15"/>
      <c r="K71" s="15"/>
      <c r="L71" s="15"/>
      <c r="M71" s="15"/>
      <c r="N71" s="15">
        <v>13947957</v>
      </c>
      <c r="O71" s="15">
        <v>14225521</v>
      </c>
      <c r="P71" s="4">
        <v>1.99</v>
      </c>
      <c r="Q71" s="15">
        <v>236966</v>
      </c>
      <c r="R71" s="15">
        <v>257511</v>
      </c>
      <c r="S71" s="15">
        <v>13711268</v>
      </c>
      <c r="T71" s="15">
        <v>14052077</v>
      </c>
      <c r="U71" s="15">
        <v>13710991</v>
      </c>
      <c r="V71" s="15">
        <v>13968010</v>
      </c>
      <c r="W71" s="15">
        <v>277</v>
      </c>
      <c r="X71" s="15">
        <v>84067</v>
      </c>
      <c r="Y71" s="4">
        <v>1148</v>
      </c>
      <c r="Z71" s="4">
        <v>1123</v>
      </c>
      <c r="AA71" s="4">
        <v>-2.1800000000000002</v>
      </c>
      <c r="AB71" s="15">
        <v>3096778</v>
      </c>
      <c r="AC71" s="15">
        <v>2882378</v>
      </c>
      <c r="AD71" s="15">
        <v>564460</v>
      </c>
      <c r="AE71" s="15">
        <v>500000</v>
      </c>
      <c r="AF71" s="15">
        <v>1072392</v>
      </c>
      <c r="AG71" s="15">
        <v>1086739</v>
      </c>
      <c r="AH71" s="4">
        <v>4</v>
      </c>
      <c r="AI71" s="6">
        <v>4</v>
      </c>
    </row>
    <row r="72" spans="1:35" x14ac:dyDescent="0.25">
      <c r="A72" s="5" t="str">
        <f>"161601"</f>
        <v>161601</v>
      </c>
      <c r="B72" s="3" t="s">
        <v>170</v>
      </c>
      <c r="C72" s="15">
        <v>20321490</v>
      </c>
      <c r="D72" s="15">
        <v>21160458</v>
      </c>
      <c r="E72" s="4">
        <v>4.13</v>
      </c>
      <c r="F72" s="15">
        <v>3224374</v>
      </c>
      <c r="G72" s="15">
        <v>3335473</v>
      </c>
      <c r="H72" s="15"/>
      <c r="I72" s="15"/>
      <c r="J72" s="15"/>
      <c r="K72" s="15"/>
      <c r="L72" s="15"/>
      <c r="M72" s="15"/>
      <c r="N72" s="15">
        <v>3224374</v>
      </c>
      <c r="O72" s="15">
        <v>3335473</v>
      </c>
      <c r="P72" s="4">
        <v>3.45</v>
      </c>
      <c r="Q72" s="15">
        <v>0</v>
      </c>
      <c r="R72" s="15">
        <v>0</v>
      </c>
      <c r="S72" s="15">
        <v>3120134</v>
      </c>
      <c r="T72" s="15">
        <v>3335473</v>
      </c>
      <c r="U72" s="15">
        <v>3224374</v>
      </c>
      <c r="V72" s="15">
        <v>3335473</v>
      </c>
      <c r="W72" s="15">
        <v>-104240</v>
      </c>
      <c r="X72" s="15">
        <v>0</v>
      </c>
      <c r="Y72" s="4">
        <v>772</v>
      </c>
      <c r="Z72" s="4">
        <v>780</v>
      </c>
      <c r="AA72" s="4">
        <v>1.04</v>
      </c>
      <c r="AB72" s="15">
        <v>1034159</v>
      </c>
      <c r="AC72" s="15">
        <v>2087288</v>
      </c>
      <c r="AD72" s="15">
        <v>1266869</v>
      </c>
      <c r="AE72" s="15">
        <v>1317850</v>
      </c>
      <c r="AF72" s="15">
        <v>2615645</v>
      </c>
      <c r="AG72" s="15">
        <v>2133398</v>
      </c>
      <c r="AH72" s="4">
        <v>12.87</v>
      </c>
      <c r="AI72" s="6">
        <v>10.08</v>
      </c>
    </row>
    <row r="73" spans="1:35" x14ac:dyDescent="0.25">
      <c r="A73" s="5" t="str">
        <f>"520101"</f>
        <v>520101</v>
      </c>
      <c r="B73" s="3" t="s">
        <v>455</v>
      </c>
      <c r="C73" s="15">
        <v>72549692</v>
      </c>
      <c r="D73" s="15">
        <v>76634726</v>
      </c>
      <c r="E73" s="4">
        <v>5.63</v>
      </c>
      <c r="F73" s="15">
        <v>43338144</v>
      </c>
      <c r="G73" s="15">
        <v>44421597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43338144</v>
      </c>
      <c r="O73" s="15">
        <v>44421597</v>
      </c>
      <c r="P73" s="4">
        <v>2.5</v>
      </c>
      <c r="Q73" s="15">
        <v>1865900</v>
      </c>
      <c r="R73" s="15">
        <v>1974202</v>
      </c>
      <c r="S73" s="15">
        <v>41503698</v>
      </c>
      <c r="T73" s="15">
        <v>42662440</v>
      </c>
      <c r="U73" s="15">
        <v>41472244</v>
      </c>
      <c r="V73" s="15">
        <v>42447395</v>
      </c>
      <c r="W73" s="15">
        <v>31454</v>
      </c>
      <c r="X73" s="15">
        <v>215045</v>
      </c>
      <c r="Y73" s="4">
        <v>3110</v>
      </c>
      <c r="Z73" s="4">
        <v>3100</v>
      </c>
      <c r="AA73" s="4">
        <v>-0.32</v>
      </c>
      <c r="AB73" s="15">
        <v>6893687</v>
      </c>
      <c r="AC73" s="15">
        <v>6572860</v>
      </c>
      <c r="AD73" s="15">
        <v>2750000</v>
      </c>
      <c r="AE73" s="15">
        <v>2500000</v>
      </c>
      <c r="AF73" s="15">
        <v>2898984</v>
      </c>
      <c r="AG73" s="15">
        <v>3065389</v>
      </c>
      <c r="AH73" s="4">
        <v>4</v>
      </c>
      <c r="AI73" s="6">
        <v>4</v>
      </c>
    </row>
    <row r="74" spans="1:35" x14ac:dyDescent="0.25">
      <c r="A74" s="5" t="str">
        <f>"661201"</f>
        <v>661201</v>
      </c>
      <c r="B74" s="3" t="s">
        <v>649</v>
      </c>
      <c r="C74" s="15">
        <v>95243544</v>
      </c>
      <c r="D74" s="15">
        <v>96939312</v>
      </c>
      <c r="E74" s="4">
        <v>1.78</v>
      </c>
      <c r="F74" s="15">
        <v>84490094</v>
      </c>
      <c r="G74" s="15">
        <v>86044712</v>
      </c>
      <c r="H74" s="15"/>
      <c r="I74" s="15"/>
      <c r="J74" s="15"/>
      <c r="K74" s="15"/>
      <c r="L74" s="15"/>
      <c r="M74" s="15"/>
      <c r="N74" s="15">
        <v>84490094</v>
      </c>
      <c r="O74" s="15">
        <v>86044712</v>
      </c>
      <c r="P74" s="4">
        <v>1.84</v>
      </c>
      <c r="Q74" s="15">
        <v>4350530</v>
      </c>
      <c r="R74" s="15">
        <v>4297474</v>
      </c>
      <c r="S74" s="15">
        <v>81450770</v>
      </c>
      <c r="T74" s="15">
        <v>82307603</v>
      </c>
      <c r="U74" s="15">
        <v>80139564</v>
      </c>
      <c r="V74" s="15">
        <v>81747238</v>
      </c>
      <c r="W74" s="15">
        <v>1311206</v>
      </c>
      <c r="X74" s="15">
        <v>560365</v>
      </c>
      <c r="Y74" s="4">
        <v>2256</v>
      </c>
      <c r="Z74" s="4">
        <v>2333</v>
      </c>
      <c r="AA74" s="4">
        <v>3.41</v>
      </c>
      <c r="AB74" s="15">
        <v>20909358</v>
      </c>
      <c r="AC74" s="15">
        <v>18578689</v>
      </c>
      <c r="AD74" s="15">
        <v>2948679</v>
      </c>
      <c r="AE74" s="15">
        <v>3209865</v>
      </c>
      <c r="AF74" s="15">
        <v>3800217</v>
      </c>
      <c r="AG74" s="15">
        <v>3867879</v>
      </c>
      <c r="AH74" s="4">
        <v>3.99</v>
      </c>
      <c r="AI74" s="6">
        <v>3.99</v>
      </c>
    </row>
    <row r="75" spans="1:35" x14ac:dyDescent="0.25">
      <c r="A75" s="5" t="str">
        <f>"180701"</f>
        <v>180701</v>
      </c>
      <c r="B75" s="3" t="s">
        <v>180</v>
      </c>
      <c r="C75" s="15">
        <v>24991065</v>
      </c>
      <c r="D75" s="15">
        <v>25524093</v>
      </c>
      <c r="E75" s="4">
        <v>2.13</v>
      </c>
      <c r="F75" s="15">
        <v>9024961</v>
      </c>
      <c r="G75" s="15">
        <v>9183231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9024961</v>
      </c>
      <c r="O75" s="15">
        <v>9183231</v>
      </c>
      <c r="P75" s="4">
        <v>1.75</v>
      </c>
      <c r="Q75" s="15">
        <v>189703</v>
      </c>
      <c r="R75" s="15">
        <v>210512</v>
      </c>
      <c r="S75" s="15">
        <v>8886165</v>
      </c>
      <c r="T75" s="15">
        <v>8972719</v>
      </c>
      <c r="U75" s="15">
        <v>8835258</v>
      </c>
      <c r="V75" s="15">
        <v>8972719</v>
      </c>
      <c r="W75" s="15">
        <v>50907</v>
      </c>
      <c r="X75" s="15">
        <v>0</v>
      </c>
      <c r="Y75" s="4">
        <v>927</v>
      </c>
      <c r="Z75" s="4">
        <v>929</v>
      </c>
      <c r="AA75" s="4">
        <v>0.22</v>
      </c>
      <c r="AB75" s="15">
        <v>4809811</v>
      </c>
      <c r="AC75" s="15">
        <v>6310896</v>
      </c>
      <c r="AD75" s="15">
        <v>875000</v>
      </c>
      <c r="AE75" s="15">
        <v>875000</v>
      </c>
      <c r="AF75" s="15">
        <v>2586373</v>
      </c>
      <c r="AG75" s="15">
        <v>1048277</v>
      </c>
      <c r="AH75" s="4">
        <v>10.35</v>
      </c>
      <c r="AI75" s="6">
        <v>4.1100000000000003</v>
      </c>
    </row>
    <row r="76" spans="1:35" x14ac:dyDescent="0.25">
      <c r="A76" s="5" t="str">
        <f>"190301"</f>
        <v>190301</v>
      </c>
      <c r="B76" s="3" t="s">
        <v>186</v>
      </c>
      <c r="C76" s="15">
        <v>33212222</v>
      </c>
      <c r="D76" s="15">
        <v>35174903</v>
      </c>
      <c r="E76" s="4">
        <v>5.91</v>
      </c>
      <c r="F76" s="15">
        <v>15232554</v>
      </c>
      <c r="G76" s="15">
        <v>15674299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15232554</v>
      </c>
      <c r="O76" s="15">
        <v>15674299</v>
      </c>
      <c r="P76" s="4">
        <v>2.9</v>
      </c>
      <c r="Q76" s="15">
        <v>727080</v>
      </c>
      <c r="R76" s="15">
        <v>769993</v>
      </c>
      <c r="S76" s="15">
        <v>14505474</v>
      </c>
      <c r="T76" s="15">
        <v>15115650</v>
      </c>
      <c r="U76" s="15">
        <v>14505474</v>
      </c>
      <c r="V76" s="15">
        <v>14904306</v>
      </c>
      <c r="W76" s="15">
        <v>0</v>
      </c>
      <c r="X76" s="15">
        <v>211344</v>
      </c>
      <c r="Y76" s="4">
        <v>1127</v>
      </c>
      <c r="Z76" s="4">
        <v>1062</v>
      </c>
      <c r="AA76" s="4">
        <v>-5.77</v>
      </c>
      <c r="AB76" s="15">
        <v>4860563</v>
      </c>
      <c r="AC76" s="15">
        <v>4860563</v>
      </c>
      <c r="AD76" s="15">
        <v>3776162</v>
      </c>
      <c r="AE76" s="15">
        <v>1805000</v>
      </c>
      <c r="AF76" s="15">
        <v>1958631</v>
      </c>
      <c r="AG76" s="15">
        <v>1406996</v>
      </c>
      <c r="AH76" s="4">
        <v>5.9</v>
      </c>
      <c r="AI76" s="6">
        <v>4</v>
      </c>
    </row>
    <row r="77" spans="1:35" x14ac:dyDescent="0.25">
      <c r="A77" s="5" t="str">
        <f>"240201"</f>
        <v>240201</v>
      </c>
      <c r="B77" s="3" t="s">
        <v>225</v>
      </c>
      <c r="C77" s="15">
        <v>19019383</v>
      </c>
      <c r="D77" s="15">
        <v>19449205</v>
      </c>
      <c r="E77" s="4">
        <v>2.2599999999999998</v>
      </c>
      <c r="F77" s="15">
        <v>7427200</v>
      </c>
      <c r="G77" s="15">
        <v>7575001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7427200</v>
      </c>
      <c r="O77" s="15">
        <v>7575001</v>
      </c>
      <c r="P77" s="4">
        <v>1.99</v>
      </c>
      <c r="Q77" s="15">
        <v>113320</v>
      </c>
      <c r="R77" s="15">
        <v>113662</v>
      </c>
      <c r="S77" s="15">
        <v>7366917</v>
      </c>
      <c r="T77" s="15">
        <v>7467160</v>
      </c>
      <c r="U77" s="15">
        <v>7313880</v>
      </c>
      <c r="V77" s="15">
        <v>7461339</v>
      </c>
      <c r="W77" s="15">
        <v>53037</v>
      </c>
      <c r="X77" s="15">
        <v>5821</v>
      </c>
      <c r="Y77" s="4">
        <v>796</v>
      </c>
      <c r="Z77" s="4">
        <v>790</v>
      </c>
      <c r="AA77" s="4">
        <v>-0.75</v>
      </c>
      <c r="AB77" s="15">
        <v>3717651</v>
      </c>
      <c r="AC77" s="15">
        <v>4500000</v>
      </c>
      <c r="AD77" s="15">
        <v>365000</v>
      </c>
      <c r="AE77" s="15">
        <v>365000</v>
      </c>
      <c r="AF77" s="15">
        <v>760775</v>
      </c>
      <c r="AG77" s="15">
        <v>775900</v>
      </c>
      <c r="AH77" s="4">
        <v>4</v>
      </c>
      <c r="AI77" s="6">
        <v>3.99</v>
      </c>
    </row>
    <row r="78" spans="1:35" x14ac:dyDescent="0.25">
      <c r="A78" s="5" t="str">
        <f>"641610"</f>
        <v>641610</v>
      </c>
      <c r="B78" s="3" t="s">
        <v>612</v>
      </c>
      <c r="C78" s="15">
        <v>23047962</v>
      </c>
      <c r="D78" s="15">
        <v>23923743</v>
      </c>
      <c r="E78" s="4">
        <v>3.8</v>
      </c>
      <c r="F78" s="15">
        <v>9236000</v>
      </c>
      <c r="G78" s="15">
        <v>9419500</v>
      </c>
      <c r="H78" s="15"/>
      <c r="I78" s="15"/>
      <c r="J78" s="15"/>
      <c r="K78" s="15"/>
      <c r="L78" s="15"/>
      <c r="M78" s="15"/>
      <c r="N78" s="15">
        <v>9236000</v>
      </c>
      <c r="O78" s="15">
        <v>9419500</v>
      </c>
      <c r="P78" s="4">
        <v>1.99</v>
      </c>
      <c r="Q78" s="15">
        <v>761505</v>
      </c>
      <c r="R78" s="15">
        <v>759197</v>
      </c>
      <c r="S78" s="15">
        <v>8475363</v>
      </c>
      <c r="T78" s="15">
        <v>8669360</v>
      </c>
      <c r="U78" s="15">
        <v>8474495</v>
      </c>
      <c r="V78" s="15">
        <v>8660303</v>
      </c>
      <c r="W78" s="15">
        <v>868</v>
      </c>
      <c r="X78" s="15">
        <v>9057</v>
      </c>
      <c r="Y78" s="4">
        <v>818</v>
      </c>
      <c r="Z78" s="4">
        <v>787</v>
      </c>
      <c r="AA78" s="4">
        <v>-3.79</v>
      </c>
      <c r="AB78" s="15">
        <v>1476888</v>
      </c>
      <c r="AC78" s="15">
        <v>1976888</v>
      </c>
      <c r="AD78" s="15">
        <v>895954</v>
      </c>
      <c r="AE78" s="15">
        <v>800000</v>
      </c>
      <c r="AF78" s="15">
        <v>1605336</v>
      </c>
      <c r="AG78" s="15">
        <v>1100000</v>
      </c>
      <c r="AH78" s="4">
        <v>6.97</v>
      </c>
      <c r="AI78" s="6">
        <v>4.5999999999999996</v>
      </c>
    </row>
    <row r="79" spans="1:35" x14ac:dyDescent="0.25">
      <c r="A79" s="5" t="str">
        <f>"410601"</f>
        <v>410601</v>
      </c>
      <c r="B79" s="3" t="s">
        <v>328</v>
      </c>
      <c r="C79" s="15">
        <v>53590578</v>
      </c>
      <c r="D79" s="15">
        <v>53720581</v>
      </c>
      <c r="E79" s="4">
        <v>0.24</v>
      </c>
      <c r="F79" s="15">
        <v>11650322</v>
      </c>
      <c r="G79" s="15">
        <v>12175025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11650322</v>
      </c>
      <c r="O79" s="15">
        <v>12175025</v>
      </c>
      <c r="P79" s="4">
        <v>4.5</v>
      </c>
      <c r="Q79" s="15">
        <v>554162</v>
      </c>
      <c r="R79" s="15">
        <v>1034241</v>
      </c>
      <c r="S79" s="15">
        <v>11096160</v>
      </c>
      <c r="T79" s="15">
        <v>11400078</v>
      </c>
      <c r="U79" s="15">
        <v>11096160</v>
      </c>
      <c r="V79" s="15">
        <v>11140784</v>
      </c>
      <c r="W79" s="15">
        <v>0</v>
      </c>
      <c r="X79" s="15">
        <v>259294</v>
      </c>
      <c r="Y79" s="4">
        <v>2083</v>
      </c>
      <c r="Z79" s="4">
        <v>2058</v>
      </c>
      <c r="AA79" s="4">
        <v>-1.2</v>
      </c>
      <c r="AB79" s="15">
        <v>9313036</v>
      </c>
      <c r="AC79" s="15">
        <v>10225000</v>
      </c>
      <c r="AD79" s="15">
        <v>1941291</v>
      </c>
      <c r="AE79" s="15">
        <v>0</v>
      </c>
      <c r="AF79" s="15">
        <v>2187001</v>
      </c>
      <c r="AG79" s="15">
        <v>2148823</v>
      </c>
      <c r="AH79" s="4">
        <v>4.08</v>
      </c>
      <c r="AI79" s="6">
        <v>4</v>
      </c>
    </row>
    <row r="80" spans="1:35" x14ac:dyDescent="0.25">
      <c r="A80" s="5" t="str">
        <f>"570603"</f>
        <v>570603</v>
      </c>
      <c r="B80" s="3" t="s">
        <v>489</v>
      </c>
      <c r="C80" s="15">
        <v>22562647</v>
      </c>
      <c r="D80" s="15">
        <v>23295717</v>
      </c>
      <c r="E80" s="4">
        <v>3.25</v>
      </c>
      <c r="F80" s="15">
        <v>5059237</v>
      </c>
      <c r="G80" s="15">
        <v>5059237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5059237</v>
      </c>
      <c r="O80" s="15">
        <v>5059237</v>
      </c>
      <c r="P80" s="4">
        <v>0</v>
      </c>
      <c r="Q80" s="15">
        <v>5059237</v>
      </c>
      <c r="R80" s="15">
        <v>5059237</v>
      </c>
      <c r="S80" s="15">
        <v>5130080</v>
      </c>
      <c r="T80" s="15">
        <v>5153682</v>
      </c>
      <c r="U80" s="15">
        <v>0</v>
      </c>
      <c r="V80" s="15">
        <v>0</v>
      </c>
      <c r="W80" s="15">
        <v>5130080</v>
      </c>
      <c r="X80" s="15">
        <v>5153682</v>
      </c>
      <c r="Y80" s="4">
        <v>830</v>
      </c>
      <c r="Z80" s="4">
        <v>806</v>
      </c>
      <c r="AA80" s="4">
        <v>-2.89</v>
      </c>
      <c r="AB80" s="15">
        <v>3970489</v>
      </c>
      <c r="AC80" s="15">
        <v>4392204</v>
      </c>
      <c r="AD80" s="15">
        <v>59667</v>
      </c>
      <c r="AE80" s="15">
        <v>196653</v>
      </c>
      <c r="AF80" s="15">
        <v>1353544</v>
      </c>
      <c r="AG80" s="15">
        <v>931829</v>
      </c>
      <c r="AH80" s="4">
        <v>6</v>
      </c>
      <c r="AI80" s="6">
        <v>4</v>
      </c>
    </row>
    <row r="81" spans="1:35" x14ac:dyDescent="0.25">
      <c r="A81" s="5" t="str">
        <f>"270301"</f>
        <v>270301</v>
      </c>
      <c r="B81" s="3" t="s">
        <v>260</v>
      </c>
      <c r="C81" s="15">
        <v>23125725</v>
      </c>
      <c r="D81" s="15">
        <v>23341005</v>
      </c>
      <c r="E81" s="4">
        <v>0.93</v>
      </c>
      <c r="F81" s="15">
        <v>7554520</v>
      </c>
      <c r="G81" s="15">
        <v>7776623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7554520</v>
      </c>
      <c r="O81" s="15">
        <v>7776623</v>
      </c>
      <c r="P81" s="4">
        <v>2.94</v>
      </c>
      <c r="Q81" s="15">
        <v>0</v>
      </c>
      <c r="R81" s="15">
        <v>0</v>
      </c>
      <c r="S81" s="15">
        <v>8183531</v>
      </c>
      <c r="T81" s="15">
        <v>7777060</v>
      </c>
      <c r="U81" s="15">
        <v>7554520</v>
      </c>
      <c r="V81" s="15">
        <v>7776623</v>
      </c>
      <c r="W81" s="15">
        <v>629011</v>
      </c>
      <c r="X81" s="15">
        <v>437</v>
      </c>
      <c r="Y81" s="4">
        <v>933</v>
      </c>
      <c r="Z81" s="4">
        <v>904</v>
      </c>
      <c r="AA81" s="4">
        <v>-3.11</v>
      </c>
      <c r="AB81" s="15">
        <v>3725318</v>
      </c>
      <c r="AC81" s="15">
        <v>3888204</v>
      </c>
      <c r="AD81" s="15">
        <v>349005</v>
      </c>
      <c r="AE81" s="15">
        <v>250000</v>
      </c>
      <c r="AF81" s="15">
        <v>1906641</v>
      </c>
      <c r="AG81" s="15">
        <v>2000000</v>
      </c>
      <c r="AH81" s="4">
        <v>8.24</v>
      </c>
      <c r="AI81" s="6">
        <v>8.57</v>
      </c>
    </row>
    <row r="82" spans="1:35" x14ac:dyDescent="0.25">
      <c r="A82" s="5" t="str">
        <f>"430300"</f>
        <v>430300</v>
      </c>
      <c r="B82" s="3" t="s">
        <v>359</v>
      </c>
      <c r="C82" s="15">
        <v>79330078</v>
      </c>
      <c r="D82" s="15">
        <v>83248803</v>
      </c>
      <c r="E82" s="4">
        <v>4.9400000000000004</v>
      </c>
      <c r="F82" s="15">
        <v>48357766</v>
      </c>
      <c r="G82" s="15">
        <v>49900441</v>
      </c>
      <c r="H82" s="15"/>
      <c r="I82" s="15"/>
      <c r="J82" s="15"/>
      <c r="K82" s="15"/>
      <c r="L82" s="15"/>
      <c r="M82" s="15"/>
      <c r="N82" s="15">
        <v>48357766</v>
      </c>
      <c r="O82" s="15">
        <v>49900441</v>
      </c>
      <c r="P82" s="4">
        <v>3.19</v>
      </c>
      <c r="Q82" s="15">
        <v>1552273</v>
      </c>
      <c r="R82" s="15">
        <v>1543046</v>
      </c>
      <c r="S82" s="15">
        <v>46981606</v>
      </c>
      <c r="T82" s="15">
        <v>48357395</v>
      </c>
      <c r="U82" s="15">
        <v>46805493</v>
      </c>
      <c r="V82" s="15">
        <v>48357395</v>
      </c>
      <c r="W82" s="15">
        <v>176113</v>
      </c>
      <c r="X82" s="15">
        <v>0</v>
      </c>
      <c r="Y82" s="4">
        <v>3282</v>
      </c>
      <c r="Z82" s="4">
        <v>3301</v>
      </c>
      <c r="AA82" s="4">
        <v>0.57999999999999996</v>
      </c>
      <c r="AB82" s="15">
        <v>25895303</v>
      </c>
      <c r="AC82" s="15">
        <v>27581442</v>
      </c>
      <c r="AD82" s="15">
        <v>0</v>
      </c>
      <c r="AE82" s="15">
        <v>256119</v>
      </c>
      <c r="AF82" s="15">
        <v>3173203</v>
      </c>
      <c r="AG82" s="15">
        <v>3329952</v>
      </c>
      <c r="AH82" s="4">
        <v>4</v>
      </c>
      <c r="AI82" s="6">
        <v>4</v>
      </c>
    </row>
    <row r="83" spans="1:35" x14ac:dyDescent="0.25">
      <c r="A83" s="5" t="str">
        <f>"021102"</f>
        <v>021102</v>
      </c>
      <c r="B83" s="3" t="s">
        <v>16</v>
      </c>
      <c r="C83" s="15">
        <v>7554158</v>
      </c>
      <c r="D83" s="15">
        <v>7828150</v>
      </c>
      <c r="E83" s="4">
        <v>3.63</v>
      </c>
      <c r="F83" s="15">
        <v>2114757</v>
      </c>
      <c r="G83" s="15">
        <v>2157058</v>
      </c>
      <c r="H83" s="15">
        <v>36250</v>
      </c>
      <c r="I83" s="15">
        <v>37750</v>
      </c>
      <c r="J83" s="15">
        <v>0</v>
      </c>
      <c r="K83" s="15">
        <v>0</v>
      </c>
      <c r="L83" s="15">
        <v>0</v>
      </c>
      <c r="M83" s="15">
        <v>0</v>
      </c>
      <c r="N83" s="15">
        <v>2151007</v>
      </c>
      <c r="O83" s="15">
        <v>2194808</v>
      </c>
      <c r="P83" s="4">
        <v>2.04</v>
      </c>
      <c r="Q83" s="15">
        <v>0</v>
      </c>
      <c r="R83" s="15">
        <v>0</v>
      </c>
      <c r="S83" s="15">
        <v>2114757</v>
      </c>
      <c r="T83" s="15">
        <v>2184354</v>
      </c>
      <c r="U83" s="15">
        <v>2114757</v>
      </c>
      <c r="V83" s="15">
        <v>2157058</v>
      </c>
      <c r="W83" s="15">
        <v>0</v>
      </c>
      <c r="X83" s="15">
        <v>27296</v>
      </c>
      <c r="Y83" s="4">
        <v>225</v>
      </c>
      <c r="Z83" s="4">
        <v>225</v>
      </c>
      <c r="AA83" s="4">
        <v>0</v>
      </c>
      <c r="AB83" s="15">
        <v>4814747</v>
      </c>
      <c r="AC83" s="15">
        <v>5009825</v>
      </c>
      <c r="AD83" s="15">
        <v>459000</v>
      </c>
      <c r="AE83" s="15">
        <v>449000</v>
      </c>
      <c r="AF83" s="15">
        <v>755400</v>
      </c>
      <c r="AG83" s="15">
        <v>700000</v>
      </c>
      <c r="AH83" s="4">
        <v>10</v>
      </c>
      <c r="AI83" s="6">
        <v>8.94</v>
      </c>
    </row>
    <row r="84" spans="1:35" x14ac:dyDescent="0.25">
      <c r="A84" s="5" t="str">
        <f>"250901"</f>
        <v>250901</v>
      </c>
      <c r="B84" s="3" t="s">
        <v>237</v>
      </c>
      <c r="C84" s="15">
        <v>32812350</v>
      </c>
      <c r="D84" s="15">
        <v>35311605</v>
      </c>
      <c r="E84" s="4">
        <v>7.62</v>
      </c>
      <c r="F84" s="15">
        <v>12912527</v>
      </c>
      <c r="G84" s="15">
        <v>13136841</v>
      </c>
      <c r="H84" s="15"/>
      <c r="I84" s="15"/>
      <c r="J84" s="15"/>
      <c r="K84" s="15"/>
      <c r="L84" s="15"/>
      <c r="M84" s="15"/>
      <c r="N84" s="15">
        <v>12912527</v>
      </c>
      <c r="O84" s="15">
        <v>13136841</v>
      </c>
      <c r="P84" s="4">
        <v>1.74</v>
      </c>
      <c r="Q84" s="15">
        <v>490361</v>
      </c>
      <c r="R84" s="15">
        <v>508706</v>
      </c>
      <c r="S84" s="15">
        <v>12422166</v>
      </c>
      <c r="T84" s="15">
        <v>12628136</v>
      </c>
      <c r="U84" s="15">
        <v>12422166</v>
      </c>
      <c r="V84" s="15">
        <v>12628135</v>
      </c>
      <c r="W84" s="15">
        <v>0</v>
      </c>
      <c r="X84" s="15">
        <v>1</v>
      </c>
      <c r="Y84" s="4">
        <v>1305</v>
      </c>
      <c r="Z84" s="4">
        <v>1325</v>
      </c>
      <c r="AA84" s="4">
        <v>1.53</v>
      </c>
      <c r="AB84" s="15">
        <v>8014171</v>
      </c>
      <c r="AC84" s="15">
        <v>7648673</v>
      </c>
      <c r="AD84" s="15">
        <v>2136543</v>
      </c>
      <c r="AE84" s="15">
        <v>1548186</v>
      </c>
      <c r="AF84" s="15">
        <v>1894100</v>
      </c>
      <c r="AG84" s="15">
        <v>1412000</v>
      </c>
      <c r="AH84" s="4">
        <v>5.77</v>
      </c>
      <c r="AI84" s="6">
        <v>4</v>
      </c>
    </row>
    <row r="85" spans="1:35" x14ac:dyDescent="0.25">
      <c r="A85" s="5" t="str">
        <f>"600301"</f>
        <v>600301</v>
      </c>
      <c r="B85" s="3" t="s">
        <v>574</v>
      </c>
      <c r="C85" s="15">
        <v>19001466</v>
      </c>
      <c r="D85" s="15">
        <v>19888840</v>
      </c>
      <c r="E85" s="4">
        <v>4.67</v>
      </c>
      <c r="F85" s="15">
        <v>5963489</v>
      </c>
      <c r="G85" s="15">
        <v>5963489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5963489</v>
      </c>
      <c r="O85" s="15">
        <v>5963489</v>
      </c>
      <c r="P85" s="4">
        <v>0</v>
      </c>
      <c r="Q85" s="15">
        <v>42521</v>
      </c>
      <c r="R85" s="15">
        <v>0</v>
      </c>
      <c r="S85" s="15">
        <v>5942201</v>
      </c>
      <c r="T85" s="15">
        <v>6088049</v>
      </c>
      <c r="U85" s="15">
        <v>5920968</v>
      </c>
      <c r="V85" s="15">
        <v>5963489</v>
      </c>
      <c r="W85" s="15">
        <v>21233</v>
      </c>
      <c r="X85" s="15">
        <v>124560</v>
      </c>
      <c r="Y85" s="4">
        <v>718</v>
      </c>
      <c r="Z85" s="4">
        <v>725</v>
      </c>
      <c r="AA85" s="4">
        <v>0.97</v>
      </c>
      <c r="AB85" s="15">
        <v>2690148</v>
      </c>
      <c r="AC85" s="15">
        <v>2611935</v>
      </c>
      <c r="AD85" s="15">
        <v>125000</v>
      </c>
      <c r="AE85" s="15">
        <v>100000</v>
      </c>
      <c r="AF85" s="15">
        <v>880300</v>
      </c>
      <c r="AG85" s="15">
        <v>795554</v>
      </c>
      <c r="AH85" s="4">
        <v>4.63</v>
      </c>
      <c r="AI85" s="6">
        <v>4</v>
      </c>
    </row>
    <row r="86" spans="1:35" x14ac:dyDescent="0.25">
      <c r="A86" s="5" t="str">
        <f>"571502"</f>
        <v>571502</v>
      </c>
      <c r="B86" s="3" t="s">
        <v>491</v>
      </c>
      <c r="C86" s="15">
        <v>26221876</v>
      </c>
      <c r="D86" s="15">
        <v>27064180</v>
      </c>
      <c r="E86" s="4">
        <v>3.21</v>
      </c>
      <c r="F86" s="15">
        <v>5507529</v>
      </c>
      <c r="G86" s="15">
        <v>5507529</v>
      </c>
      <c r="H86" s="15"/>
      <c r="I86" s="15"/>
      <c r="J86" s="15"/>
      <c r="K86" s="15"/>
      <c r="L86" s="15">
        <v>0</v>
      </c>
      <c r="M86" s="15">
        <v>0</v>
      </c>
      <c r="N86" s="15">
        <v>5507529</v>
      </c>
      <c r="O86" s="15">
        <v>5507529</v>
      </c>
      <c r="P86" s="4">
        <v>0</v>
      </c>
      <c r="Q86" s="15">
        <v>0</v>
      </c>
      <c r="R86" s="15">
        <v>0</v>
      </c>
      <c r="S86" s="15">
        <v>5649269</v>
      </c>
      <c r="T86" s="15">
        <v>5652029</v>
      </c>
      <c r="U86" s="15">
        <v>5507529</v>
      </c>
      <c r="V86" s="15">
        <v>5507529</v>
      </c>
      <c r="W86" s="15">
        <v>141740</v>
      </c>
      <c r="X86" s="15">
        <v>144500</v>
      </c>
      <c r="Y86" s="4">
        <v>1020</v>
      </c>
      <c r="Z86" s="4">
        <v>1018</v>
      </c>
      <c r="AA86" s="4">
        <v>-0.2</v>
      </c>
      <c r="AB86" s="15">
        <v>6480814</v>
      </c>
      <c r="AC86" s="15">
        <v>8415143</v>
      </c>
      <c r="AD86" s="15">
        <v>700301</v>
      </c>
      <c r="AE86" s="15">
        <v>600301</v>
      </c>
      <c r="AF86" s="15">
        <v>2527216</v>
      </c>
      <c r="AG86" s="15">
        <v>2527216</v>
      </c>
      <c r="AH86" s="4">
        <v>9.64</v>
      </c>
      <c r="AI86" s="6">
        <v>9.34</v>
      </c>
    </row>
    <row r="87" spans="1:35" x14ac:dyDescent="0.25">
      <c r="A87" s="5" t="str">
        <f>"510201"</f>
        <v>510201</v>
      </c>
      <c r="B87" s="3" t="s">
        <v>439</v>
      </c>
      <c r="C87" s="15">
        <v>33107411</v>
      </c>
      <c r="D87" s="15">
        <v>34805724</v>
      </c>
      <c r="E87" s="4">
        <v>5.13</v>
      </c>
      <c r="F87" s="15">
        <v>10449000</v>
      </c>
      <c r="G87" s="15">
        <v>10758792</v>
      </c>
      <c r="H87" s="15"/>
      <c r="I87" s="15"/>
      <c r="J87" s="15"/>
      <c r="K87" s="15"/>
      <c r="L87" s="15"/>
      <c r="M87" s="15"/>
      <c r="N87" s="15">
        <v>10449000</v>
      </c>
      <c r="O87" s="15">
        <v>10758792</v>
      </c>
      <c r="P87" s="4">
        <v>2.96</v>
      </c>
      <c r="Q87" s="15">
        <v>405511</v>
      </c>
      <c r="R87" s="15">
        <v>433862</v>
      </c>
      <c r="S87" s="15">
        <v>10104822</v>
      </c>
      <c r="T87" s="15">
        <v>10324930</v>
      </c>
      <c r="U87" s="15">
        <v>10043489</v>
      </c>
      <c r="V87" s="15">
        <v>10324930</v>
      </c>
      <c r="W87" s="15">
        <v>61333</v>
      </c>
      <c r="X87" s="15">
        <v>0</v>
      </c>
      <c r="Y87" s="4">
        <v>1187</v>
      </c>
      <c r="Z87" s="4">
        <v>1176</v>
      </c>
      <c r="AA87" s="4">
        <v>-0.93</v>
      </c>
      <c r="AB87" s="15">
        <v>2913286</v>
      </c>
      <c r="AC87" s="15">
        <v>3204161</v>
      </c>
      <c r="AD87" s="15">
        <v>2463060</v>
      </c>
      <c r="AE87" s="15">
        <v>3348233</v>
      </c>
      <c r="AF87" s="15">
        <v>3023961</v>
      </c>
      <c r="AG87" s="15">
        <v>1392229</v>
      </c>
      <c r="AH87" s="4">
        <v>9.1300000000000008</v>
      </c>
      <c r="AI87" s="6">
        <v>4</v>
      </c>
    </row>
    <row r="88" spans="1:35" x14ac:dyDescent="0.25">
      <c r="A88" s="5" t="str">
        <f>"280411"</f>
        <v>280411</v>
      </c>
      <c r="B88" s="3" t="s">
        <v>305</v>
      </c>
      <c r="C88" s="15">
        <v>51594676</v>
      </c>
      <c r="D88" s="15">
        <v>53137357</v>
      </c>
      <c r="E88" s="4">
        <v>2.99</v>
      </c>
      <c r="F88" s="15">
        <v>44578542</v>
      </c>
      <c r="G88" s="15">
        <v>44856506</v>
      </c>
      <c r="H88" s="15"/>
      <c r="I88" s="15"/>
      <c r="J88" s="15"/>
      <c r="K88" s="15"/>
      <c r="L88" s="15"/>
      <c r="M88" s="15"/>
      <c r="N88" s="15">
        <v>44578542</v>
      </c>
      <c r="O88" s="15">
        <v>44856506</v>
      </c>
      <c r="P88" s="4">
        <v>0.62</v>
      </c>
      <c r="Q88" s="15">
        <v>574601</v>
      </c>
      <c r="R88" s="15">
        <v>575452</v>
      </c>
      <c r="S88" s="15">
        <v>44003941</v>
      </c>
      <c r="T88" s="15">
        <v>44281054</v>
      </c>
      <c r="U88" s="15">
        <v>44003941</v>
      </c>
      <c r="V88" s="15">
        <v>44281054</v>
      </c>
      <c r="W88" s="15">
        <v>0</v>
      </c>
      <c r="X88" s="15">
        <v>0</v>
      </c>
      <c r="Y88" s="4">
        <v>1326</v>
      </c>
      <c r="Z88" s="4">
        <v>1339</v>
      </c>
      <c r="AA88" s="4">
        <v>0.98</v>
      </c>
      <c r="AB88" s="15">
        <v>12740639</v>
      </c>
      <c r="AC88" s="15">
        <v>11200433</v>
      </c>
      <c r="AD88" s="15">
        <v>50000</v>
      </c>
      <c r="AE88" s="15">
        <v>51503</v>
      </c>
      <c r="AF88" s="15">
        <v>2063788</v>
      </c>
      <c r="AG88" s="15">
        <v>2125494</v>
      </c>
      <c r="AH88" s="4">
        <v>4</v>
      </c>
      <c r="AI88" s="6">
        <v>4</v>
      </c>
    </row>
    <row r="89" spans="1:35" x14ac:dyDescent="0.25">
      <c r="A89" s="5" t="str">
        <f>"480102"</f>
        <v>480102</v>
      </c>
      <c r="B89" s="3" t="s">
        <v>412</v>
      </c>
      <c r="C89" s="15">
        <v>131916386</v>
      </c>
      <c r="D89" s="15">
        <v>134774187</v>
      </c>
      <c r="E89" s="4">
        <v>2.17</v>
      </c>
      <c r="F89" s="15">
        <v>98594386</v>
      </c>
      <c r="G89" s="15">
        <v>99550752</v>
      </c>
      <c r="H89" s="15"/>
      <c r="I89" s="15"/>
      <c r="J89" s="15"/>
      <c r="K89" s="15"/>
      <c r="L89" s="15"/>
      <c r="M89" s="15"/>
      <c r="N89" s="15">
        <v>98594386</v>
      </c>
      <c r="O89" s="15">
        <v>99550752</v>
      </c>
      <c r="P89" s="4">
        <v>0.97</v>
      </c>
      <c r="Q89" s="15">
        <v>1702822</v>
      </c>
      <c r="R89" s="15">
        <v>2604373</v>
      </c>
      <c r="S89" s="15">
        <v>97905363</v>
      </c>
      <c r="T89" s="15">
        <v>99513104</v>
      </c>
      <c r="U89" s="15">
        <v>96891564</v>
      </c>
      <c r="V89" s="15">
        <v>96946379</v>
      </c>
      <c r="W89" s="15">
        <v>1013799</v>
      </c>
      <c r="X89" s="15">
        <v>2566725</v>
      </c>
      <c r="Y89" s="4">
        <v>3797</v>
      </c>
      <c r="Z89" s="4">
        <v>3720</v>
      </c>
      <c r="AA89" s="4">
        <v>-2.0299999999999998</v>
      </c>
      <c r="AB89" s="15">
        <v>8785289</v>
      </c>
      <c r="AC89" s="15">
        <v>10400000</v>
      </c>
      <c r="AD89" s="15">
        <v>2200000</v>
      </c>
      <c r="AE89" s="15">
        <v>1100000</v>
      </c>
      <c r="AF89" s="15">
        <v>5276655</v>
      </c>
      <c r="AG89" s="15">
        <v>5390968</v>
      </c>
      <c r="AH89" s="4">
        <v>4</v>
      </c>
      <c r="AI89" s="6">
        <v>4</v>
      </c>
    </row>
    <row r="90" spans="1:35" x14ac:dyDescent="0.25">
      <c r="A90" s="5" t="str">
        <f>"222201"</f>
        <v>222201</v>
      </c>
      <c r="B90" s="3" t="s">
        <v>218</v>
      </c>
      <c r="C90" s="15">
        <v>65752853</v>
      </c>
      <c r="D90" s="15">
        <v>67082204</v>
      </c>
      <c r="E90" s="4">
        <v>2.02</v>
      </c>
      <c r="F90" s="15">
        <v>6591154</v>
      </c>
      <c r="G90" s="15">
        <v>6591154</v>
      </c>
      <c r="H90" s="15"/>
      <c r="I90" s="15"/>
      <c r="J90" s="15"/>
      <c r="K90" s="15"/>
      <c r="L90" s="15"/>
      <c r="M90" s="15"/>
      <c r="N90" s="15">
        <v>6591154</v>
      </c>
      <c r="O90" s="15">
        <v>6591154</v>
      </c>
      <c r="P90" s="4">
        <v>0</v>
      </c>
      <c r="Q90" s="15">
        <v>760434</v>
      </c>
      <c r="R90" s="15">
        <v>638049</v>
      </c>
      <c r="S90" s="15">
        <v>5830720</v>
      </c>
      <c r="T90" s="15">
        <v>5966097</v>
      </c>
      <c r="U90" s="15">
        <v>5830720</v>
      </c>
      <c r="V90" s="15">
        <v>5953105</v>
      </c>
      <c r="W90" s="15">
        <v>0</v>
      </c>
      <c r="X90" s="15">
        <v>12992</v>
      </c>
      <c r="Y90" s="4">
        <v>2910</v>
      </c>
      <c r="Z90" s="4">
        <v>3000</v>
      </c>
      <c r="AA90" s="4">
        <v>3.09</v>
      </c>
      <c r="AB90" s="15">
        <v>8808092</v>
      </c>
      <c r="AC90" s="15">
        <v>11903000</v>
      </c>
      <c r="AD90" s="15">
        <v>6245405</v>
      </c>
      <c r="AE90" s="15">
        <v>6600000</v>
      </c>
      <c r="AF90" s="15">
        <v>29252594</v>
      </c>
      <c r="AG90" s="15">
        <v>25647000</v>
      </c>
      <c r="AH90" s="4">
        <v>44.49</v>
      </c>
      <c r="AI90" s="6">
        <v>38.229999999999997</v>
      </c>
    </row>
    <row r="91" spans="1:35" x14ac:dyDescent="0.25">
      <c r="A91" s="5" t="str">
        <f>"060401"</f>
        <v>060401</v>
      </c>
      <c r="B91" s="3" t="s">
        <v>57</v>
      </c>
      <c r="C91" s="15">
        <v>24713411</v>
      </c>
      <c r="D91" s="15">
        <v>24903368</v>
      </c>
      <c r="E91" s="4">
        <v>0.77</v>
      </c>
      <c r="F91" s="15">
        <v>5456713</v>
      </c>
      <c r="G91" s="15">
        <v>5632667</v>
      </c>
      <c r="H91" s="15">
        <v>0</v>
      </c>
      <c r="I91" s="15"/>
      <c r="J91" s="15">
        <v>0</v>
      </c>
      <c r="K91" s="15"/>
      <c r="L91" s="15">
        <v>0</v>
      </c>
      <c r="M91" s="15"/>
      <c r="N91" s="15">
        <v>5456713</v>
      </c>
      <c r="O91" s="15">
        <v>5632667</v>
      </c>
      <c r="P91" s="4">
        <v>3.22</v>
      </c>
      <c r="Q91" s="15">
        <v>52411</v>
      </c>
      <c r="R91" s="15">
        <v>0</v>
      </c>
      <c r="S91" s="15">
        <v>5404302</v>
      </c>
      <c r="T91" s="15">
        <v>5632667</v>
      </c>
      <c r="U91" s="15">
        <v>5404302</v>
      </c>
      <c r="V91" s="15">
        <v>5632667</v>
      </c>
      <c r="W91" s="15">
        <v>0</v>
      </c>
      <c r="X91" s="15">
        <v>0</v>
      </c>
      <c r="Y91" s="4">
        <v>781</v>
      </c>
      <c r="Z91" s="4">
        <v>780</v>
      </c>
      <c r="AA91" s="4">
        <v>-0.13</v>
      </c>
      <c r="AB91" s="15">
        <v>5199144</v>
      </c>
      <c r="AC91" s="15">
        <v>5626125</v>
      </c>
      <c r="AD91" s="15">
        <v>900000</v>
      </c>
      <c r="AE91" s="15">
        <v>1148000</v>
      </c>
      <c r="AF91" s="15">
        <v>1451148</v>
      </c>
      <c r="AG91" s="15">
        <v>979089</v>
      </c>
      <c r="AH91" s="4">
        <v>5.87</v>
      </c>
      <c r="AI91" s="6">
        <v>3.93</v>
      </c>
    </row>
    <row r="92" spans="1:35" x14ac:dyDescent="0.25">
      <c r="A92" s="5" t="str">
        <f>"050401"</f>
        <v>050401</v>
      </c>
      <c r="B92" s="3" t="s">
        <v>50</v>
      </c>
      <c r="C92" s="15">
        <v>22459281</v>
      </c>
      <c r="D92" s="15">
        <v>23127972</v>
      </c>
      <c r="E92" s="4">
        <v>2.98</v>
      </c>
      <c r="F92" s="15">
        <v>6128352</v>
      </c>
      <c r="G92" s="15">
        <v>3283145</v>
      </c>
      <c r="H92" s="15">
        <v>75000</v>
      </c>
      <c r="I92" s="15">
        <v>75000</v>
      </c>
      <c r="J92" s="15">
        <v>0</v>
      </c>
      <c r="K92" s="15">
        <v>0</v>
      </c>
      <c r="L92" s="15">
        <v>0</v>
      </c>
      <c r="M92" s="15">
        <v>0</v>
      </c>
      <c r="N92" s="15">
        <v>6203352</v>
      </c>
      <c r="O92" s="15">
        <v>3358145</v>
      </c>
      <c r="P92" s="4">
        <v>-45.87</v>
      </c>
      <c r="Q92" s="15">
        <v>400587</v>
      </c>
      <c r="R92" s="15">
        <v>462042</v>
      </c>
      <c r="S92" s="15">
        <v>5731334</v>
      </c>
      <c r="T92" s="15">
        <v>5896103</v>
      </c>
      <c r="U92" s="15">
        <v>5727765</v>
      </c>
      <c r="V92" s="15">
        <v>2821103</v>
      </c>
      <c r="W92" s="15">
        <v>3569</v>
      </c>
      <c r="X92" s="15">
        <v>3075000</v>
      </c>
      <c r="Y92" s="4">
        <v>880</v>
      </c>
      <c r="Z92" s="4">
        <v>860</v>
      </c>
      <c r="AA92" s="4">
        <v>-2.27</v>
      </c>
      <c r="AB92" s="15">
        <v>5128133</v>
      </c>
      <c r="AC92" s="15">
        <v>5682133</v>
      </c>
      <c r="AD92" s="15">
        <v>300000</v>
      </c>
      <c r="AE92" s="15">
        <v>0</v>
      </c>
      <c r="AF92" s="15">
        <v>898371</v>
      </c>
      <c r="AG92" s="15">
        <v>925118</v>
      </c>
      <c r="AH92" s="4">
        <v>4</v>
      </c>
      <c r="AI92" s="6">
        <v>4</v>
      </c>
    </row>
    <row r="93" spans="1:35" x14ac:dyDescent="0.25">
      <c r="A93" s="5" t="str">
        <f>"190401"</f>
        <v>190401</v>
      </c>
      <c r="B93" s="3" t="s">
        <v>187</v>
      </c>
      <c r="C93" s="15">
        <v>46052273</v>
      </c>
      <c r="D93" s="15">
        <v>48576001</v>
      </c>
      <c r="E93" s="4">
        <v>5.48</v>
      </c>
      <c r="F93" s="15">
        <v>19965702</v>
      </c>
      <c r="G93" s="15">
        <v>20335067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19965702</v>
      </c>
      <c r="O93" s="15">
        <v>20335067</v>
      </c>
      <c r="P93" s="4">
        <v>1.85</v>
      </c>
      <c r="Q93" s="15">
        <v>651492</v>
      </c>
      <c r="R93" s="15">
        <v>832594</v>
      </c>
      <c r="S93" s="15">
        <v>19314210</v>
      </c>
      <c r="T93" s="15">
        <v>19836819</v>
      </c>
      <c r="U93" s="15">
        <v>19314210</v>
      </c>
      <c r="V93" s="15">
        <v>19502473</v>
      </c>
      <c r="W93" s="15">
        <v>0</v>
      </c>
      <c r="X93" s="15">
        <v>334346</v>
      </c>
      <c r="Y93" s="4">
        <v>1350</v>
      </c>
      <c r="Z93" s="4">
        <v>1300</v>
      </c>
      <c r="AA93" s="4">
        <v>-3.7</v>
      </c>
      <c r="AB93" s="15">
        <v>5171135</v>
      </c>
      <c r="AC93" s="15">
        <v>4625150</v>
      </c>
      <c r="AD93" s="15">
        <v>3282784</v>
      </c>
      <c r="AE93" s="15">
        <v>3561796</v>
      </c>
      <c r="AF93" s="15">
        <v>6355396</v>
      </c>
      <c r="AG93" s="15">
        <v>2793600</v>
      </c>
      <c r="AH93" s="4">
        <v>13.8</v>
      </c>
      <c r="AI93" s="6">
        <v>5.75</v>
      </c>
    </row>
    <row r="94" spans="1:35" x14ac:dyDescent="0.25">
      <c r="A94" s="5" t="str">
        <f>"042302"</f>
        <v>042302</v>
      </c>
      <c r="B94" s="3" t="s">
        <v>41</v>
      </c>
      <c r="C94" s="15">
        <v>27433088</v>
      </c>
      <c r="D94" s="15">
        <v>28650916</v>
      </c>
      <c r="E94" s="4">
        <v>4.4400000000000004</v>
      </c>
      <c r="F94" s="15">
        <v>4858330</v>
      </c>
      <c r="G94" s="15">
        <v>4825699</v>
      </c>
      <c r="H94" s="15">
        <v>130000</v>
      </c>
      <c r="I94" s="15">
        <v>130000</v>
      </c>
      <c r="J94" s="15"/>
      <c r="K94" s="15"/>
      <c r="L94" s="15"/>
      <c r="M94" s="15"/>
      <c r="N94" s="15">
        <v>4988330</v>
      </c>
      <c r="O94" s="15">
        <v>4955699</v>
      </c>
      <c r="P94" s="4">
        <v>-0.65</v>
      </c>
      <c r="Q94" s="15">
        <v>188188</v>
      </c>
      <c r="R94" s="15">
        <v>44461</v>
      </c>
      <c r="S94" s="15">
        <v>4845216</v>
      </c>
      <c r="T94" s="15">
        <v>4781238</v>
      </c>
      <c r="U94" s="15">
        <v>4670142</v>
      </c>
      <c r="V94" s="15">
        <v>4781238</v>
      </c>
      <c r="W94" s="15">
        <v>175074</v>
      </c>
      <c r="X94" s="15">
        <v>0</v>
      </c>
      <c r="Y94" s="4">
        <v>918</v>
      </c>
      <c r="Z94" s="4">
        <v>880</v>
      </c>
      <c r="AA94" s="4">
        <v>-4.1399999999999997</v>
      </c>
      <c r="AB94" s="15">
        <v>1793291</v>
      </c>
      <c r="AC94" s="15">
        <v>1797091</v>
      </c>
      <c r="AD94" s="15">
        <v>882649</v>
      </c>
      <c r="AE94" s="15">
        <v>757664</v>
      </c>
      <c r="AF94" s="15">
        <v>7964556</v>
      </c>
      <c r="AG94" s="15">
        <v>7961033</v>
      </c>
      <c r="AH94" s="4">
        <v>29.03</v>
      </c>
      <c r="AI94" s="6">
        <v>27.79</v>
      </c>
    </row>
    <row r="95" spans="1:35" x14ac:dyDescent="0.25">
      <c r="A95" s="5" t="str">
        <f>"250201"</f>
        <v>250201</v>
      </c>
      <c r="B95" s="3" t="s">
        <v>233</v>
      </c>
      <c r="C95" s="15">
        <v>32847004</v>
      </c>
      <c r="D95" s="15">
        <v>34372000</v>
      </c>
      <c r="E95" s="4">
        <v>4.6399999999999997</v>
      </c>
      <c r="F95" s="15">
        <v>20091709</v>
      </c>
      <c r="G95" s="15">
        <v>20560067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20091709</v>
      </c>
      <c r="O95" s="15">
        <v>20560067</v>
      </c>
      <c r="P95" s="4">
        <v>2.33</v>
      </c>
      <c r="Q95" s="15">
        <v>1119697</v>
      </c>
      <c r="R95" s="15">
        <v>1147931</v>
      </c>
      <c r="S95" s="15">
        <v>18972012</v>
      </c>
      <c r="T95" s="15">
        <v>19412136</v>
      </c>
      <c r="U95" s="15">
        <v>18972012</v>
      </c>
      <c r="V95" s="15">
        <v>19412136</v>
      </c>
      <c r="W95" s="15">
        <v>0</v>
      </c>
      <c r="X95" s="15">
        <v>0</v>
      </c>
      <c r="Y95" s="4">
        <v>1324</v>
      </c>
      <c r="Z95" s="4">
        <v>1340</v>
      </c>
      <c r="AA95" s="4">
        <v>1.21</v>
      </c>
      <c r="AB95" s="15">
        <v>7414752</v>
      </c>
      <c r="AC95" s="15">
        <v>6491352</v>
      </c>
      <c r="AD95" s="15">
        <v>1304694</v>
      </c>
      <c r="AE95" s="15">
        <v>1741269</v>
      </c>
      <c r="AF95" s="15">
        <v>1309840</v>
      </c>
      <c r="AG95" s="15">
        <v>1374880</v>
      </c>
      <c r="AH95" s="4">
        <v>3.99</v>
      </c>
      <c r="AI95" s="6">
        <v>4</v>
      </c>
    </row>
    <row r="96" spans="1:35" x14ac:dyDescent="0.25">
      <c r="A96" s="5" t="str">
        <f>"580233"</f>
        <v>580233</v>
      </c>
      <c r="B96" s="3" t="s">
        <v>517</v>
      </c>
      <c r="C96" s="15">
        <v>44301233</v>
      </c>
      <c r="D96" s="15">
        <v>47576400</v>
      </c>
      <c r="E96" s="4">
        <v>7.39</v>
      </c>
      <c r="F96" s="15">
        <v>24566009</v>
      </c>
      <c r="G96" s="15">
        <v>25162164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24566009</v>
      </c>
      <c r="O96" s="15">
        <v>25162164</v>
      </c>
      <c r="P96" s="4">
        <v>2.4300000000000002</v>
      </c>
      <c r="Q96" s="15">
        <v>612166</v>
      </c>
      <c r="R96" s="15">
        <v>428557</v>
      </c>
      <c r="S96" s="15">
        <v>23953843</v>
      </c>
      <c r="T96" s="15">
        <v>24733607</v>
      </c>
      <c r="U96" s="15">
        <v>23953843</v>
      </c>
      <c r="V96" s="15">
        <v>24733607</v>
      </c>
      <c r="W96" s="15">
        <v>0</v>
      </c>
      <c r="X96" s="15">
        <v>0</v>
      </c>
      <c r="Y96" s="4">
        <v>1505</v>
      </c>
      <c r="Z96" s="4">
        <v>1491</v>
      </c>
      <c r="AA96" s="4">
        <v>-0.93</v>
      </c>
      <c r="AB96" s="15">
        <v>5012150</v>
      </c>
      <c r="AC96" s="15">
        <v>4910895</v>
      </c>
      <c r="AD96" s="15">
        <v>964286</v>
      </c>
      <c r="AE96" s="15">
        <v>934286</v>
      </c>
      <c r="AF96" s="15">
        <v>1772089</v>
      </c>
      <c r="AG96" s="15">
        <v>1903056</v>
      </c>
      <c r="AH96" s="4">
        <v>4</v>
      </c>
      <c r="AI96" s="6">
        <v>4</v>
      </c>
    </row>
    <row r="97" spans="1:35" x14ac:dyDescent="0.25">
      <c r="A97" s="5" t="str">
        <f>"580513"</f>
        <v>580513</v>
      </c>
      <c r="B97" s="3" t="s">
        <v>543</v>
      </c>
      <c r="C97" s="15">
        <v>228432084</v>
      </c>
      <c r="D97" s="15">
        <v>248768021</v>
      </c>
      <c r="E97" s="4">
        <v>8.9</v>
      </c>
      <c r="F97" s="15">
        <v>93315810</v>
      </c>
      <c r="G97" s="15">
        <v>93315810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93315810</v>
      </c>
      <c r="O97" s="15">
        <v>93315810</v>
      </c>
      <c r="P97" s="4">
        <v>0</v>
      </c>
      <c r="Q97" s="15">
        <v>640348</v>
      </c>
      <c r="R97" s="15">
        <v>1313256</v>
      </c>
      <c r="S97" s="15">
        <v>97086641</v>
      </c>
      <c r="T97" s="15">
        <v>96389890</v>
      </c>
      <c r="U97" s="15">
        <v>92675462</v>
      </c>
      <c r="V97" s="15">
        <v>92002554</v>
      </c>
      <c r="W97" s="15">
        <v>4411179</v>
      </c>
      <c r="X97" s="15">
        <v>4387336</v>
      </c>
      <c r="Y97" s="4">
        <v>7527</v>
      </c>
      <c r="Z97" s="4">
        <v>7737</v>
      </c>
      <c r="AA97" s="4">
        <v>2.79</v>
      </c>
      <c r="AB97" s="15">
        <v>28203850</v>
      </c>
      <c r="AC97" s="15">
        <v>28203850</v>
      </c>
      <c r="AD97" s="15">
        <v>0</v>
      </c>
      <c r="AE97" s="15">
        <v>0</v>
      </c>
      <c r="AF97" s="15">
        <v>9137283</v>
      </c>
      <c r="AG97" s="15">
        <v>9137283</v>
      </c>
      <c r="AH97" s="4">
        <v>4</v>
      </c>
      <c r="AI97" s="6">
        <v>3.67</v>
      </c>
    </row>
    <row r="98" spans="1:35" x14ac:dyDescent="0.25">
      <c r="A98" s="5" t="str">
        <f>"460801"</f>
        <v>460801</v>
      </c>
      <c r="B98" s="3" t="s">
        <v>393</v>
      </c>
      <c r="C98" s="15">
        <v>85963942</v>
      </c>
      <c r="D98" s="15">
        <v>88546056</v>
      </c>
      <c r="E98" s="4">
        <v>3</v>
      </c>
      <c r="F98" s="15">
        <v>29922927</v>
      </c>
      <c r="G98" s="15">
        <v>29922927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29922927</v>
      </c>
      <c r="O98" s="15">
        <v>29922927</v>
      </c>
      <c r="P98" s="4">
        <v>0</v>
      </c>
      <c r="Q98" s="15">
        <v>425636</v>
      </c>
      <c r="R98" s="15">
        <v>441782</v>
      </c>
      <c r="S98" s="15">
        <v>29497391</v>
      </c>
      <c r="T98" s="15">
        <v>29922927</v>
      </c>
      <c r="U98" s="15">
        <v>29497291</v>
      </c>
      <c r="V98" s="15">
        <v>29481145</v>
      </c>
      <c r="W98" s="15">
        <v>100</v>
      </c>
      <c r="X98" s="15">
        <v>441782</v>
      </c>
      <c r="Y98" s="4">
        <v>3475</v>
      </c>
      <c r="Z98" s="4">
        <v>3391</v>
      </c>
      <c r="AA98" s="4">
        <v>-2.42</v>
      </c>
      <c r="AB98" s="15">
        <v>7618794</v>
      </c>
      <c r="AC98" s="15">
        <v>7618794</v>
      </c>
      <c r="AD98" s="15">
        <v>7956305</v>
      </c>
      <c r="AE98" s="15">
        <v>5430000</v>
      </c>
      <c r="AF98" s="15">
        <v>5014819</v>
      </c>
      <c r="AG98" s="15">
        <v>3541843</v>
      </c>
      <c r="AH98" s="4">
        <v>5.83</v>
      </c>
      <c r="AI98" s="6">
        <v>4</v>
      </c>
    </row>
    <row r="99" spans="1:35" x14ac:dyDescent="0.25">
      <c r="A99" s="5" t="str">
        <f>"212101"</f>
        <v>212101</v>
      </c>
      <c r="B99" s="3" t="s">
        <v>207</v>
      </c>
      <c r="C99" s="15">
        <v>51074162</v>
      </c>
      <c r="D99" s="15">
        <v>52414760</v>
      </c>
      <c r="E99" s="4">
        <v>2.62</v>
      </c>
      <c r="F99" s="15">
        <v>8725000</v>
      </c>
      <c r="G99" s="15">
        <v>8725000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8725000</v>
      </c>
      <c r="O99" s="15">
        <v>8725000</v>
      </c>
      <c r="P99" s="4">
        <v>0</v>
      </c>
      <c r="Q99" s="15">
        <v>0</v>
      </c>
      <c r="R99" s="15">
        <v>0</v>
      </c>
      <c r="S99" s="15">
        <v>8725000</v>
      </c>
      <c r="T99" s="15">
        <v>8968750</v>
      </c>
      <c r="U99" s="15">
        <v>8725000</v>
      </c>
      <c r="V99" s="15">
        <v>8725000</v>
      </c>
      <c r="W99" s="15">
        <v>0</v>
      </c>
      <c r="X99" s="15">
        <v>243750</v>
      </c>
      <c r="Y99" s="4">
        <v>2211</v>
      </c>
      <c r="Z99" s="4">
        <v>2185</v>
      </c>
      <c r="AA99" s="4">
        <v>-1.18</v>
      </c>
      <c r="AB99" s="15">
        <v>6793264</v>
      </c>
      <c r="AC99" s="15">
        <v>1800000</v>
      </c>
      <c r="AD99" s="15">
        <v>89036</v>
      </c>
      <c r="AE99" s="15">
        <v>0</v>
      </c>
      <c r="AF99" s="15">
        <v>8440172</v>
      </c>
      <c r="AG99" s="15">
        <v>4440172</v>
      </c>
      <c r="AH99" s="4">
        <v>16.53</v>
      </c>
      <c r="AI99" s="6">
        <v>8.4700000000000006</v>
      </c>
    </row>
    <row r="100" spans="1:35" x14ac:dyDescent="0.25">
      <c r="A100" s="5" t="str">
        <f>"661004"</f>
        <v>661004</v>
      </c>
      <c r="B100" s="3" t="s">
        <v>647</v>
      </c>
      <c r="C100" s="15">
        <v>130460188</v>
      </c>
      <c r="D100" s="15">
        <v>133963411</v>
      </c>
      <c r="E100" s="4">
        <v>2.69</v>
      </c>
      <c r="F100" s="15">
        <v>113934076</v>
      </c>
      <c r="G100" s="15">
        <v>117107287</v>
      </c>
      <c r="H100" s="15"/>
      <c r="I100" s="15"/>
      <c r="J100" s="15"/>
      <c r="K100" s="15"/>
      <c r="L100" s="15"/>
      <c r="M100" s="15"/>
      <c r="N100" s="15">
        <v>113934076</v>
      </c>
      <c r="O100" s="15">
        <v>117107287</v>
      </c>
      <c r="P100" s="4">
        <v>2.79</v>
      </c>
      <c r="Q100" s="15">
        <v>5769105</v>
      </c>
      <c r="R100" s="15">
        <v>6500106</v>
      </c>
      <c r="S100" s="15">
        <v>108164971</v>
      </c>
      <c r="T100" s="15">
        <v>110607181</v>
      </c>
      <c r="U100" s="15">
        <v>108164971</v>
      </c>
      <c r="V100" s="15">
        <v>110607181</v>
      </c>
      <c r="W100" s="15">
        <v>0</v>
      </c>
      <c r="X100" s="15">
        <v>0</v>
      </c>
      <c r="Y100" s="4">
        <v>3556</v>
      </c>
      <c r="Z100" s="4">
        <v>3494</v>
      </c>
      <c r="AA100" s="4">
        <v>-1.74</v>
      </c>
      <c r="AB100" s="15">
        <v>9049477</v>
      </c>
      <c r="AC100" s="15">
        <v>8725282</v>
      </c>
      <c r="AD100" s="15">
        <v>3542865</v>
      </c>
      <c r="AE100" s="15">
        <v>3500000</v>
      </c>
      <c r="AF100" s="15">
        <v>4976308</v>
      </c>
      <c r="AG100" s="15">
        <v>5007094</v>
      </c>
      <c r="AH100" s="4">
        <v>3.81</v>
      </c>
      <c r="AI100" s="6">
        <v>3.74</v>
      </c>
    </row>
    <row r="101" spans="1:35" x14ac:dyDescent="0.25">
      <c r="A101" s="5" t="str">
        <f>"120401"</f>
        <v>120401</v>
      </c>
      <c r="B101" s="3" t="s">
        <v>105</v>
      </c>
      <c r="C101" s="15">
        <v>10854047</v>
      </c>
      <c r="D101" s="15">
        <v>11407266</v>
      </c>
      <c r="E101" s="4">
        <v>5.0999999999999996</v>
      </c>
      <c r="F101" s="15">
        <v>3331754</v>
      </c>
      <c r="G101" s="15">
        <v>3331755</v>
      </c>
      <c r="H101" s="15"/>
      <c r="I101" s="15"/>
      <c r="J101" s="15"/>
      <c r="K101" s="15"/>
      <c r="L101" s="15"/>
      <c r="M101" s="15"/>
      <c r="N101" s="15">
        <v>3331754</v>
      </c>
      <c r="O101" s="15">
        <v>3331755</v>
      </c>
      <c r="P101" s="4">
        <v>0</v>
      </c>
      <c r="Q101" s="15">
        <v>289503</v>
      </c>
      <c r="R101" s="15">
        <v>202095</v>
      </c>
      <c r="S101" s="15">
        <v>3042251</v>
      </c>
      <c r="T101" s="15">
        <v>3112272</v>
      </c>
      <c r="U101" s="15">
        <v>3042251</v>
      </c>
      <c r="V101" s="15">
        <v>3129660</v>
      </c>
      <c r="W101" s="15">
        <v>0</v>
      </c>
      <c r="X101" s="15">
        <v>-17388</v>
      </c>
      <c r="Y101" s="4">
        <v>391</v>
      </c>
      <c r="Z101" s="4">
        <v>391</v>
      </c>
      <c r="AA101" s="4">
        <v>0</v>
      </c>
      <c r="AB101" s="15">
        <v>2148800</v>
      </c>
      <c r="AC101" s="15">
        <v>3701892</v>
      </c>
      <c r="AD101" s="15">
        <v>310099</v>
      </c>
      <c r="AE101" s="15">
        <v>384226</v>
      </c>
      <c r="AF101" s="15">
        <v>2296019</v>
      </c>
      <c r="AG101" s="15">
        <v>2446019</v>
      </c>
      <c r="AH101" s="4">
        <v>21.15</v>
      </c>
      <c r="AI101" s="6">
        <v>21.44</v>
      </c>
    </row>
    <row r="102" spans="1:35" x14ac:dyDescent="0.25">
      <c r="A102" s="5" t="str">
        <f>"160801"</f>
        <v>160801</v>
      </c>
      <c r="B102" s="3" t="s">
        <v>166</v>
      </c>
      <c r="C102" s="15">
        <v>13725302</v>
      </c>
      <c r="D102" s="15">
        <v>14229617</v>
      </c>
      <c r="E102" s="4">
        <v>3.67</v>
      </c>
      <c r="F102" s="15">
        <v>3007830</v>
      </c>
      <c r="G102" s="15">
        <v>3106367</v>
      </c>
      <c r="H102" s="15"/>
      <c r="I102" s="15"/>
      <c r="J102" s="15"/>
      <c r="K102" s="15"/>
      <c r="L102" s="15"/>
      <c r="M102" s="15"/>
      <c r="N102" s="15">
        <v>3007830</v>
      </c>
      <c r="O102" s="15">
        <v>3106367</v>
      </c>
      <c r="P102" s="4">
        <v>3.28</v>
      </c>
      <c r="Q102" s="15">
        <v>36398</v>
      </c>
      <c r="R102" s="15">
        <v>56406</v>
      </c>
      <c r="S102" s="15">
        <v>2971432</v>
      </c>
      <c r="T102" s="15">
        <v>3049961</v>
      </c>
      <c r="U102" s="15">
        <v>2971432</v>
      </c>
      <c r="V102" s="15">
        <v>3049961</v>
      </c>
      <c r="W102" s="15">
        <v>0</v>
      </c>
      <c r="X102" s="15">
        <v>0</v>
      </c>
      <c r="Y102" s="4">
        <v>522</v>
      </c>
      <c r="Z102" s="4">
        <v>523</v>
      </c>
      <c r="AA102" s="4">
        <v>0.19</v>
      </c>
      <c r="AB102" s="15">
        <v>864227</v>
      </c>
      <c r="AC102" s="15">
        <v>786854</v>
      </c>
      <c r="AD102" s="15">
        <v>735000</v>
      </c>
      <c r="AE102" s="15">
        <v>575000</v>
      </c>
      <c r="AF102" s="15">
        <v>1675948</v>
      </c>
      <c r="AG102" s="15">
        <v>1623777</v>
      </c>
      <c r="AH102" s="4">
        <v>12.21</v>
      </c>
      <c r="AI102" s="6">
        <v>11.41</v>
      </c>
    </row>
    <row r="103" spans="1:35" x14ac:dyDescent="0.25">
      <c r="A103" s="5" t="str">
        <f>"101001"</f>
        <v>101001</v>
      </c>
      <c r="B103" s="3" t="s">
        <v>94</v>
      </c>
      <c r="C103" s="15">
        <v>33050383</v>
      </c>
      <c r="D103" s="15">
        <v>33618101</v>
      </c>
      <c r="E103" s="4">
        <v>1.72</v>
      </c>
      <c r="F103" s="15">
        <v>23245248</v>
      </c>
      <c r="G103" s="15">
        <v>23884492</v>
      </c>
      <c r="H103" s="15"/>
      <c r="I103" s="15"/>
      <c r="J103" s="15"/>
      <c r="K103" s="15"/>
      <c r="L103" s="15"/>
      <c r="M103" s="15"/>
      <c r="N103" s="15">
        <v>23245248</v>
      </c>
      <c r="O103" s="15">
        <v>23884492</v>
      </c>
      <c r="P103" s="4">
        <v>2.75</v>
      </c>
      <c r="Q103" s="15">
        <v>474512</v>
      </c>
      <c r="R103" s="15">
        <v>510301</v>
      </c>
      <c r="S103" s="15">
        <v>22783034</v>
      </c>
      <c r="T103" s="15">
        <v>23543799</v>
      </c>
      <c r="U103" s="15">
        <v>22770736</v>
      </c>
      <c r="V103" s="15">
        <v>23374191</v>
      </c>
      <c r="W103" s="15">
        <v>12298</v>
      </c>
      <c r="X103" s="15">
        <v>169608</v>
      </c>
      <c r="Y103" s="4">
        <v>893</v>
      </c>
      <c r="Z103" s="4">
        <v>891</v>
      </c>
      <c r="AA103" s="4">
        <v>-0.22</v>
      </c>
      <c r="AB103" s="15">
        <v>12858925</v>
      </c>
      <c r="AC103" s="15">
        <v>13708925</v>
      </c>
      <c r="AD103" s="15">
        <v>1748195</v>
      </c>
      <c r="AE103" s="15">
        <v>1748195</v>
      </c>
      <c r="AF103" s="15">
        <v>1322015</v>
      </c>
      <c r="AG103" s="15">
        <v>1344724</v>
      </c>
      <c r="AH103" s="4">
        <v>4</v>
      </c>
      <c r="AI103" s="6">
        <v>4</v>
      </c>
    </row>
    <row r="104" spans="1:35" x14ac:dyDescent="0.25">
      <c r="A104" s="5" t="str">
        <f>"060503"</f>
        <v>060503</v>
      </c>
      <c r="B104" s="3" t="s">
        <v>58</v>
      </c>
      <c r="C104" s="15">
        <v>23600585</v>
      </c>
      <c r="D104" s="15">
        <v>23585665</v>
      </c>
      <c r="E104" s="4">
        <v>-0.06</v>
      </c>
      <c r="F104" s="15">
        <v>12493744</v>
      </c>
      <c r="G104" s="15">
        <v>12541220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12493744</v>
      </c>
      <c r="O104" s="15">
        <v>12541220</v>
      </c>
      <c r="P104" s="4">
        <v>0.38</v>
      </c>
      <c r="Q104" s="15">
        <v>272802</v>
      </c>
      <c r="R104" s="15">
        <v>22602</v>
      </c>
      <c r="S104" s="15">
        <v>12286834</v>
      </c>
      <c r="T104" s="15">
        <v>12520886</v>
      </c>
      <c r="U104" s="15">
        <v>12220942</v>
      </c>
      <c r="V104" s="15">
        <v>12518618</v>
      </c>
      <c r="W104" s="15">
        <v>65892</v>
      </c>
      <c r="X104" s="15">
        <v>2268</v>
      </c>
      <c r="Y104" s="4">
        <v>820</v>
      </c>
      <c r="Z104" s="4">
        <v>805</v>
      </c>
      <c r="AA104" s="4">
        <v>-1.83</v>
      </c>
      <c r="AB104" s="15">
        <v>3233048</v>
      </c>
      <c r="AC104" s="15">
        <v>5233048</v>
      </c>
      <c r="AD104" s="15">
        <v>1050000</v>
      </c>
      <c r="AE104" s="15">
        <v>1030000</v>
      </c>
      <c r="AF104" s="15">
        <v>3294000</v>
      </c>
      <c r="AG104" s="15">
        <v>1650997</v>
      </c>
      <c r="AH104" s="4">
        <v>13.96</v>
      </c>
      <c r="AI104" s="6">
        <v>7</v>
      </c>
    </row>
    <row r="105" spans="1:35" x14ac:dyDescent="0.25">
      <c r="A105" s="5" t="str">
        <f>"090601"</f>
        <v>090601</v>
      </c>
      <c r="B105" s="3" t="s">
        <v>87</v>
      </c>
      <c r="C105" s="15">
        <v>11996817</v>
      </c>
      <c r="D105" s="15">
        <v>12533300</v>
      </c>
      <c r="E105" s="4">
        <v>4.47</v>
      </c>
      <c r="F105" s="15">
        <v>5294575</v>
      </c>
      <c r="G105" s="15">
        <v>5435162</v>
      </c>
      <c r="H105" s="15">
        <v>38000</v>
      </c>
      <c r="I105" s="15">
        <v>38000</v>
      </c>
      <c r="J105" s="15"/>
      <c r="K105" s="15"/>
      <c r="L105" s="15"/>
      <c r="M105" s="15"/>
      <c r="N105" s="15">
        <v>5332575</v>
      </c>
      <c r="O105" s="15">
        <v>5473162</v>
      </c>
      <c r="P105" s="4">
        <v>2.64</v>
      </c>
      <c r="Q105" s="15">
        <v>192733</v>
      </c>
      <c r="R105" s="15">
        <v>211766</v>
      </c>
      <c r="S105" s="15">
        <v>5101842</v>
      </c>
      <c r="T105" s="15">
        <v>5223396</v>
      </c>
      <c r="U105" s="15">
        <v>5101842</v>
      </c>
      <c r="V105" s="15">
        <v>5223396</v>
      </c>
      <c r="W105" s="15">
        <v>0</v>
      </c>
      <c r="X105" s="15">
        <v>0</v>
      </c>
      <c r="Y105" s="4">
        <v>440</v>
      </c>
      <c r="Z105" s="4">
        <v>458</v>
      </c>
      <c r="AA105" s="4">
        <v>4.09</v>
      </c>
      <c r="AB105" s="15">
        <v>824801</v>
      </c>
      <c r="AC105" s="15">
        <v>856539</v>
      </c>
      <c r="AD105" s="15">
        <v>996066</v>
      </c>
      <c r="AE105" s="15">
        <v>1118314</v>
      </c>
      <c r="AF105" s="15">
        <v>1154103</v>
      </c>
      <c r="AG105" s="15">
        <v>996678</v>
      </c>
      <c r="AH105" s="4">
        <v>9.6199999999999992</v>
      </c>
      <c r="AI105" s="6">
        <v>7.95</v>
      </c>
    </row>
    <row r="106" spans="1:35" x14ac:dyDescent="0.25">
      <c r="A106" s="5" t="str">
        <f>"140701"</f>
        <v>140701</v>
      </c>
      <c r="B106" s="3" t="s">
        <v>133</v>
      </c>
      <c r="C106" s="15">
        <v>51324296</v>
      </c>
      <c r="D106" s="15">
        <v>53661327</v>
      </c>
      <c r="E106" s="4">
        <v>4.55</v>
      </c>
      <c r="F106" s="15">
        <v>26378636</v>
      </c>
      <c r="G106" s="15">
        <v>26649118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26378636</v>
      </c>
      <c r="O106" s="15">
        <v>26649118</v>
      </c>
      <c r="P106" s="4">
        <v>1.03</v>
      </c>
      <c r="Q106" s="15">
        <v>786372</v>
      </c>
      <c r="R106" s="15">
        <v>371081</v>
      </c>
      <c r="S106" s="15">
        <v>25592264</v>
      </c>
      <c r="T106" s="15">
        <v>26278037</v>
      </c>
      <c r="U106" s="15">
        <v>25592264</v>
      </c>
      <c r="V106" s="15">
        <v>26278037</v>
      </c>
      <c r="W106" s="15">
        <v>0</v>
      </c>
      <c r="X106" s="15">
        <v>0</v>
      </c>
      <c r="Y106" s="4">
        <v>2247</v>
      </c>
      <c r="Z106" s="4">
        <v>2192</v>
      </c>
      <c r="AA106" s="4">
        <v>-2.4500000000000002</v>
      </c>
      <c r="AB106" s="15">
        <v>6940945</v>
      </c>
      <c r="AC106" s="15">
        <v>8000000</v>
      </c>
      <c r="AD106" s="15">
        <v>123705</v>
      </c>
      <c r="AE106" s="15">
        <v>150000</v>
      </c>
      <c r="AF106" s="15">
        <v>2053382</v>
      </c>
      <c r="AG106" s="15">
        <v>2000000</v>
      </c>
      <c r="AH106" s="4">
        <v>4</v>
      </c>
      <c r="AI106" s="6">
        <v>3.73</v>
      </c>
    </row>
    <row r="107" spans="1:35" x14ac:dyDescent="0.25">
      <c r="A107" s="5" t="str">
        <f>"140702"</f>
        <v>140702</v>
      </c>
      <c r="B107" s="3" t="s">
        <v>134</v>
      </c>
      <c r="C107" s="15">
        <v>50036440</v>
      </c>
      <c r="D107" s="15">
        <v>52584539</v>
      </c>
      <c r="E107" s="4">
        <v>5.09</v>
      </c>
      <c r="F107" s="15">
        <v>22122970</v>
      </c>
      <c r="G107" s="15">
        <v>22553046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22122970</v>
      </c>
      <c r="O107" s="15">
        <v>22553046</v>
      </c>
      <c r="P107" s="4">
        <v>1.94</v>
      </c>
      <c r="Q107" s="15">
        <v>570559</v>
      </c>
      <c r="R107" s="15">
        <v>571734</v>
      </c>
      <c r="S107" s="15">
        <v>21552411</v>
      </c>
      <c r="T107" s="15">
        <v>21981312</v>
      </c>
      <c r="U107" s="15">
        <v>21552411</v>
      </c>
      <c r="V107" s="15">
        <v>21981312</v>
      </c>
      <c r="W107" s="15">
        <v>0</v>
      </c>
      <c r="X107" s="15">
        <v>0</v>
      </c>
      <c r="Y107" s="4">
        <v>2180</v>
      </c>
      <c r="Z107" s="4">
        <v>2180</v>
      </c>
      <c r="AA107" s="4">
        <v>0</v>
      </c>
      <c r="AB107" s="15">
        <v>11796535</v>
      </c>
      <c r="AC107" s="15">
        <v>8612643</v>
      </c>
      <c r="AD107" s="15">
        <v>2519388</v>
      </c>
      <c r="AE107" s="15">
        <v>1245038</v>
      </c>
      <c r="AF107" s="15">
        <v>4462545</v>
      </c>
      <c r="AG107" s="15">
        <v>4729663</v>
      </c>
      <c r="AH107" s="4">
        <v>8.92</v>
      </c>
      <c r="AI107" s="6">
        <v>8.99</v>
      </c>
    </row>
    <row r="108" spans="1:35" x14ac:dyDescent="0.25">
      <c r="A108" s="5" t="str">
        <f>"140709"</f>
        <v>140709</v>
      </c>
      <c r="B108" s="3" t="s">
        <v>137</v>
      </c>
      <c r="C108" s="15">
        <v>37239731</v>
      </c>
      <c r="D108" s="15">
        <v>38154824</v>
      </c>
      <c r="E108" s="4">
        <v>2.46</v>
      </c>
      <c r="F108" s="15">
        <v>15467632</v>
      </c>
      <c r="G108" s="15">
        <v>15617553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15467632</v>
      </c>
      <c r="O108" s="15">
        <v>15617553</v>
      </c>
      <c r="P108" s="4">
        <v>0.97</v>
      </c>
      <c r="Q108" s="15">
        <v>344020</v>
      </c>
      <c r="R108" s="15">
        <v>378714</v>
      </c>
      <c r="S108" s="15">
        <v>15476488</v>
      </c>
      <c r="T108" s="15">
        <v>15450826</v>
      </c>
      <c r="U108" s="15">
        <v>15123612</v>
      </c>
      <c r="V108" s="15">
        <v>15238839</v>
      </c>
      <c r="W108" s="15">
        <v>352876</v>
      </c>
      <c r="X108" s="15">
        <v>211987</v>
      </c>
      <c r="Y108" s="4">
        <v>1370</v>
      </c>
      <c r="Z108" s="4">
        <v>1380</v>
      </c>
      <c r="AA108" s="4">
        <v>0.73</v>
      </c>
      <c r="AB108" s="15">
        <v>16950691</v>
      </c>
      <c r="AC108" s="15">
        <v>19950000</v>
      </c>
      <c r="AD108" s="15">
        <v>2380000</v>
      </c>
      <c r="AE108" s="15">
        <v>2350000</v>
      </c>
      <c r="AF108" s="15">
        <v>5204709</v>
      </c>
      <c r="AG108" s="15">
        <v>1934384</v>
      </c>
      <c r="AH108" s="4">
        <v>13.98</v>
      </c>
      <c r="AI108" s="6">
        <v>5.07</v>
      </c>
    </row>
    <row r="109" spans="1:35" x14ac:dyDescent="0.25">
      <c r="A109" s="5" t="str">
        <f>"030101"</f>
        <v>030101</v>
      </c>
      <c r="B109" s="3" t="s">
        <v>24</v>
      </c>
      <c r="C109" s="15">
        <v>35254318</v>
      </c>
      <c r="D109" s="15">
        <v>35707383</v>
      </c>
      <c r="E109" s="4">
        <v>1.29</v>
      </c>
      <c r="F109" s="15">
        <v>12469363</v>
      </c>
      <c r="G109" s="15">
        <v>12755617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12469363</v>
      </c>
      <c r="O109" s="15">
        <v>12755617</v>
      </c>
      <c r="P109" s="4">
        <v>2.2999999999999998</v>
      </c>
      <c r="Q109" s="15">
        <v>647341</v>
      </c>
      <c r="R109" s="15">
        <v>645965</v>
      </c>
      <c r="S109" s="15">
        <v>11822022</v>
      </c>
      <c r="T109" s="15">
        <v>12109652</v>
      </c>
      <c r="U109" s="15">
        <v>11822022</v>
      </c>
      <c r="V109" s="15">
        <v>12109652</v>
      </c>
      <c r="W109" s="15">
        <v>0</v>
      </c>
      <c r="X109" s="15">
        <v>0</v>
      </c>
      <c r="Y109" s="4">
        <v>1312</v>
      </c>
      <c r="Z109" s="4">
        <v>1312</v>
      </c>
      <c r="AA109" s="4">
        <v>0</v>
      </c>
      <c r="AB109" s="15">
        <v>4119177</v>
      </c>
      <c r="AC109" s="15">
        <v>6009563</v>
      </c>
      <c r="AD109" s="15">
        <v>500000</v>
      </c>
      <c r="AE109" s="15">
        <v>500000</v>
      </c>
      <c r="AF109" s="15">
        <v>1338959</v>
      </c>
      <c r="AG109" s="15">
        <v>1346886</v>
      </c>
      <c r="AH109" s="4">
        <v>3.8</v>
      </c>
      <c r="AI109" s="6">
        <v>3.77</v>
      </c>
    </row>
    <row r="110" spans="1:35" x14ac:dyDescent="0.25">
      <c r="A110" s="5" t="str">
        <f>"030701"</f>
        <v>030701</v>
      </c>
      <c r="B110" s="3" t="s">
        <v>28</v>
      </c>
      <c r="C110" s="15">
        <v>42328929</v>
      </c>
      <c r="D110" s="15">
        <v>44322437</v>
      </c>
      <c r="E110" s="4">
        <v>4.71</v>
      </c>
      <c r="F110" s="15">
        <v>20521886</v>
      </c>
      <c r="G110" s="15">
        <v>20928766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20521886</v>
      </c>
      <c r="O110" s="15">
        <v>20928766</v>
      </c>
      <c r="P110" s="4">
        <v>1.98</v>
      </c>
      <c r="Q110" s="15">
        <v>459532</v>
      </c>
      <c r="R110" s="15">
        <v>457158</v>
      </c>
      <c r="S110" s="15">
        <v>20062354</v>
      </c>
      <c r="T110" s="15">
        <v>20471608</v>
      </c>
      <c r="U110" s="15">
        <v>20062354</v>
      </c>
      <c r="V110" s="15">
        <v>20471608</v>
      </c>
      <c r="W110" s="15">
        <v>0</v>
      </c>
      <c r="X110" s="15">
        <v>0</v>
      </c>
      <c r="Y110" s="4">
        <v>1638</v>
      </c>
      <c r="Z110" s="4">
        <v>1638</v>
      </c>
      <c r="AA110" s="4">
        <v>0</v>
      </c>
      <c r="AB110" s="15">
        <v>6673453</v>
      </c>
      <c r="AC110" s="15">
        <v>6877104</v>
      </c>
      <c r="AD110" s="15">
        <v>500000</v>
      </c>
      <c r="AE110" s="15">
        <v>500000</v>
      </c>
      <c r="AF110" s="15">
        <v>1601480</v>
      </c>
      <c r="AG110" s="15">
        <v>1613850</v>
      </c>
      <c r="AH110" s="4">
        <v>3.78</v>
      </c>
      <c r="AI110" s="6">
        <v>3.64</v>
      </c>
    </row>
    <row r="111" spans="1:35" x14ac:dyDescent="0.25">
      <c r="A111" s="5" t="str">
        <f>"472202"</f>
        <v>472202</v>
      </c>
      <c r="B111" s="3" t="s">
        <v>409</v>
      </c>
      <c r="C111" s="15">
        <v>13722278</v>
      </c>
      <c r="D111" s="15">
        <v>14211463</v>
      </c>
      <c r="E111" s="4">
        <v>3.56</v>
      </c>
      <c r="F111" s="15">
        <v>5308039</v>
      </c>
      <c r="G111" s="15">
        <v>5414104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5308039</v>
      </c>
      <c r="O111" s="15">
        <v>5414104</v>
      </c>
      <c r="P111" s="4">
        <v>2</v>
      </c>
      <c r="Q111" s="15">
        <v>221093</v>
      </c>
      <c r="R111" s="15">
        <v>225351</v>
      </c>
      <c r="S111" s="15">
        <v>5086946</v>
      </c>
      <c r="T111" s="15">
        <v>5188753</v>
      </c>
      <c r="U111" s="15">
        <v>5086946</v>
      </c>
      <c r="V111" s="15">
        <v>5188753</v>
      </c>
      <c r="W111" s="15">
        <v>0</v>
      </c>
      <c r="X111" s="15">
        <v>0</v>
      </c>
      <c r="Y111" s="4">
        <v>447</v>
      </c>
      <c r="Z111" s="4">
        <v>450</v>
      </c>
      <c r="AA111" s="4">
        <v>0.67</v>
      </c>
      <c r="AB111" s="15">
        <v>690607</v>
      </c>
      <c r="AC111" s="15">
        <v>540000</v>
      </c>
      <c r="AD111" s="15">
        <v>640000</v>
      </c>
      <c r="AE111" s="15">
        <v>529000</v>
      </c>
      <c r="AF111" s="15">
        <v>540000</v>
      </c>
      <c r="AG111" s="15">
        <v>550000</v>
      </c>
      <c r="AH111" s="4">
        <v>3.94</v>
      </c>
      <c r="AI111" s="6">
        <v>3.87</v>
      </c>
    </row>
    <row r="112" spans="1:35" x14ac:dyDescent="0.25">
      <c r="A112" s="5" t="str">
        <f>"440201"</f>
        <v>440201</v>
      </c>
      <c r="B112" s="3" t="s">
        <v>369</v>
      </c>
      <c r="C112" s="15">
        <v>30826848</v>
      </c>
      <c r="D112" s="15">
        <v>32981536</v>
      </c>
      <c r="E112" s="4">
        <v>6.99</v>
      </c>
      <c r="F112" s="15">
        <v>18774962</v>
      </c>
      <c r="G112" s="15">
        <v>19329421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18774962</v>
      </c>
      <c r="O112" s="15">
        <v>19329421</v>
      </c>
      <c r="P112" s="4">
        <v>2.95</v>
      </c>
      <c r="Q112" s="15">
        <v>599052</v>
      </c>
      <c r="R112" s="15">
        <v>602229</v>
      </c>
      <c r="S112" s="15">
        <v>18175910</v>
      </c>
      <c r="T112" s="15">
        <v>18835431</v>
      </c>
      <c r="U112" s="15">
        <v>18175910</v>
      </c>
      <c r="V112" s="15">
        <v>18727192</v>
      </c>
      <c r="W112" s="15">
        <v>0</v>
      </c>
      <c r="X112" s="15">
        <v>108239</v>
      </c>
      <c r="Y112" s="4">
        <v>965</v>
      </c>
      <c r="Z112" s="4">
        <v>961</v>
      </c>
      <c r="AA112" s="4">
        <v>-0.41</v>
      </c>
      <c r="AB112" s="15">
        <v>2053575</v>
      </c>
      <c r="AC112" s="15">
        <v>3250000</v>
      </c>
      <c r="AD112" s="15">
        <v>900000</v>
      </c>
      <c r="AE112" s="15">
        <v>1000000</v>
      </c>
      <c r="AF112" s="15">
        <v>2622281</v>
      </c>
      <c r="AG112" s="15">
        <v>1320000</v>
      </c>
      <c r="AH112" s="4">
        <v>8.51</v>
      </c>
      <c r="AI112" s="6">
        <v>4</v>
      </c>
    </row>
    <row r="113" spans="1:35" x14ac:dyDescent="0.25">
      <c r="A113" s="5" t="str">
        <f>"251601"</f>
        <v>251601</v>
      </c>
      <c r="B113" s="3" t="s">
        <v>241</v>
      </c>
      <c r="C113" s="15">
        <v>42012243</v>
      </c>
      <c r="D113" s="15">
        <v>43019509</v>
      </c>
      <c r="E113" s="4">
        <v>2.4</v>
      </c>
      <c r="F113" s="15">
        <v>18882450</v>
      </c>
      <c r="G113" s="15">
        <v>19231775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18882450</v>
      </c>
      <c r="O113" s="15">
        <v>19231775</v>
      </c>
      <c r="P113" s="4">
        <v>1.85</v>
      </c>
      <c r="Q113" s="15">
        <v>497338</v>
      </c>
      <c r="R113" s="15">
        <v>332585</v>
      </c>
      <c r="S113" s="15">
        <v>18385112</v>
      </c>
      <c r="T113" s="15">
        <v>18899190</v>
      </c>
      <c r="U113" s="15">
        <v>18385112</v>
      </c>
      <c r="V113" s="15">
        <v>18899190</v>
      </c>
      <c r="W113" s="15">
        <v>0</v>
      </c>
      <c r="X113" s="15">
        <v>0</v>
      </c>
      <c r="Y113" s="4">
        <v>1878</v>
      </c>
      <c r="Z113" s="4">
        <v>1914</v>
      </c>
      <c r="AA113" s="4">
        <v>1.92</v>
      </c>
      <c r="AB113" s="15">
        <v>9593040</v>
      </c>
      <c r="AC113" s="15">
        <v>9596041</v>
      </c>
      <c r="AD113" s="15">
        <v>1241766</v>
      </c>
      <c r="AE113" s="15">
        <v>1371812</v>
      </c>
      <c r="AF113" s="15">
        <v>1680494</v>
      </c>
      <c r="AG113" s="15">
        <v>1699271</v>
      </c>
      <c r="AH113" s="4">
        <v>4</v>
      </c>
      <c r="AI113" s="6">
        <v>3.95</v>
      </c>
    </row>
    <row r="114" spans="1:35" x14ac:dyDescent="0.25">
      <c r="A114" s="5" t="str">
        <f>"261501"</f>
        <v>261501</v>
      </c>
      <c r="B114" s="3" t="s">
        <v>254</v>
      </c>
      <c r="C114" s="15">
        <v>91602093</v>
      </c>
      <c r="D114" s="15">
        <v>94760783</v>
      </c>
      <c r="E114" s="4">
        <v>3.45</v>
      </c>
      <c r="F114" s="15">
        <v>38979091</v>
      </c>
      <c r="G114" s="15">
        <v>40051206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38979091</v>
      </c>
      <c r="O114" s="15">
        <v>40051206</v>
      </c>
      <c r="P114" s="4">
        <v>2.75</v>
      </c>
      <c r="Q114" s="15">
        <v>0</v>
      </c>
      <c r="R114" s="15">
        <v>0</v>
      </c>
      <c r="S114" s="15">
        <v>39230983</v>
      </c>
      <c r="T114" s="15">
        <v>40661123</v>
      </c>
      <c r="U114" s="15">
        <v>38979091</v>
      </c>
      <c r="V114" s="15">
        <v>40051206</v>
      </c>
      <c r="W114" s="15">
        <v>251892</v>
      </c>
      <c r="X114" s="15">
        <v>609917</v>
      </c>
      <c r="Y114" s="4">
        <v>3676</v>
      </c>
      <c r="Z114" s="4">
        <v>3768</v>
      </c>
      <c r="AA114" s="4">
        <v>2.5</v>
      </c>
      <c r="AB114" s="15">
        <v>35681616</v>
      </c>
      <c r="AC114" s="15">
        <v>19744254</v>
      </c>
      <c r="AD114" s="15">
        <v>2464471</v>
      </c>
      <c r="AE114" s="15">
        <v>1662181</v>
      </c>
      <c r="AF114" s="15">
        <v>3663028</v>
      </c>
      <c r="AG114" s="15">
        <v>3790431</v>
      </c>
      <c r="AH114" s="4">
        <v>4</v>
      </c>
      <c r="AI114" s="6">
        <v>4</v>
      </c>
    </row>
    <row r="115" spans="1:35" x14ac:dyDescent="0.25">
      <c r="A115" s="5" t="str">
        <f>"110101"</f>
        <v>110101</v>
      </c>
      <c r="B115" s="3" t="s">
        <v>98</v>
      </c>
      <c r="C115" s="15">
        <v>17203633</v>
      </c>
      <c r="D115" s="15">
        <v>18083349</v>
      </c>
      <c r="E115" s="4">
        <v>5.1100000000000003</v>
      </c>
      <c r="F115" s="15">
        <v>3926815</v>
      </c>
      <c r="G115" s="15">
        <v>3966083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3926815</v>
      </c>
      <c r="O115" s="15">
        <v>3966083</v>
      </c>
      <c r="P115" s="4">
        <v>1</v>
      </c>
      <c r="Q115" s="15">
        <v>113114</v>
      </c>
      <c r="R115" s="15">
        <v>97473</v>
      </c>
      <c r="S115" s="15">
        <v>3813707</v>
      </c>
      <c r="T115" s="15">
        <v>3917332</v>
      </c>
      <c r="U115" s="15">
        <v>3813701</v>
      </c>
      <c r="V115" s="15">
        <v>3868610</v>
      </c>
      <c r="W115" s="15">
        <v>6</v>
      </c>
      <c r="X115" s="15">
        <v>48722</v>
      </c>
      <c r="Y115" s="4">
        <v>510</v>
      </c>
      <c r="Z115" s="4">
        <v>501</v>
      </c>
      <c r="AA115" s="4">
        <v>-1.76</v>
      </c>
      <c r="AB115" s="15">
        <v>2533609</v>
      </c>
      <c r="AC115" s="15">
        <v>2468727</v>
      </c>
      <c r="AD115" s="15">
        <v>480000</v>
      </c>
      <c r="AE115" s="15">
        <v>480000</v>
      </c>
      <c r="AF115" s="15">
        <v>688145</v>
      </c>
      <c r="AG115" s="15">
        <v>723333</v>
      </c>
      <c r="AH115" s="4">
        <v>4</v>
      </c>
      <c r="AI115" s="6">
        <v>4</v>
      </c>
    </row>
    <row r="116" spans="1:35" x14ac:dyDescent="0.25">
      <c r="A116" s="5" t="str">
        <f>"140801"</f>
        <v>140801</v>
      </c>
      <c r="B116" s="3" t="s">
        <v>138</v>
      </c>
      <c r="C116" s="15">
        <v>89563670</v>
      </c>
      <c r="D116" s="15">
        <v>89240716</v>
      </c>
      <c r="E116" s="4">
        <v>-0.36</v>
      </c>
      <c r="F116" s="15">
        <v>52394225</v>
      </c>
      <c r="G116" s="15">
        <v>53913000</v>
      </c>
      <c r="H116" s="15"/>
      <c r="I116" s="15"/>
      <c r="J116" s="15"/>
      <c r="K116" s="15"/>
      <c r="L116" s="15"/>
      <c r="M116" s="15"/>
      <c r="N116" s="15">
        <v>52394225</v>
      </c>
      <c r="O116" s="15">
        <v>53913000</v>
      </c>
      <c r="P116" s="4">
        <v>2.9</v>
      </c>
      <c r="Q116" s="15">
        <v>2725513</v>
      </c>
      <c r="R116" s="15">
        <v>2760092</v>
      </c>
      <c r="S116" s="15">
        <v>49668712</v>
      </c>
      <c r="T116" s="15">
        <v>51152908</v>
      </c>
      <c r="U116" s="15">
        <v>49668712</v>
      </c>
      <c r="V116" s="15">
        <v>51152908</v>
      </c>
      <c r="W116" s="15">
        <v>0</v>
      </c>
      <c r="X116" s="15">
        <v>0</v>
      </c>
      <c r="Y116" s="4">
        <v>4068</v>
      </c>
      <c r="Z116" s="4">
        <v>4072</v>
      </c>
      <c r="AA116" s="4">
        <v>0.1</v>
      </c>
      <c r="AB116" s="15">
        <v>2800000</v>
      </c>
      <c r="AC116" s="15">
        <v>3400000</v>
      </c>
      <c r="AD116" s="15">
        <v>2000000</v>
      </c>
      <c r="AE116" s="15">
        <v>2000000</v>
      </c>
      <c r="AF116" s="15">
        <v>9800000</v>
      </c>
      <c r="AG116" s="15">
        <v>3500000</v>
      </c>
      <c r="AH116" s="4">
        <v>10.94</v>
      </c>
      <c r="AI116" s="6">
        <v>3.92</v>
      </c>
    </row>
    <row r="117" spans="1:35" x14ac:dyDescent="0.25">
      <c r="A117" s="5" t="str">
        <f>"500101"</f>
        <v>500101</v>
      </c>
      <c r="B117" s="3" t="s">
        <v>430</v>
      </c>
      <c r="C117" s="15">
        <v>220799579</v>
      </c>
      <c r="D117" s="15">
        <v>230706739</v>
      </c>
      <c r="E117" s="4">
        <v>4.49</v>
      </c>
      <c r="F117" s="15">
        <v>173937224</v>
      </c>
      <c r="G117" s="15">
        <v>177359690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173937224</v>
      </c>
      <c r="O117" s="15">
        <v>177359690</v>
      </c>
      <c r="P117" s="4">
        <v>1.97</v>
      </c>
      <c r="Q117" s="15">
        <v>5170395</v>
      </c>
      <c r="R117" s="15">
        <v>4234737</v>
      </c>
      <c r="S117" s="15">
        <v>168766829</v>
      </c>
      <c r="T117" s="15">
        <v>173124953</v>
      </c>
      <c r="U117" s="15">
        <v>168766829</v>
      </c>
      <c r="V117" s="15">
        <v>173124953</v>
      </c>
      <c r="W117" s="15">
        <v>0</v>
      </c>
      <c r="X117" s="15">
        <v>0</v>
      </c>
      <c r="Y117" s="4">
        <v>7913</v>
      </c>
      <c r="Z117" s="4">
        <v>7931</v>
      </c>
      <c r="AA117" s="4">
        <v>0.23</v>
      </c>
      <c r="AB117" s="15">
        <v>25402034</v>
      </c>
      <c r="AC117" s="15">
        <v>25418668</v>
      </c>
      <c r="AD117" s="15">
        <v>264192</v>
      </c>
      <c r="AE117" s="15">
        <v>275000</v>
      </c>
      <c r="AF117" s="15">
        <v>8825132</v>
      </c>
      <c r="AG117" s="15">
        <v>9229872</v>
      </c>
      <c r="AH117" s="4">
        <v>4</v>
      </c>
      <c r="AI117" s="6">
        <v>4</v>
      </c>
    </row>
    <row r="118" spans="1:35" x14ac:dyDescent="0.25">
      <c r="A118" s="5" t="str">
        <f>"140703"</f>
        <v>140703</v>
      </c>
      <c r="B118" s="3" t="s">
        <v>135</v>
      </c>
      <c r="C118" s="15">
        <v>34045172</v>
      </c>
      <c r="D118" s="15">
        <v>35455618</v>
      </c>
      <c r="E118" s="4">
        <v>4.1399999999999997</v>
      </c>
      <c r="F118" s="15">
        <v>13258676</v>
      </c>
      <c r="G118" s="15">
        <v>13116808</v>
      </c>
      <c r="H118" s="15"/>
      <c r="I118" s="15"/>
      <c r="J118" s="15"/>
      <c r="K118" s="15"/>
      <c r="L118" s="15"/>
      <c r="M118" s="15"/>
      <c r="N118" s="15">
        <v>13258676</v>
      </c>
      <c r="O118" s="15">
        <v>13116808</v>
      </c>
      <c r="P118" s="4">
        <v>-1.07</v>
      </c>
      <c r="Q118" s="15">
        <v>0</v>
      </c>
      <c r="R118" s="15">
        <v>0</v>
      </c>
      <c r="S118" s="15">
        <v>13563119</v>
      </c>
      <c r="T118" s="15">
        <v>13736763</v>
      </c>
      <c r="U118" s="15">
        <v>13258676</v>
      </c>
      <c r="V118" s="15">
        <v>13116808</v>
      </c>
      <c r="W118" s="15">
        <v>304443</v>
      </c>
      <c r="X118" s="15">
        <v>619955</v>
      </c>
      <c r="Y118" s="4">
        <v>1380</v>
      </c>
      <c r="Z118" s="4">
        <v>1390</v>
      </c>
      <c r="AA118" s="4">
        <v>0.72</v>
      </c>
      <c r="AB118" s="15">
        <v>11800555</v>
      </c>
      <c r="AC118" s="15">
        <v>13724241</v>
      </c>
      <c r="AD118" s="15">
        <v>3339400</v>
      </c>
      <c r="AE118" s="15">
        <v>2723150</v>
      </c>
      <c r="AF118" s="15">
        <v>1803286</v>
      </c>
      <c r="AG118" s="15">
        <v>1418391</v>
      </c>
      <c r="AH118" s="4">
        <v>5.3</v>
      </c>
      <c r="AI118" s="6">
        <v>4</v>
      </c>
    </row>
    <row r="119" spans="1:35" x14ac:dyDescent="0.25">
      <c r="A119" s="5" t="str">
        <f>"510401"</f>
        <v>510401</v>
      </c>
      <c r="B119" s="3" t="s">
        <v>440</v>
      </c>
      <c r="C119" s="15">
        <v>11345218</v>
      </c>
      <c r="D119" s="15">
        <v>11483640</v>
      </c>
      <c r="E119" s="4">
        <v>1.22</v>
      </c>
      <c r="F119" s="15">
        <v>4332178</v>
      </c>
      <c r="G119" s="15">
        <v>4375500</v>
      </c>
      <c r="H119" s="15"/>
      <c r="I119" s="15"/>
      <c r="J119" s="15"/>
      <c r="K119" s="15"/>
      <c r="L119" s="15"/>
      <c r="M119" s="15"/>
      <c r="N119" s="15">
        <v>4332178</v>
      </c>
      <c r="O119" s="15">
        <v>4375500</v>
      </c>
      <c r="P119" s="4">
        <v>1</v>
      </c>
      <c r="Q119" s="15">
        <v>169535</v>
      </c>
      <c r="R119" s="15">
        <v>206567</v>
      </c>
      <c r="S119" s="15">
        <v>4162643</v>
      </c>
      <c r="T119" s="15">
        <v>4259594</v>
      </c>
      <c r="U119" s="15">
        <v>4162643</v>
      </c>
      <c r="V119" s="15">
        <v>4168933</v>
      </c>
      <c r="W119" s="15">
        <v>0</v>
      </c>
      <c r="X119" s="15">
        <v>90661</v>
      </c>
      <c r="Y119" s="4">
        <v>280</v>
      </c>
      <c r="Z119" s="4">
        <v>265</v>
      </c>
      <c r="AA119" s="4">
        <v>-5.36</v>
      </c>
      <c r="AB119" s="15">
        <v>2459146</v>
      </c>
      <c r="AC119" s="15">
        <v>3069387</v>
      </c>
      <c r="AD119" s="15">
        <v>1000000</v>
      </c>
      <c r="AE119" s="15">
        <v>1023661</v>
      </c>
      <c r="AF119" s="15">
        <v>1978896</v>
      </c>
      <c r="AG119" s="15">
        <v>1148364</v>
      </c>
      <c r="AH119" s="4">
        <v>17.440000000000001</v>
      </c>
      <c r="AI119" s="6">
        <v>10</v>
      </c>
    </row>
    <row r="120" spans="1:35" x14ac:dyDescent="0.25">
      <c r="A120" s="5" t="str">
        <f>"411101"</f>
        <v>411101</v>
      </c>
      <c r="B120" s="3" t="s">
        <v>329</v>
      </c>
      <c r="C120" s="15">
        <v>29147253</v>
      </c>
      <c r="D120" s="15">
        <v>29800950</v>
      </c>
      <c r="E120" s="4">
        <v>2.2400000000000002</v>
      </c>
      <c r="F120" s="15">
        <v>15997529</v>
      </c>
      <c r="G120" s="15">
        <v>16330759</v>
      </c>
      <c r="H120" s="15">
        <v>324784</v>
      </c>
      <c r="I120" s="15">
        <v>331279</v>
      </c>
      <c r="J120" s="15"/>
      <c r="K120" s="15"/>
      <c r="L120" s="15"/>
      <c r="M120" s="15"/>
      <c r="N120" s="15">
        <v>16322313</v>
      </c>
      <c r="O120" s="15">
        <v>16662038</v>
      </c>
      <c r="P120" s="4">
        <v>2.08</v>
      </c>
      <c r="Q120" s="15">
        <v>404405</v>
      </c>
      <c r="R120" s="15">
        <v>387433</v>
      </c>
      <c r="S120" s="15">
        <v>15593124</v>
      </c>
      <c r="T120" s="15">
        <v>15943326</v>
      </c>
      <c r="U120" s="15">
        <v>15593124</v>
      </c>
      <c r="V120" s="15">
        <v>15943326</v>
      </c>
      <c r="W120" s="15">
        <v>0</v>
      </c>
      <c r="X120" s="15">
        <v>0</v>
      </c>
      <c r="Y120" s="4">
        <v>1269</v>
      </c>
      <c r="Z120" s="4">
        <v>1282</v>
      </c>
      <c r="AA120" s="4">
        <v>1.02</v>
      </c>
      <c r="AB120" s="15">
        <v>10194896</v>
      </c>
      <c r="AC120" s="15">
        <v>10923828</v>
      </c>
      <c r="AD120" s="15">
        <v>550000</v>
      </c>
      <c r="AE120" s="15">
        <v>550000</v>
      </c>
      <c r="AF120" s="15">
        <v>1165889</v>
      </c>
      <c r="AG120" s="15">
        <v>1192038</v>
      </c>
      <c r="AH120" s="4">
        <v>4</v>
      </c>
      <c r="AI120" s="6">
        <v>4</v>
      </c>
    </row>
    <row r="121" spans="1:35" x14ac:dyDescent="0.25">
      <c r="A121" s="5" t="str">
        <f>"650301"</f>
        <v>650301</v>
      </c>
      <c r="B121" s="3" t="s">
        <v>615</v>
      </c>
      <c r="C121" s="15">
        <v>23762120</v>
      </c>
      <c r="D121" s="15">
        <v>25360260</v>
      </c>
      <c r="E121" s="4">
        <v>6.73</v>
      </c>
      <c r="F121" s="15">
        <v>5165959</v>
      </c>
      <c r="G121" s="15">
        <v>5269278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5165959</v>
      </c>
      <c r="O121" s="15">
        <v>5269278</v>
      </c>
      <c r="P121" s="4">
        <v>2</v>
      </c>
      <c r="Q121" s="15">
        <v>0</v>
      </c>
      <c r="R121" s="15">
        <v>0</v>
      </c>
      <c r="S121" s="15">
        <v>5271614</v>
      </c>
      <c r="T121" s="15">
        <v>5365421</v>
      </c>
      <c r="U121" s="15">
        <v>5165959</v>
      </c>
      <c r="V121" s="15">
        <v>5269278</v>
      </c>
      <c r="W121" s="15">
        <v>105655</v>
      </c>
      <c r="X121" s="15">
        <v>96143</v>
      </c>
      <c r="Y121" s="4">
        <v>759</v>
      </c>
      <c r="Z121" s="4">
        <v>775</v>
      </c>
      <c r="AA121" s="4">
        <v>2.11</v>
      </c>
      <c r="AB121" s="15">
        <v>5486781</v>
      </c>
      <c r="AC121" s="15">
        <v>7386781</v>
      </c>
      <c r="AD121" s="15">
        <v>300000</v>
      </c>
      <c r="AE121" s="15">
        <v>300000</v>
      </c>
      <c r="AF121" s="15">
        <v>950485</v>
      </c>
      <c r="AG121" s="15">
        <v>1014410</v>
      </c>
      <c r="AH121" s="4">
        <v>4</v>
      </c>
      <c r="AI121" s="6">
        <v>4</v>
      </c>
    </row>
    <row r="122" spans="1:35" x14ac:dyDescent="0.25">
      <c r="A122" s="5" t="str">
        <f>"060701"</f>
        <v>060701</v>
      </c>
      <c r="B122" s="3" t="s">
        <v>60</v>
      </c>
      <c r="C122" s="15">
        <v>11492368</v>
      </c>
      <c r="D122" s="15">
        <v>11729461</v>
      </c>
      <c r="E122" s="4">
        <v>2.06</v>
      </c>
      <c r="F122" s="15">
        <v>4787950</v>
      </c>
      <c r="G122" s="15">
        <v>4993229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4787950</v>
      </c>
      <c r="O122" s="15">
        <v>4993229</v>
      </c>
      <c r="P122" s="4">
        <v>4.29</v>
      </c>
      <c r="Q122" s="15">
        <v>209066</v>
      </c>
      <c r="R122" s="15">
        <v>263651</v>
      </c>
      <c r="S122" s="15">
        <v>4578884</v>
      </c>
      <c r="T122" s="15">
        <v>4729578</v>
      </c>
      <c r="U122" s="15">
        <v>4578884</v>
      </c>
      <c r="V122" s="15">
        <v>4729578</v>
      </c>
      <c r="W122" s="15">
        <v>0</v>
      </c>
      <c r="X122" s="15">
        <v>0</v>
      </c>
      <c r="Y122" s="4">
        <v>384</v>
      </c>
      <c r="Z122" s="4">
        <v>373</v>
      </c>
      <c r="AA122" s="4">
        <v>-2.86</v>
      </c>
      <c r="AB122" s="15">
        <v>1080444</v>
      </c>
      <c r="AC122" s="15">
        <v>1383174</v>
      </c>
      <c r="AD122" s="15">
        <v>184480</v>
      </c>
      <c r="AE122" s="15">
        <v>445425</v>
      </c>
      <c r="AF122" s="15">
        <v>757176</v>
      </c>
      <c r="AG122" s="15">
        <v>468698</v>
      </c>
      <c r="AH122" s="4">
        <v>6.59</v>
      </c>
      <c r="AI122" s="6">
        <v>4</v>
      </c>
    </row>
    <row r="123" spans="1:35" x14ac:dyDescent="0.25">
      <c r="A123" s="5" t="str">
        <f>"541102"</f>
        <v>541102</v>
      </c>
      <c r="B123" s="3" t="s">
        <v>476</v>
      </c>
      <c r="C123" s="15">
        <v>43140237</v>
      </c>
      <c r="D123" s="15">
        <v>44905477</v>
      </c>
      <c r="E123" s="4">
        <v>4.09</v>
      </c>
      <c r="F123" s="15">
        <v>16734916</v>
      </c>
      <c r="G123" s="15">
        <v>17151174</v>
      </c>
      <c r="H123" s="15">
        <v>119744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16854660</v>
      </c>
      <c r="O123" s="15">
        <v>17151174</v>
      </c>
      <c r="P123" s="4">
        <v>1.76</v>
      </c>
      <c r="Q123" s="15">
        <v>1097140</v>
      </c>
      <c r="R123" s="15">
        <v>982429</v>
      </c>
      <c r="S123" s="15">
        <v>15708429</v>
      </c>
      <c r="T123" s="15">
        <v>16168745</v>
      </c>
      <c r="U123" s="15">
        <v>15637776</v>
      </c>
      <c r="V123" s="15">
        <v>16168745</v>
      </c>
      <c r="W123" s="15">
        <v>70653</v>
      </c>
      <c r="X123" s="15">
        <v>0</v>
      </c>
      <c r="Y123" s="4">
        <v>1575</v>
      </c>
      <c r="Z123" s="4">
        <v>1581</v>
      </c>
      <c r="AA123" s="4">
        <v>0.38</v>
      </c>
      <c r="AB123" s="15">
        <v>7233445</v>
      </c>
      <c r="AC123" s="15">
        <v>12082910</v>
      </c>
      <c r="AD123" s="15">
        <v>1504174</v>
      </c>
      <c r="AE123" s="15">
        <v>2000000</v>
      </c>
      <c r="AF123" s="15">
        <v>6089743</v>
      </c>
      <c r="AG123" s="15">
        <v>2605865</v>
      </c>
      <c r="AH123" s="4">
        <v>14.12</v>
      </c>
      <c r="AI123" s="6">
        <v>5.8</v>
      </c>
    </row>
    <row r="124" spans="1:35" x14ac:dyDescent="0.25">
      <c r="A124" s="5" t="str">
        <f>"010500"</f>
        <v>010500</v>
      </c>
      <c r="B124" s="3" t="s">
        <v>4</v>
      </c>
      <c r="C124" s="15">
        <v>43636917</v>
      </c>
      <c r="D124" s="15">
        <v>47000525</v>
      </c>
      <c r="E124" s="4">
        <v>7.71</v>
      </c>
      <c r="F124" s="15">
        <v>17089321</v>
      </c>
      <c r="G124" s="15">
        <v>16911647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17089321</v>
      </c>
      <c r="O124" s="15">
        <v>16911647</v>
      </c>
      <c r="P124" s="4">
        <v>-1.04</v>
      </c>
      <c r="Q124" s="15">
        <v>144229</v>
      </c>
      <c r="R124" s="15">
        <v>83612</v>
      </c>
      <c r="S124" s="15">
        <v>16945092</v>
      </c>
      <c r="T124" s="15">
        <v>16828035</v>
      </c>
      <c r="U124" s="15">
        <v>16945092</v>
      </c>
      <c r="V124" s="15">
        <v>16828035</v>
      </c>
      <c r="W124" s="15">
        <v>0</v>
      </c>
      <c r="X124" s="15">
        <v>0</v>
      </c>
      <c r="Y124" s="4">
        <v>1950</v>
      </c>
      <c r="Z124" s="4">
        <v>1975</v>
      </c>
      <c r="AA124" s="4">
        <v>1.28</v>
      </c>
      <c r="AB124" s="15">
        <v>103442</v>
      </c>
      <c r="AC124" s="15">
        <v>150000</v>
      </c>
      <c r="AD124" s="15">
        <v>116989</v>
      </c>
      <c r="AE124" s="15">
        <v>0</v>
      </c>
      <c r="AF124" s="15">
        <v>4625146</v>
      </c>
      <c r="AG124" s="15">
        <v>2225000</v>
      </c>
      <c r="AH124" s="4">
        <v>10.6</v>
      </c>
      <c r="AI124" s="6">
        <v>4.7300000000000004</v>
      </c>
    </row>
    <row r="125" spans="1:35" x14ac:dyDescent="0.25">
      <c r="A125" s="5" t="str">
        <f>"580402"</f>
        <v>580402</v>
      </c>
      <c r="B125" s="3" t="s">
        <v>527</v>
      </c>
      <c r="C125" s="15">
        <v>72017418</v>
      </c>
      <c r="D125" s="15">
        <v>73420423</v>
      </c>
      <c r="E125" s="4">
        <v>1.95</v>
      </c>
      <c r="F125" s="15">
        <v>66475936</v>
      </c>
      <c r="G125" s="15">
        <v>67565094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66475936</v>
      </c>
      <c r="O125" s="15">
        <v>67565094</v>
      </c>
      <c r="P125" s="4">
        <v>1.64</v>
      </c>
      <c r="Q125" s="15">
        <v>3300890</v>
      </c>
      <c r="R125" s="15">
        <v>3300611</v>
      </c>
      <c r="S125" s="15">
        <v>63175046</v>
      </c>
      <c r="T125" s="15">
        <v>64909933</v>
      </c>
      <c r="U125" s="15">
        <v>63175046</v>
      </c>
      <c r="V125" s="15">
        <v>64264483</v>
      </c>
      <c r="W125" s="15">
        <v>0</v>
      </c>
      <c r="X125" s="15">
        <v>645450</v>
      </c>
      <c r="Y125" s="4">
        <v>1631</v>
      </c>
      <c r="Z125" s="4">
        <v>1594</v>
      </c>
      <c r="AA125" s="4">
        <v>-2.27</v>
      </c>
      <c r="AB125" s="15">
        <v>20317558</v>
      </c>
      <c r="AC125" s="15">
        <v>23866833</v>
      </c>
      <c r="AD125" s="15">
        <v>720000</v>
      </c>
      <c r="AE125" s="15">
        <v>720000</v>
      </c>
      <c r="AF125" s="15">
        <v>2880696</v>
      </c>
      <c r="AG125" s="15">
        <v>2936817</v>
      </c>
      <c r="AH125" s="4">
        <v>4</v>
      </c>
      <c r="AI125" s="6">
        <v>4</v>
      </c>
    </row>
    <row r="126" spans="1:35" x14ac:dyDescent="0.25">
      <c r="A126" s="5" t="str">
        <f>"510501"</f>
        <v>510501</v>
      </c>
      <c r="B126" s="3" t="s">
        <v>441</v>
      </c>
      <c r="C126" s="15">
        <v>11105716</v>
      </c>
      <c r="D126" s="15">
        <v>11547150</v>
      </c>
      <c r="E126" s="4">
        <v>3.97</v>
      </c>
      <c r="F126" s="15">
        <v>7840259</v>
      </c>
      <c r="G126" s="15">
        <v>8043159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7840259</v>
      </c>
      <c r="O126" s="15">
        <v>8043159</v>
      </c>
      <c r="P126" s="4">
        <v>2.59</v>
      </c>
      <c r="Q126" s="15">
        <v>495289</v>
      </c>
      <c r="R126" s="15">
        <v>524088</v>
      </c>
      <c r="S126" s="15">
        <v>7344970</v>
      </c>
      <c r="T126" s="15">
        <v>7519071</v>
      </c>
      <c r="U126" s="15">
        <v>7344970</v>
      </c>
      <c r="V126" s="15">
        <v>7519071</v>
      </c>
      <c r="W126" s="15">
        <v>0</v>
      </c>
      <c r="X126" s="15">
        <v>0</v>
      </c>
      <c r="Y126" s="4">
        <v>370</v>
      </c>
      <c r="Z126" s="4">
        <v>373</v>
      </c>
      <c r="AA126" s="4">
        <v>0.81</v>
      </c>
      <c r="AB126" s="15">
        <v>4982689</v>
      </c>
      <c r="AC126" s="15">
        <v>5855471</v>
      </c>
      <c r="AD126" s="15">
        <v>168037</v>
      </c>
      <c r="AE126" s="15">
        <v>0</v>
      </c>
      <c r="AF126" s="15">
        <v>57163</v>
      </c>
      <c r="AG126" s="15">
        <v>100000</v>
      </c>
      <c r="AH126" s="4">
        <v>0.51</v>
      </c>
      <c r="AI126" s="6">
        <v>0.87</v>
      </c>
    </row>
    <row r="127" spans="1:35" x14ac:dyDescent="0.25">
      <c r="A127" s="5" t="str">
        <f>"580410"</f>
        <v>580410</v>
      </c>
      <c r="B127" s="3" t="s">
        <v>532</v>
      </c>
      <c r="C127" s="15">
        <v>205126576</v>
      </c>
      <c r="D127" s="15">
        <v>214645327</v>
      </c>
      <c r="E127" s="4">
        <v>4.6399999999999997</v>
      </c>
      <c r="F127" s="15">
        <v>146818484</v>
      </c>
      <c r="G127" s="15">
        <v>149681444</v>
      </c>
      <c r="H127" s="15"/>
      <c r="I127" s="15"/>
      <c r="J127" s="15"/>
      <c r="K127" s="15"/>
      <c r="L127" s="15"/>
      <c r="M127" s="15"/>
      <c r="N127" s="15">
        <v>146818484</v>
      </c>
      <c r="O127" s="15">
        <v>149681444</v>
      </c>
      <c r="P127" s="4">
        <v>1.95</v>
      </c>
      <c r="Q127" s="15">
        <v>7511742</v>
      </c>
      <c r="R127" s="15">
        <v>10453580</v>
      </c>
      <c r="S127" s="15">
        <v>141247968</v>
      </c>
      <c r="T127" s="15">
        <v>152426032</v>
      </c>
      <c r="U127" s="15">
        <v>139306742</v>
      </c>
      <c r="V127" s="15">
        <v>139227864</v>
      </c>
      <c r="W127" s="15">
        <v>1941226</v>
      </c>
      <c r="X127" s="15">
        <v>13198168</v>
      </c>
      <c r="Y127" s="4">
        <v>5625</v>
      </c>
      <c r="Z127" s="4">
        <v>5467</v>
      </c>
      <c r="AA127" s="4">
        <v>-2.81</v>
      </c>
      <c r="AB127" s="15">
        <v>11706215</v>
      </c>
      <c r="AC127" s="15">
        <v>9806215</v>
      </c>
      <c r="AD127" s="15">
        <v>10395620</v>
      </c>
      <c r="AE127" s="15">
        <v>13960813</v>
      </c>
      <c r="AF127" s="15">
        <v>8155062</v>
      </c>
      <c r="AG127" s="15">
        <v>8200000</v>
      </c>
      <c r="AH127" s="4">
        <v>3.98</v>
      </c>
      <c r="AI127" s="6">
        <v>3.82</v>
      </c>
    </row>
    <row r="128" spans="1:35" x14ac:dyDescent="0.25">
      <c r="A128" s="5" t="str">
        <f>"580507"</f>
        <v>580507</v>
      </c>
      <c r="B128" s="3" t="s">
        <v>540</v>
      </c>
      <c r="C128" s="15">
        <v>203581707</v>
      </c>
      <c r="D128" s="15">
        <v>207420876</v>
      </c>
      <c r="E128" s="4">
        <v>1.89</v>
      </c>
      <c r="F128" s="15">
        <v>132245824</v>
      </c>
      <c r="G128" s="15">
        <v>134875000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132245824</v>
      </c>
      <c r="O128" s="15">
        <v>134875000</v>
      </c>
      <c r="P128" s="4">
        <v>1.99</v>
      </c>
      <c r="Q128" s="15">
        <v>3091666</v>
      </c>
      <c r="R128" s="15">
        <v>2821170</v>
      </c>
      <c r="S128" s="15">
        <v>130334505</v>
      </c>
      <c r="T128" s="15">
        <v>132225843</v>
      </c>
      <c r="U128" s="15">
        <v>129154158</v>
      </c>
      <c r="V128" s="15">
        <v>132053830</v>
      </c>
      <c r="W128" s="15">
        <v>1180347</v>
      </c>
      <c r="X128" s="15">
        <v>172013</v>
      </c>
      <c r="Y128" s="4">
        <v>5088</v>
      </c>
      <c r="Z128" s="4">
        <v>5283</v>
      </c>
      <c r="AA128" s="4">
        <v>3.83</v>
      </c>
      <c r="AB128" s="15">
        <v>31176223</v>
      </c>
      <c r="AC128" s="15">
        <v>16307240</v>
      </c>
      <c r="AD128" s="15">
        <v>4458874</v>
      </c>
      <c r="AE128" s="15">
        <v>5731216</v>
      </c>
      <c r="AF128" s="15">
        <v>10112334</v>
      </c>
      <c r="AG128" s="15">
        <v>4381118</v>
      </c>
      <c r="AH128" s="4">
        <v>4.97</v>
      </c>
      <c r="AI128" s="6">
        <v>2.11</v>
      </c>
    </row>
    <row r="129" spans="1:35" x14ac:dyDescent="0.25">
      <c r="A129" s="5" t="str">
        <f>"471701"</f>
        <v>471701</v>
      </c>
      <c r="B129" s="3" t="s">
        <v>407</v>
      </c>
      <c r="C129" s="15">
        <v>20911064</v>
      </c>
      <c r="D129" s="15">
        <v>21917107</v>
      </c>
      <c r="E129" s="4">
        <v>4.8099999999999996</v>
      </c>
      <c r="F129" s="15">
        <v>12649890</v>
      </c>
      <c r="G129" s="15">
        <v>12971692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12649890</v>
      </c>
      <c r="O129" s="15">
        <v>12971692</v>
      </c>
      <c r="P129" s="4">
        <v>2.54</v>
      </c>
      <c r="Q129" s="15">
        <v>714924</v>
      </c>
      <c r="R129" s="15">
        <v>715842</v>
      </c>
      <c r="S129" s="15">
        <v>11934967</v>
      </c>
      <c r="T129" s="15">
        <v>12255851</v>
      </c>
      <c r="U129" s="15">
        <v>11934966</v>
      </c>
      <c r="V129" s="15">
        <v>12255850</v>
      </c>
      <c r="W129" s="15">
        <v>1</v>
      </c>
      <c r="X129" s="15">
        <v>1</v>
      </c>
      <c r="Y129" s="4">
        <v>780</v>
      </c>
      <c r="Z129" s="4">
        <v>820</v>
      </c>
      <c r="AA129" s="4">
        <v>5.13</v>
      </c>
      <c r="AB129" s="15">
        <v>2939182</v>
      </c>
      <c r="AC129" s="15">
        <v>2939643</v>
      </c>
      <c r="AD129" s="15">
        <v>500000</v>
      </c>
      <c r="AE129" s="15">
        <v>1500000</v>
      </c>
      <c r="AF129" s="15">
        <v>1582952</v>
      </c>
      <c r="AG129" s="15">
        <v>876684</v>
      </c>
      <c r="AH129" s="4">
        <v>7.57</v>
      </c>
      <c r="AI129" s="6">
        <v>4</v>
      </c>
    </row>
    <row r="130" spans="1:35" x14ac:dyDescent="0.25">
      <c r="A130" s="5" t="str">
        <f>"230201"</f>
        <v>230201</v>
      </c>
      <c r="B130" s="3" t="s">
        <v>219</v>
      </c>
      <c r="C130" s="15">
        <v>11674922</v>
      </c>
      <c r="D130" s="15">
        <v>11985523</v>
      </c>
      <c r="E130" s="4">
        <v>2.66</v>
      </c>
      <c r="F130" s="15">
        <v>1788462</v>
      </c>
      <c r="G130" s="15">
        <v>1806346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1788462</v>
      </c>
      <c r="O130" s="15">
        <v>1806346</v>
      </c>
      <c r="P130" s="4">
        <v>1</v>
      </c>
      <c r="Q130" s="15">
        <v>249621</v>
      </c>
      <c r="R130" s="15">
        <v>314557</v>
      </c>
      <c r="S130" s="15">
        <v>1568385</v>
      </c>
      <c r="T130" s="15">
        <v>1419005</v>
      </c>
      <c r="U130" s="15">
        <v>1538841</v>
      </c>
      <c r="V130" s="15">
        <v>1491789</v>
      </c>
      <c r="W130" s="15">
        <v>29544</v>
      </c>
      <c r="X130" s="15">
        <v>-72784</v>
      </c>
      <c r="Y130" s="4">
        <v>475</v>
      </c>
      <c r="Z130" s="4">
        <v>480</v>
      </c>
      <c r="AA130" s="4">
        <v>1.05</v>
      </c>
      <c r="AB130" s="15">
        <v>1382662</v>
      </c>
      <c r="AC130" s="15">
        <v>1953236</v>
      </c>
      <c r="AD130" s="15">
        <v>814679</v>
      </c>
      <c r="AE130" s="15">
        <v>801470</v>
      </c>
      <c r="AF130" s="15">
        <v>1267877</v>
      </c>
      <c r="AG130" s="15">
        <v>719049</v>
      </c>
      <c r="AH130" s="4">
        <v>10.86</v>
      </c>
      <c r="AI130" s="6">
        <v>6</v>
      </c>
    </row>
    <row r="131" spans="1:35" x14ac:dyDescent="0.25">
      <c r="A131" s="5" t="str">
        <f>"580105"</f>
        <v>580105</v>
      </c>
      <c r="B131" s="3" t="s">
        <v>502</v>
      </c>
      <c r="C131" s="15">
        <v>141972939</v>
      </c>
      <c r="D131" s="15">
        <v>162431470</v>
      </c>
      <c r="E131" s="4">
        <v>14.41</v>
      </c>
      <c r="F131" s="15">
        <v>65969331</v>
      </c>
      <c r="G131" s="15">
        <v>65969331</v>
      </c>
      <c r="H131" s="15"/>
      <c r="I131" s="15"/>
      <c r="J131" s="15"/>
      <c r="K131" s="15"/>
      <c r="L131" s="15"/>
      <c r="M131" s="15"/>
      <c r="N131" s="15">
        <v>65969331</v>
      </c>
      <c r="O131" s="15">
        <v>65969331</v>
      </c>
      <c r="P131" s="4">
        <v>0</v>
      </c>
      <c r="Q131" s="15">
        <v>1737933</v>
      </c>
      <c r="R131" s="15">
        <v>2535643</v>
      </c>
      <c r="S131" s="15">
        <v>65231398</v>
      </c>
      <c r="T131" s="15">
        <v>65813100</v>
      </c>
      <c r="U131" s="15">
        <v>64231398</v>
      </c>
      <c r="V131" s="15">
        <v>63433688</v>
      </c>
      <c r="W131" s="15">
        <v>1000000</v>
      </c>
      <c r="X131" s="15">
        <v>2379412</v>
      </c>
      <c r="Y131" s="4">
        <v>4728</v>
      </c>
      <c r="Z131" s="4">
        <v>4693</v>
      </c>
      <c r="AA131" s="4">
        <v>-0.74</v>
      </c>
      <c r="AB131" s="15">
        <v>15078980</v>
      </c>
      <c r="AC131" s="15">
        <v>16178980</v>
      </c>
      <c r="AD131" s="15">
        <v>0</v>
      </c>
      <c r="AE131" s="15">
        <v>10000000</v>
      </c>
      <c r="AF131" s="15">
        <v>8738891</v>
      </c>
      <c r="AG131" s="15">
        <v>3253724</v>
      </c>
      <c r="AH131" s="4">
        <v>6.16</v>
      </c>
      <c r="AI131" s="6">
        <v>2</v>
      </c>
    </row>
    <row r="132" spans="1:35" x14ac:dyDescent="0.25">
      <c r="A132" s="5" t="str">
        <f>"520401"</f>
        <v>520401</v>
      </c>
      <c r="B132" s="3" t="s">
        <v>457</v>
      </c>
      <c r="C132" s="15">
        <v>23193495</v>
      </c>
      <c r="D132" s="15">
        <v>23929110</v>
      </c>
      <c r="E132" s="4">
        <v>3.17</v>
      </c>
      <c r="F132" s="15">
        <v>9750000</v>
      </c>
      <c r="G132" s="15">
        <v>10000000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9750000</v>
      </c>
      <c r="O132" s="15">
        <v>10000000</v>
      </c>
      <c r="P132" s="4">
        <v>2.56</v>
      </c>
      <c r="Q132" s="15">
        <v>218782</v>
      </c>
      <c r="R132" s="15">
        <v>255465</v>
      </c>
      <c r="S132" s="15">
        <v>9550046</v>
      </c>
      <c r="T132" s="15">
        <v>9827359</v>
      </c>
      <c r="U132" s="15">
        <v>9531218</v>
      </c>
      <c r="V132" s="15">
        <v>9744535</v>
      </c>
      <c r="W132" s="15">
        <v>18828</v>
      </c>
      <c r="X132" s="15">
        <v>82824</v>
      </c>
      <c r="Y132" s="4">
        <v>1084</v>
      </c>
      <c r="Z132" s="4">
        <v>1110</v>
      </c>
      <c r="AA132" s="4">
        <v>2.4</v>
      </c>
      <c r="AB132" s="15">
        <v>5307586</v>
      </c>
      <c r="AC132" s="15">
        <v>6200000</v>
      </c>
      <c r="AD132" s="15">
        <v>44995</v>
      </c>
      <c r="AE132" s="15">
        <v>58000</v>
      </c>
      <c r="AF132" s="15">
        <v>2712605</v>
      </c>
      <c r="AG132" s="15">
        <v>2600000</v>
      </c>
      <c r="AH132" s="4">
        <v>11.7</v>
      </c>
      <c r="AI132" s="6">
        <v>10.87</v>
      </c>
    </row>
    <row r="133" spans="1:35" x14ac:dyDescent="0.25">
      <c r="A133" s="5" t="str">
        <f>"571000"</f>
        <v>571000</v>
      </c>
      <c r="B133" s="3" t="s">
        <v>490</v>
      </c>
      <c r="C133" s="15">
        <v>118111924</v>
      </c>
      <c r="D133" s="15">
        <v>122844885</v>
      </c>
      <c r="E133" s="4">
        <v>4.01</v>
      </c>
      <c r="F133" s="15">
        <v>54798428</v>
      </c>
      <c r="G133" s="15">
        <v>56252766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54798428</v>
      </c>
      <c r="O133" s="15">
        <v>56252766</v>
      </c>
      <c r="P133" s="4">
        <v>2.65</v>
      </c>
      <c r="Q133" s="15">
        <v>2431412</v>
      </c>
      <c r="R133" s="15">
        <v>2431412</v>
      </c>
      <c r="S133" s="15">
        <v>52367016</v>
      </c>
      <c r="T133" s="15">
        <v>53821354</v>
      </c>
      <c r="U133" s="15">
        <v>52367016</v>
      </c>
      <c r="V133" s="15">
        <v>53821354</v>
      </c>
      <c r="W133" s="15">
        <v>0</v>
      </c>
      <c r="X133" s="15">
        <v>0</v>
      </c>
      <c r="Y133" s="4">
        <v>4326</v>
      </c>
      <c r="Z133" s="4">
        <v>4363</v>
      </c>
      <c r="AA133" s="4">
        <v>0.86</v>
      </c>
      <c r="AB133" s="15">
        <v>12226244</v>
      </c>
      <c r="AC133" s="15">
        <v>13542528</v>
      </c>
      <c r="AD133" s="15">
        <v>1500000</v>
      </c>
      <c r="AE133" s="15">
        <v>1700000</v>
      </c>
      <c r="AF133" s="15">
        <v>4723690</v>
      </c>
      <c r="AG133" s="15">
        <v>4913795</v>
      </c>
      <c r="AH133" s="4">
        <v>4</v>
      </c>
      <c r="AI133" s="6">
        <v>4</v>
      </c>
    </row>
    <row r="134" spans="1:35" x14ac:dyDescent="0.25">
      <c r="A134" s="5" t="str">
        <f>"440301"</f>
        <v>440301</v>
      </c>
      <c r="B134" s="3" t="s">
        <v>370</v>
      </c>
      <c r="C134" s="15">
        <v>76636285</v>
      </c>
      <c r="D134" s="15">
        <v>81451598</v>
      </c>
      <c r="E134" s="4">
        <v>6.28</v>
      </c>
      <c r="F134" s="15">
        <v>50965243</v>
      </c>
      <c r="G134" s="15">
        <v>50965243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50965243</v>
      </c>
      <c r="O134" s="15">
        <v>50965243</v>
      </c>
      <c r="P134" s="4">
        <v>0</v>
      </c>
      <c r="Q134" s="15">
        <v>1553845</v>
      </c>
      <c r="R134" s="15">
        <v>2692018</v>
      </c>
      <c r="S134" s="15">
        <v>49886805</v>
      </c>
      <c r="T134" s="15">
        <v>50768716</v>
      </c>
      <c r="U134" s="15">
        <v>49411398</v>
      </c>
      <c r="V134" s="15">
        <v>48273225</v>
      </c>
      <c r="W134" s="15">
        <v>475407</v>
      </c>
      <c r="X134" s="15">
        <v>2495491</v>
      </c>
      <c r="Y134" s="4">
        <v>3125</v>
      </c>
      <c r="Z134" s="4">
        <v>3107</v>
      </c>
      <c r="AA134" s="4">
        <v>-0.57999999999999996</v>
      </c>
      <c r="AB134" s="15">
        <v>8297245</v>
      </c>
      <c r="AC134" s="15">
        <v>10786520</v>
      </c>
      <c r="AD134" s="15">
        <v>2754331</v>
      </c>
      <c r="AE134" s="15">
        <v>4582060</v>
      </c>
      <c r="AF134" s="15">
        <v>3065451</v>
      </c>
      <c r="AG134" s="15">
        <v>3258063</v>
      </c>
      <c r="AH134" s="4">
        <v>4</v>
      </c>
      <c r="AI134" s="6">
        <v>4</v>
      </c>
    </row>
    <row r="135" spans="1:35" x14ac:dyDescent="0.25">
      <c r="A135" s="5" t="str">
        <f>"110200"</f>
        <v>110200</v>
      </c>
      <c r="B135" s="3" t="s">
        <v>99</v>
      </c>
      <c r="C135" s="15">
        <v>50848256</v>
      </c>
      <c r="D135" s="15">
        <v>51565151</v>
      </c>
      <c r="E135" s="4">
        <v>1.41</v>
      </c>
      <c r="F135" s="15">
        <v>18107360</v>
      </c>
      <c r="G135" s="15">
        <v>18227859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18107360</v>
      </c>
      <c r="O135" s="15">
        <v>18227859</v>
      </c>
      <c r="P135" s="4">
        <v>0.67</v>
      </c>
      <c r="Q135" s="15">
        <v>748224</v>
      </c>
      <c r="R135" s="15">
        <v>529548</v>
      </c>
      <c r="S135" s="15">
        <v>17359136</v>
      </c>
      <c r="T135" s="15">
        <v>17698311</v>
      </c>
      <c r="U135" s="15">
        <v>17359136</v>
      </c>
      <c r="V135" s="15">
        <v>17698311</v>
      </c>
      <c r="W135" s="15">
        <v>0</v>
      </c>
      <c r="X135" s="15">
        <v>0</v>
      </c>
      <c r="Y135" s="4">
        <v>2054</v>
      </c>
      <c r="Z135" s="4">
        <v>1899</v>
      </c>
      <c r="AA135" s="4">
        <v>-7.55</v>
      </c>
      <c r="AB135" s="15">
        <v>6355350</v>
      </c>
      <c r="AC135" s="15">
        <v>5357795</v>
      </c>
      <c r="AD135" s="15">
        <v>308359</v>
      </c>
      <c r="AE135" s="15">
        <v>400000</v>
      </c>
      <c r="AF135" s="15">
        <v>2033633</v>
      </c>
      <c r="AG135" s="15">
        <v>1633633</v>
      </c>
      <c r="AH135" s="4">
        <v>4</v>
      </c>
      <c r="AI135" s="6">
        <v>3.17</v>
      </c>
    </row>
    <row r="136" spans="1:35" x14ac:dyDescent="0.25">
      <c r="A136" s="5" t="str">
        <f>"190501"</f>
        <v>190501</v>
      </c>
      <c r="B136" s="3" t="s">
        <v>188</v>
      </c>
      <c r="C136" s="15">
        <v>33999000</v>
      </c>
      <c r="D136" s="15">
        <v>34710768</v>
      </c>
      <c r="E136" s="4">
        <v>2.09</v>
      </c>
      <c r="F136" s="15">
        <v>18703341</v>
      </c>
      <c r="G136" s="15">
        <v>19248778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18703341</v>
      </c>
      <c r="O136" s="15">
        <v>19248778</v>
      </c>
      <c r="P136" s="4">
        <v>2.92</v>
      </c>
      <c r="Q136" s="15">
        <v>598805</v>
      </c>
      <c r="R136" s="15">
        <v>764677</v>
      </c>
      <c r="S136" s="15">
        <v>18104536</v>
      </c>
      <c r="T136" s="15">
        <v>18484101</v>
      </c>
      <c r="U136" s="15">
        <v>18104536</v>
      </c>
      <c r="V136" s="15">
        <v>18484101</v>
      </c>
      <c r="W136" s="15">
        <v>0</v>
      </c>
      <c r="X136" s="15">
        <v>0</v>
      </c>
      <c r="Y136" s="4">
        <v>1184</v>
      </c>
      <c r="Z136" s="4">
        <v>1188</v>
      </c>
      <c r="AA136" s="4">
        <v>0.34</v>
      </c>
      <c r="AB136" s="15">
        <v>2142017</v>
      </c>
      <c r="AC136" s="15">
        <v>3100000</v>
      </c>
      <c r="AD136" s="15">
        <v>1828000</v>
      </c>
      <c r="AE136" s="15">
        <v>1725000</v>
      </c>
      <c r="AF136" s="15">
        <v>3613799</v>
      </c>
      <c r="AG136" s="15">
        <v>3650000</v>
      </c>
      <c r="AH136" s="4">
        <v>10.63</v>
      </c>
      <c r="AI136" s="6">
        <v>10.52</v>
      </c>
    </row>
    <row r="137" spans="1:35" x14ac:dyDescent="0.25">
      <c r="A137" s="5" t="str">
        <f>"660202"</f>
        <v>660202</v>
      </c>
      <c r="B137" s="3" t="s">
        <v>627</v>
      </c>
      <c r="C137" s="15">
        <v>50775098</v>
      </c>
      <c r="D137" s="15">
        <v>52672111</v>
      </c>
      <c r="E137" s="4">
        <v>3.74</v>
      </c>
      <c r="F137" s="15">
        <v>41427807</v>
      </c>
      <c r="G137" s="15">
        <v>42221342</v>
      </c>
      <c r="H137" s="15"/>
      <c r="I137" s="15"/>
      <c r="J137" s="15"/>
      <c r="K137" s="15"/>
      <c r="L137" s="15"/>
      <c r="M137" s="15"/>
      <c r="N137" s="15">
        <v>41427807</v>
      </c>
      <c r="O137" s="15">
        <v>42221342</v>
      </c>
      <c r="P137" s="4">
        <v>1.92</v>
      </c>
      <c r="Q137" s="15">
        <v>2727385</v>
      </c>
      <c r="R137" s="15">
        <v>2641271</v>
      </c>
      <c r="S137" s="15">
        <v>38700422</v>
      </c>
      <c r="T137" s="15">
        <v>39580071</v>
      </c>
      <c r="U137" s="15">
        <v>38700422</v>
      </c>
      <c r="V137" s="15">
        <v>39580071</v>
      </c>
      <c r="W137" s="15">
        <v>0</v>
      </c>
      <c r="X137" s="15">
        <v>0</v>
      </c>
      <c r="Y137" s="4">
        <v>1513</v>
      </c>
      <c r="Z137" s="4">
        <v>1536</v>
      </c>
      <c r="AA137" s="4">
        <v>1.52</v>
      </c>
      <c r="AB137" s="15">
        <v>16080362</v>
      </c>
      <c r="AC137" s="15">
        <v>17335538</v>
      </c>
      <c r="AD137" s="15">
        <v>2950864</v>
      </c>
      <c r="AE137" s="15">
        <v>2522580</v>
      </c>
      <c r="AF137" s="15">
        <v>2031004</v>
      </c>
      <c r="AG137" s="15">
        <v>2106884</v>
      </c>
      <c r="AH137" s="4">
        <v>4</v>
      </c>
      <c r="AI137" s="6">
        <v>4</v>
      </c>
    </row>
    <row r="138" spans="1:35" x14ac:dyDescent="0.25">
      <c r="A138" s="5" t="str">
        <f>"150203"</f>
        <v>150203</v>
      </c>
      <c r="B138" s="3" t="s">
        <v>155</v>
      </c>
      <c r="C138" s="15">
        <v>7483444</v>
      </c>
      <c r="D138" s="15">
        <v>7967719</v>
      </c>
      <c r="E138" s="4">
        <v>6.47</v>
      </c>
      <c r="F138" s="15">
        <v>1723864</v>
      </c>
      <c r="G138" s="15">
        <v>1697795</v>
      </c>
      <c r="H138" s="15"/>
      <c r="I138" s="15"/>
      <c r="J138" s="15"/>
      <c r="K138" s="15"/>
      <c r="L138" s="15"/>
      <c r="M138" s="15"/>
      <c r="N138" s="15">
        <v>1723864</v>
      </c>
      <c r="O138" s="15">
        <v>1697795</v>
      </c>
      <c r="P138" s="4">
        <v>-1.51</v>
      </c>
      <c r="Q138" s="15">
        <v>72470</v>
      </c>
      <c r="R138" s="15">
        <v>6691</v>
      </c>
      <c r="S138" s="15">
        <v>1775460</v>
      </c>
      <c r="T138" s="15">
        <v>1697795</v>
      </c>
      <c r="U138" s="15">
        <v>1651394</v>
      </c>
      <c r="V138" s="15">
        <v>1691104</v>
      </c>
      <c r="W138" s="15">
        <v>124066</v>
      </c>
      <c r="X138" s="15">
        <v>6691</v>
      </c>
      <c r="Y138" s="4">
        <v>321</v>
      </c>
      <c r="Z138" s="4">
        <v>324</v>
      </c>
      <c r="AA138" s="4">
        <v>0.93</v>
      </c>
      <c r="AB138" s="15">
        <v>27171</v>
      </c>
      <c r="AC138" s="15">
        <v>25000</v>
      </c>
      <c r="AD138" s="15">
        <v>102733</v>
      </c>
      <c r="AE138" s="15">
        <v>380665</v>
      </c>
      <c r="AF138" s="15">
        <v>1004783</v>
      </c>
      <c r="AG138" s="15">
        <v>750000</v>
      </c>
      <c r="AH138" s="4">
        <v>13.43</v>
      </c>
      <c r="AI138" s="6">
        <v>9.41</v>
      </c>
    </row>
    <row r="139" spans="1:35" x14ac:dyDescent="0.25">
      <c r="A139" s="5" t="str">
        <f>"022302"</f>
        <v>022302</v>
      </c>
      <c r="B139" s="3" t="s">
        <v>20</v>
      </c>
      <c r="C139" s="15">
        <v>23980195</v>
      </c>
      <c r="D139" s="15">
        <v>24839202</v>
      </c>
      <c r="E139" s="4">
        <v>3.58</v>
      </c>
      <c r="F139" s="15">
        <v>6127015</v>
      </c>
      <c r="G139" s="15">
        <v>6304698</v>
      </c>
      <c r="H139" s="15"/>
      <c r="I139" s="15"/>
      <c r="J139" s="15"/>
      <c r="K139" s="15"/>
      <c r="L139" s="15"/>
      <c r="M139" s="15"/>
      <c r="N139" s="15">
        <v>6127015</v>
      </c>
      <c r="O139" s="15">
        <v>6304698</v>
      </c>
      <c r="P139" s="4">
        <v>2.9</v>
      </c>
      <c r="Q139" s="15">
        <v>301843</v>
      </c>
      <c r="R139" s="15">
        <v>403455</v>
      </c>
      <c r="S139" s="15">
        <v>5723385</v>
      </c>
      <c r="T139" s="15">
        <v>5968216</v>
      </c>
      <c r="U139" s="15">
        <v>5825172</v>
      </c>
      <c r="V139" s="15">
        <v>5901243</v>
      </c>
      <c r="W139" s="15">
        <v>-101787</v>
      </c>
      <c r="X139" s="15">
        <v>66973</v>
      </c>
      <c r="Y139" s="4">
        <v>829</v>
      </c>
      <c r="Z139" s="4">
        <v>963</v>
      </c>
      <c r="AA139" s="4">
        <v>16.16</v>
      </c>
      <c r="AB139" s="15">
        <v>4237237</v>
      </c>
      <c r="AC139" s="15">
        <v>4337237</v>
      </c>
      <c r="AD139" s="15">
        <v>1944058</v>
      </c>
      <c r="AE139" s="15">
        <v>2092241</v>
      </c>
      <c r="AF139" s="15">
        <v>4535537</v>
      </c>
      <c r="AG139" s="15">
        <v>2443296</v>
      </c>
      <c r="AH139" s="4">
        <v>18.91</v>
      </c>
      <c r="AI139" s="6">
        <v>9.84</v>
      </c>
    </row>
    <row r="140" spans="1:35" x14ac:dyDescent="0.25">
      <c r="A140" s="5" t="str">
        <f>"241101"</f>
        <v>241101</v>
      </c>
      <c r="B140" s="3" t="s">
        <v>230</v>
      </c>
      <c r="C140" s="15">
        <v>18199486</v>
      </c>
      <c r="D140" s="15">
        <v>20211755</v>
      </c>
      <c r="E140" s="4">
        <v>11.06</v>
      </c>
      <c r="F140" s="15">
        <v>5230200</v>
      </c>
      <c r="G140" s="15">
        <v>5363872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5230200</v>
      </c>
      <c r="O140" s="15">
        <v>5363872</v>
      </c>
      <c r="P140" s="4">
        <v>2.56</v>
      </c>
      <c r="Q140" s="15">
        <v>0</v>
      </c>
      <c r="R140" s="15">
        <v>0</v>
      </c>
      <c r="S140" s="15">
        <v>5230200</v>
      </c>
      <c r="T140" s="15">
        <v>5363872</v>
      </c>
      <c r="U140" s="15">
        <v>5230200</v>
      </c>
      <c r="V140" s="15">
        <v>5363872</v>
      </c>
      <c r="W140" s="15">
        <v>0</v>
      </c>
      <c r="X140" s="15">
        <v>0</v>
      </c>
      <c r="Y140" s="4">
        <v>612</v>
      </c>
      <c r="Z140" s="4">
        <v>599</v>
      </c>
      <c r="AA140" s="4">
        <v>-2.12</v>
      </c>
      <c r="AB140" s="15">
        <v>13900776</v>
      </c>
      <c r="AC140" s="15">
        <v>15476785</v>
      </c>
      <c r="AD140" s="15">
        <v>576009</v>
      </c>
      <c r="AE140" s="15">
        <v>1576009</v>
      </c>
      <c r="AF140" s="15">
        <v>3547206</v>
      </c>
      <c r="AG140" s="15">
        <v>2547206</v>
      </c>
      <c r="AH140" s="4">
        <v>19.489999999999998</v>
      </c>
      <c r="AI140" s="6">
        <v>12.6</v>
      </c>
    </row>
    <row r="141" spans="1:35" x14ac:dyDescent="0.25">
      <c r="A141" s="5" t="str">
        <f>"241001"</f>
        <v>241001</v>
      </c>
      <c r="B141" s="3" t="s">
        <v>229</v>
      </c>
      <c r="C141" s="15">
        <v>36134180</v>
      </c>
      <c r="D141" s="15">
        <v>38654545</v>
      </c>
      <c r="E141" s="4">
        <v>6.98</v>
      </c>
      <c r="F141" s="15">
        <v>8836780</v>
      </c>
      <c r="G141" s="15">
        <v>9004675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8836780</v>
      </c>
      <c r="O141" s="15">
        <v>9004675</v>
      </c>
      <c r="P141" s="4">
        <v>1.9</v>
      </c>
      <c r="Q141" s="15">
        <v>0</v>
      </c>
      <c r="R141" s="15">
        <v>0</v>
      </c>
      <c r="S141" s="15">
        <v>8836782</v>
      </c>
      <c r="T141" s="15">
        <v>9010800</v>
      </c>
      <c r="U141" s="15">
        <v>8836780</v>
      </c>
      <c r="V141" s="15">
        <v>9004675</v>
      </c>
      <c r="W141" s="15">
        <v>2</v>
      </c>
      <c r="X141" s="15">
        <v>6125</v>
      </c>
      <c r="Y141" s="4">
        <v>1290</v>
      </c>
      <c r="Z141" s="4">
        <v>1364</v>
      </c>
      <c r="AA141" s="4">
        <v>5.74</v>
      </c>
      <c r="AB141" s="15">
        <v>5595948</v>
      </c>
      <c r="AC141" s="15">
        <v>5461056</v>
      </c>
      <c r="AD141" s="15">
        <v>1942740</v>
      </c>
      <c r="AE141" s="15">
        <v>2600000</v>
      </c>
      <c r="AF141" s="15">
        <v>1445367</v>
      </c>
      <c r="AG141" s="15">
        <v>1546187</v>
      </c>
      <c r="AH141" s="4">
        <v>4</v>
      </c>
      <c r="AI141" s="6">
        <v>4</v>
      </c>
    </row>
    <row r="142" spans="1:35" x14ac:dyDescent="0.25">
      <c r="A142" s="5" t="str">
        <f>"580107"</f>
        <v>580107</v>
      </c>
      <c r="B142" s="3" t="s">
        <v>504</v>
      </c>
      <c r="C142" s="15">
        <v>121769599</v>
      </c>
      <c r="D142" s="15">
        <v>127560238</v>
      </c>
      <c r="E142" s="4">
        <v>4.76</v>
      </c>
      <c r="F142" s="15">
        <v>75453230</v>
      </c>
      <c r="G142" s="15">
        <v>76788064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75453230</v>
      </c>
      <c r="O142" s="15">
        <v>76788064</v>
      </c>
      <c r="P142" s="4">
        <v>1.77</v>
      </c>
      <c r="Q142" s="15">
        <v>2622442</v>
      </c>
      <c r="R142" s="15">
        <v>2852381</v>
      </c>
      <c r="S142" s="15">
        <v>72830788</v>
      </c>
      <c r="T142" s="15">
        <v>73935683</v>
      </c>
      <c r="U142" s="15">
        <v>72830788</v>
      </c>
      <c r="V142" s="15">
        <v>73935683</v>
      </c>
      <c r="W142" s="15">
        <v>0</v>
      </c>
      <c r="X142" s="15">
        <v>0</v>
      </c>
      <c r="Y142" s="4">
        <v>4106</v>
      </c>
      <c r="Z142" s="4">
        <v>3939</v>
      </c>
      <c r="AA142" s="4">
        <v>-4.07</v>
      </c>
      <c r="AB142" s="15">
        <v>12497856</v>
      </c>
      <c r="AC142" s="15">
        <v>12386572</v>
      </c>
      <c r="AD142" s="15">
        <v>3000000</v>
      </c>
      <c r="AE142" s="15">
        <v>2100000</v>
      </c>
      <c r="AF142" s="15">
        <v>4875000</v>
      </c>
      <c r="AG142" s="15">
        <v>5100000</v>
      </c>
      <c r="AH142" s="4">
        <v>4</v>
      </c>
      <c r="AI142" s="6">
        <v>4</v>
      </c>
    </row>
    <row r="143" spans="1:35" x14ac:dyDescent="0.25">
      <c r="A143" s="5" t="str">
        <f>"120501"</f>
        <v>120501</v>
      </c>
      <c r="B143" s="3" t="s">
        <v>106</v>
      </c>
      <c r="C143" s="15">
        <v>21048618</v>
      </c>
      <c r="D143" s="15">
        <v>21568423</v>
      </c>
      <c r="E143" s="4">
        <v>2.4700000000000002</v>
      </c>
      <c r="F143" s="15">
        <v>9826347</v>
      </c>
      <c r="G143" s="15">
        <v>9949177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9826347</v>
      </c>
      <c r="O143" s="15">
        <v>9949177</v>
      </c>
      <c r="P143" s="4">
        <v>1.25</v>
      </c>
      <c r="Q143" s="15">
        <v>0</v>
      </c>
      <c r="R143" s="15">
        <v>0</v>
      </c>
      <c r="S143" s="15">
        <v>9826347</v>
      </c>
      <c r="T143" s="15">
        <v>10101484</v>
      </c>
      <c r="U143" s="15">
        <v>9826347</v>
      </c>
      <c r="V143" s="15">
        <v>9949177</v>
      </c>
      <c r="W143" s="15">
        <v>0</v>
      </c>
      <c r="X143" s="15">
        <v>152307</v>
      </c>
      <c r="Y143" s="4">
        <v>765</v>
      </c>
      <c r="Z143" s="4">
        <v>772</v>
      </c>
      <c r="AA143" s="4">
        <v>0.92</v>
      </c>
      <c r="AB143" s="15">
        <v>3659182</v>
      </c>
      <c r="AC143" s="15">
        <v>3750000</v>
      </c>
      <c r="AD143" s="15">
        <v>1556669</v>
      </c>
      <c r="AE143" s="15">
        <v>800000</v>
      </c>
      <c r="AF143" s="15">
        <v>2298169</v>
      </c>
      <c r="AG143" s="15">
        <v>2500000</v>
      </c>
      <c r="AH143" s="4">
        <v>10.92</v>
      </c>
      <c r="AI143" s="6">
        <v>11.59</v>
      </c>
    </row>
    <row r="144" spans="1:35" x14ac:dyDescent="0.25">
      <c r="A144" s="5" t="str">
        <f>"140707"</f>
        <v>140707</v>
      </c>
      <c r="B144" s="3" t="s">
        <v>136</v>
      </c>
      <c r="C144" s="15">
        <v>47267774</v>
      </c>
      <c r="D144" s="15">
        <v>49741002</v>
      </c>
      <c r="E144" s="4">
        <v>5.23</v>
      </c>
      <c r="F144" s="15">
        <v>19036522</v>
      </c>
      <c r="G144" s="15">
        <v>19449417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19036522</v>
      </c>
      <c r="O144" s="15">
        <v>19449417</v>
      </c>
      <c r="P144" s="4">
        <v>2.17</v>
      </c>
      <c r="Q144" s="15">
        <v>165288</v>
      </c>
      <c r="R144" s="15">
        <v>0</v>
      </c>
      <c r="S144" s="15">
        <v>18871234</v>
      </c>
      <c r="T144" s="15">
        <v>19449417</v>
      </c>
      <c r="U144" s="15">
        <v>18871234</v>
      </c>
      <c r="V144" s="15">
        <v>19449417</v>
      </c>
      <c r="W144" s="15">
        <v>0</v>
      </c>
      <c r="X144" s="15">
        <v>0</v>
      </c>
      <c r="Y144" s="4">
        <v>1760</v>
      </c>
      <c r="Z144" s="4">
        <v>1799</v>
      </c>
      <c r="AA144" s="4">
        <v>2.2200000000000002</v>
      </c>
      <c r="AB144" s="15">
        <v>13225692</v>
      </c>
      <c r="AC144" s="15">
        <v>10549342</v>
      </c>
      <c r="AD144" s="15">
        <v>4000000</v>
      </c>
      <c r="AE144" s="15">
        <v>4276552</v>
      </c>
      <c r="AF144" s="15">
        <v>1890711</v>
      </c>
      <c r="AG144" s="15">
        <v>1890711</v>
      </c>
      <c r="AH144" s="4">
        <v>4</v>
      </c>
      <c r="AI144" s="6">
        <v>3.8</v>
      </c>
    </row>
    <row r="145" spans="1:35" x14ac:dyDescent="0.25">
      <c r="A145" s="5" t="str">
        <f>"031301"</f>
        <v>031301</v>
      </c>
      <c r="B145" s="3" t="s">
        <v>30</v>
      </c>
      <c r="C145" s="15">
        <v>17764432</v>
      </c>
      <c r="D145" s="15">
        <v>17788865</v>
      </c>
      <c r="E145" s="4">
        <v>0.14000000000000001</v>
      </c>
      <c r="F145" s="15">
        <v>8370650</v>
      </c>
      <c r="G145" s="15">
        <v>8475283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8370650</v>
      </c>
      <c r="O145" s="15">
        <v>8475283</v>
      </c>
      <c r="P145" s="4">
        <v>1.25</v>
      </c>
      <c r="Q145" s="15">
        <v>426074</v>
      </c>
      <c r="R145" s="15">
        <v>424811</v>
      </c>
      <c r="S145" s="15">
        <v>7944576</v>
      </c>
      <c r="T145" s="15">
        <v>8071094</v>
      </c>
      <c r="U145" s="15">
        <v>7944576</v>
      </c>
      <c r="V145" s="15">
        <v>8050472</v>
      </c>
      <c r="W145" s="15">
        <v>0</v>
      </c>
      <c r="X145" s="15">
        <v>20622</v>
      </c>
      <c r="Y145" s="4">
        <v>460</v>
      </c>
      <c r="Z145" s="4">
        <v>460</v>
      </c>
      <c r="AA145" s="4">
        <v>0</v>
      </c>
      <c r="AB145" s="15">
        <v>2528064</v>
      </c>
      <c r="AC145" s="15">
        <v>3770111</v>
      </c>
      <c r="AD145" s="15">
        <v>500000</v>
      </c>
      <c r="AE145" s="15">
        <v>500000</v>
      </c>
      <c r="AF145" s="15">
        <v>703177</v>
      </c>
      <c r="AG145" s="15">
        <v>684425</v>
      </c>
      <c r="AH145" s="4">
        <v>3.96</v>
      </c>
      <c r="AI145" s="6">
        <v>3.85</v>
      </c>
    </row>
    <row r="146" spans="1:35" x14ac:dyDescent="0.25">
      <c r="A146" s="5" t="str">
        <f>"250301"</f>
        <v>250301</v>
      </c>
      <c r="B146" s="3" t="s">
        <v>234</v>
      </c>
      <c r="C146" s="15">
        <v>11895189</v>
      </c>
      <c r="D146" s="15">
        <v>12101843</v>
      </c>
      <c r="E146" s="4">
        <v>1.74</v>
      </c>
      <c r="F146" s="15">
        <v>4424972</v>
      </c>
      <c r="G146" s="15">
        <v>4551544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4424972</v>
      </c>
      <c r="O146" s="15">
        <v>4551544</v>
      </c>
      <c r="P146" s="4">
        <v>2.86</v>
      </c>
      <c r="Q146" s="15">
        <v>438112</v>
      </c>
      <c r="R146" s="15">
        <v>463282</v>
      </c>
      <c r="S146" s="15">
        <v>4510004</v>
      </c>
      <c r="T146" s="15">
        <v>4551544</v>
      </c>
      <c r="U146" s="15">
        <v>3986860</v>
      </c>
      <c r="V146" s="15">
        <v>4088262</v>
      </c>
      <c r="W146" s="15">
        <v>523144</v>
      </c>
      <c r="X146" s="15">
        <v>463282</v>
      </c>
      <c r="Y146" s="4">
        <v>361</v>
      </c>
      <c r="Z146" s="4">
        <v>333</v>
      </c>
      <c r="AA146" s="4">
        <v>-7.76</v>
      </c>
      <c r="AB146" s="15">
        <v>2230005</v>
      </c>
      <c r="AC146" s="15">
        <v>2275005</v>
      </c>
      <c r="AD146" s="15">
        <v>374041</v>
      </c>
      <c r="AE146" s="15">
        <v>374041</v>
      </c>
      <c r="AF146" s="15">
        <v>475808</v>
      </c>
      <c r="AG146" s="15">
        <v>484073</v>
      </c>
      <c r="AH146" s="4">
        <v>4</v>
      </c>
      <c r="AI146" s="6">
        <v>4</v>
      </c>
    </row>
    <row r="147" spans="1:35" x14ac:dyDescent="0.25">
      <c r="A147" s="5" t="str">
        <f>"660403"</f>
        <v>660403</v>
      </c>
      <c r="B147" s="3" t="s">
        <v>634</v>
      </c>
      <c r="C147" s="15">
        <v>49029234</v>
      </c>
      <c r="D147" s="15">
        <v>51377271</v>
      </c>
      <c r="E147" s="4">
        <v>4.79</v>
      </c>
      <c r="F147" s="15">
        <v>40943897</v>
      </c>
      <c r="G147" s="15">
        <v>41139244</v>
      </c>
      <c r="H147" s="15"/>
      <c r="I147" s="15"/>
      <c r="J147" s="15"/>
      <c r="K147" s="15"/>
      <c r="L147" s="15"/>
      <c r="M147" s="15"/>
      <c r="N147" s="15">
        <v>40943897</v>
      </c>
      <c r="O147" s="15">
        <v>41139244</v>
      </c>
      <c r="P147" s="4">
        <v>0.48</v>
      </c>
      <c r="Q147" s="15">
        <v>1565702</v>
      </c>
      <c r="R147" s="15">
        <v>1553411</v>
      </c>
      <c r="S147" s="15">
        <v>39378195</v>
      </c>
      <c r="T147" s="15">
        <v>40554153</v>
      </c>
      <c r="U147" s="15">
        <v>39378195</v>
      </c>
      <c r="V147" s="15">
        <v>39585833</v>
      </c>
      <c r="W147" s="15">
        <v>0</v>
      </c>
      <c r="X147" s="15">
        <v>968320</v>
      </c>
      <c r="Y147" s="4">
        <v>1512</v>
      </c>
      <c r="Z147" s="4">
        <v>1516</v>
      </c>
      <c r="AA147" s="4">
        <v>0.26</v>
      </c>
      <c r="AB147" s="15">
        <v>6466098</v>
      </c>
      <c r="AC147" s="15">
        <v>4407821</v>
      </c>
      <c r="AD147" s="15">
        <v>127839</v>
      </c>
      <c r="AE147" s="15">
        <v>150000</v>
      </c>
      <c r="AF147" s="15">
        <v>1961170</v>
      </c>
      <c r="AG147" s="15">
        <v>2055091</v>
      </c>
      <c r="AH147" s="4">
        <v>4</v>
      </c>
      <c r="AI147" s="6">
        <v>4</v>
      </c>
    </row>
    <row r="148" spans="1:35" x14ac:dyDescent="0.25">
      <c r="A148" s="5" t="str">
        <f>"211003"</f>
        <v>211003</v>
      </c>
      <c r="B148" s="3" t="s">
        <v>202</v>
      </c>
      <c r="C148" s="15">
        <v>18967328</v>
      </c>
      <c r="D148" s="15">
        <v>19394076</v>
      </c>
      <c r="E148" s="4">
        <v>2.25</v>
      </c>
      <c r="F148" s="15">
        <v>5093163</v>
      </c>
      <c r="G148" s="15">
        <v>5093520</v>
      </c>
      <c r="H148" s="15">
        <v>27500</v>
      </c>
      <c r="I148" s="15">
        <v>27500</v>
      </c>
      <c r="J148" s="15">
        <v>0</v>
      </c>
      <c r="K148" s="15">
        <v>0</v>
      </c>
      <c r="L148" s="15">
        <v>0</v>
      </c>
      <c r="M148" s="15">
        <v>0</v>
      </c>
      <c r="N148" s="15">
        <v>5120663</v>
      </c>
      <c r="O148" s="15">
        <v>5121020</v>
      </c>
      <c r="P148" s="4">
        <v>0.01</v>
      </c>
      <c r="Q148" s="15">
        <v>263788</v>
      </c>
      <c r="R148" s="15">
        <v>145588</v>
      </c>
      <c r="S148" s="15">
        <v>5093163</v>
      </c>
      <c r="T148" s="15">
        <v>5093520</v>
      </c>
      <c r="U148" s="15">
        <v>4829375</v>
      </c>
      <c r="V148" s="15">
        <v>4947932</v>
      </c>
      <c r="W148" s="15">
        <v>263788</v>
      </c>
      <c r="X148" s="15">
        <v>145588</v>
      </c>
      <c r="Y148" s="4">
        <v>790</v>
      </c>
      <c r="Z148" s="4">
        <v>790</v>
      </c>
      <c r="AA148" s="4">
        <v>0</v>
      </c>
      <c r="AB148" s="15">
        <v>4617038</v>
      </c>
      <c r="AC148" s="15">
        <v>6117038</v>
      </c>
      <c r="AD148" s="15">
        <v>222000</v>
      </c>
      <c r="AE148" s="15">
        <v>394720</v>
      </c>
      <c r="AF148" s="15">
        <v>1061463</v>
      </c>
      <c r="AG148" s="15">
        <v>1163645</v>
      </c>
      <c r="AH148" s="4">
        <v>5.6</v>
      </c>
      <c r="AI148" s="6">
        <v>6</v>
      </c>
    </row>
    <row r="149" spans="1:35" x14ac:dyDescent="0.25">
      <c r="A149" s="5" t="str">
        <f>"130502"</f>
        <v>130502</v>
      </c>
      <c r="B149" s="3" t="s">
        <v>116</v>
      </c>
      <c r="C149" s="15">
        <v>36086061</v>
      </c>
      <c r="D149" s="15">
        <v>37289271</v>
      </c>
      <c r="E149" s="4">
        <v>3.33</v>
      </c>
      <c r="F149" s="15">
        <v>18428405</v>
      </c>
      <c r="G149" s="15">
        <v>18231231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18428405</v>
      </c>
      <c r="O149" s="15">
        <v>18231231</v>
      </c>
      <c r="P149" s="4">
        <v>-1.07</v>
      </c>
      <c r="Q149" s="15">
        <v>0</v>
      </c>
      <c r="R149" s="15">
        <v>0</v>
      </c>
      <c r="S149" s="15">
        <v>18748055</v>
      </c>
      <c r="T149" s="15">
        <v>19161617</v>
      </c>
      <c r="U149" s="15">
        <v>18428405</v>
      </c>
      <c r="V149" s="15">
        <v>18231231</v>
      </c>
      <c r="W149" s="15">
        <v>319650</v>
      </c>
      <c r="X149" s="15">
        <v>930386</v>
      </c>
      <c r="Y149" s="4">
        <v>1344</v>
      </c>
      <c r="Z149" s="4">
        <v>1381</v>
      </c>
      <c r="AA149" s="4">
        <v>2.75</v>
      </c>
      <c r="AB149" s="15">
        <v>7036287</v>
      </c>
      <c r="AC149" s="15">
        <v>9810880</v>
      </c>
      <c r="AD149" s="15">
        <v>0</v>
      </c>
      <c r="AE149" s="15">
        <v>0</v>
      </c>
      <c r="AF149" s="15">
        <v>1442434</v>
      </c>
      <c r="AG149" s="15">
        <v>1491571</v>
      </c>
      <c r="AH149" s="4">
        <v>4</v>
      </c>
      <c r="AI149" s="6">
        <v>4</v>
      </c>
    </row>
    <row r="150" spans="1:35" x14ac:dyDescent="0.25">
      <c r="A150" s="5" t="str">
        <f>"120301"</f>
        <v>120301</v>
      </c>
      <c r="B150" s="3" t="s">
        <v>104</v>
      </c>
      <c r="C150" s="15">
        <v>11113442</v>
      </c>
      <c r="D150" s="15">
        <v>11530721</v>
      </c>
      <c r="E150" s="4">
        <v>3.75</v>
      </c>
      <c r="F150" s="15">
        <v>8373691</v>
      </c>
      <c r="G150" s="15">
        <v>8519569</v>
      </c>
      <c r="H150" s="15"/>
      <c r="I150" s="15"/>
      <c r="J150" s="15"/>
      <c r="K150" s="15"/>
      <c r="L150" s="15"/>
      <c r="M150" s="15"/>
      <c r="N150" s="15">
        <v>8373691</v>
      </c>
      <c r="O150" s="15">
        <v>8519569</v>
      </c>
      <c r="P150" s="4">
        <v>1.74</v>
      </c>
      <c r="Q150" s="15">
        <v>838387</v>
      </c>
      <c r="R150" s="15">
        <v>814769</v>
      </c>
      <c r="S150" s="15">
        <v>7535304</v>
      </c>
      <c r="T150" s="15">
        <v>7704800</v>
      </c>
      <c r="U150" s="15">
        <v>7535304</v>
      </c>
      <c r="V150" s="15">
        <v>7704800</v>
      </c>
      <c r="W150" s="15">
        <v>0</v>
      </c>
      <c r="X150" s="15">
        <v>0</v>
      </c>
      <c r="Y150" s="4">
        <v>241</v>
      </c>
      <c r="Z150" s="4">
        <v>242</v>
      </c>
      <c r="AA150" s="4">
        <v>0.41</v>
      </c>
      <c r="AB150" s="15">
        <v>2012940</v>
      </c>
      <c r="AC150" s="15">
        <v>3012940</v>
      </c>
      <c r="AD150" s="15">
        <v>519649</v>
      </c>
      <c r="AE150" s="15">
        <v>746242</v>
      </c>
      <c r="AF150" s="15">
        <v>1958487</v>
      </c>
      <c r="AG150" s="15">
        <v>980110</v>
      </c>
      <c r="AH150" s="4">
        <v>17.62</v>
      </c>
      <c r="AI150" s="6">
        <v>8.5</v>
      </c>
    </row>
    <row r="151" spans="1:35" x14ac:dyDescent="0.25">
      <c r="A151" s="5" t="str">
        <f>"610301"</f>
        <v>610301</v>
      </c>
      <c r="B151" s="3" t="s">
        <v>579</v>
      </c>
      <c r="C151" s="15">
        <v>43537952</v>
      </c>
      <c r="D151" s="15">
        <v>45311906</v>
      </c>
      <c r="E151" s="4">
        <v>4.07</v>
      </c>
      <c r="F151" s="15">
        <v>19266894</v>
      </c>
      <c r="G151" s="15">
        <v>19784587</v>
      </c>
      <c r="H151" s="15"/>
      <c r="I151" s="15"/>
      <c r="J151" s="15"/>
      <c r="K151" s="15"/>
      <c r="L151" s="15"/>
      <c r="M151" s="15"/>
      <c r="N151" s="15">
        <v>19266894</v>
      </c>
      <c r="O151" s="15">
        <v>19784587</v>
      </c>
      <c r="P151" s="4">
        <v>2.69</v>
      </c>
      <c r="Q151" s="15">
        <v>0</v>
      </c>
      <c r="R151" s="15">
        <v>0</v>
      </c>
      <c r="S151" s="15">
        <v>19266894</v>
      </c>
      <c r="T151" s="15">
        <v>19784587</v>
      </c>
      <c r="U151" s="15">
        <v>19266894</v>
      </c>
      <c r="V151" s="15">
        <v>19784587</v>
      </c>
      <c r="W151" s="15">
        <v>0</v>
      </c>
      <c r="X151" s="15">
        <v>0</v>
      </c>
      <c r="Y151" s="4">
        <v>1449</v>
      </c>
      <c r="Z151" s="4">
        <v>1377</v>
      </c>
      <c r="AA151" s="4">
        <v>-4.97</v>
      </c>
      <c r="AB151" s="15">
        <v>9407421</v>
      </c>
      <c r="AC151" s="15">
        <v>7629582</v>
      </c>
      <c r="AD151" s="15">
        <v>1727964</v>
      </c>
      <c r="AE151" s="15">
        <v>2310517</v>
      </c>
      <c r="AF151" s="15">
        <v>2394587</v>
      </c>
      <c r="AG151" s="15">
        <v>1812476</v>
      </c>
      <c r="AH151" s="4">
        <v>5.5</v>
      </c>
      <c r="AI151" s="6">
        <v>4</v>
      </c>
    </row>
    <row r="152" spans="1:35" x14ac:dyDescent="0.25">
      <c r="A152" s="5" t="str">
        <f>"530101"</f>
        <v>530101</v>
      </c>
      <c r="B152" s="3" t="s">
        <v>467</v>
      </c>
      <c r="C152" s="15">
        <v>17885000</v>
      </c>
      <c r="D152" s="15">
        <v>18600000</v>
      </c>
      <c r="E152" s="4">
        <v>4</v>
      </c>
      <c r="F152" s="15">
        <v>8385866</v>
      </c>
      <c r="G152" s="15">
        <v>8536811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8385866</v>
      </c>
      <c r="O152" s="15">
        <v>8536811</v>
      </c>
      <c r="P152" s="4">
        <v>1.8</v>
      </c>
      <c r="Q152" s="15">
        <v>495947</v>
      </c>
      <c r="R152" s="15">
        <v>428101</v>
      </c>
      <c r="S152" s="15">
        <v>8591308</v>
      </c>
      <c r="T152" s="15">
        <v>8605833</v>
      </c>
      <c r="U152" s="15">
        <v>7889919</v>
      </c>
      <c r="V152" s="15">
        <v>8108710</v>
      </c>
      <c r="W152" s="15">
        <v>701389</v>
      </c>
      <c r="X152" s="15">
        <v>497123</v>
      </c>
      <c r="Y152" s="4">
        <v>680</v>
      </c>
      <c r="Z152" s="4">
        <v>670</v>
      </c>
      <c r="AA152" s="4">
        <v>-1.47</v>
      </c>
      <c r="AB152" s="15">
        <v>6442536</v>
      </c>
      <c r="AC152" s="15">
        <v>6342536</v>
      </c>
      <c r="AD152" s="15">
        <v>884869</v>
      </c>
      <c r="AE152" s="15">
        <v>994955</v>
      </c>
      <c r="AF152" s="15">
        <v>1149651</v>
      </c>
      <c r="AG152" s="15">
        <v>744000</v>
      </c>
      <c r="AH152" s="4">
        <v>6.43</v>
      </c>
      <c r="AI152" s="6">
        <v>4</v>
      </c>
    </row>
    <row r="153" spans="1:35" x14ac:dyDescent="0.25">
      <c r="A153" s="5" t="str">
        <f>"680801"</f>
        <v>680801</v>
      </c>
      <c r="B153" s="3" t="s">
        <v>670</v>
      </c>
      <c r="C153" s="15">
        <v>19961102</v>
      </c>
      <c r="D153" s="15">
        <v>20236136</v>
      </c>
      <c r="E153" s="4">
        <v>1.38</v>
      </c>
      <c r="F153" s="15">
        <v>5743977</v>
      </c>
      <c r="G153" s="15">
        <v>5856697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5743977</v>
      </c>
      <c r="O153" s="15">
        <v>5856697</v>
      </c>
      <c r="P153" s="4">
        <v>1.96</v>
      </c>
      <c r="Q153" s="15">
        <v>127718</v>
      </c>
      <c r="R153" s="15">
        <v>59153</v>
      </c>
      <c r="S153" s="15">
        <v>5747584</v>
      </c>
      <c r="T153" s="15">
        <v>5857072</v>
      </c>
      <c r="U153" s="15">
        <v>5616259</v>
      </c>
      <c r="V153" s="15">
        <v>5797544</v>
      </c>
      <c r="W153" s="15">
        <v>131325</v>
      </c>
      <c r="X153" s="15">
        <v>59528</v>
      </c>
      <c r="Y153" s="4">
        <v>585</v>
      </c>
      <c r="Z153" s="4">
        <v>630</v>
      </c>
      <c r="AA153" s="4">
        <v>7.69</v>
      </c>
      <c r="AB153" s="15">
        <v>14259630</v>
      </c>
      <c r="AC153" s="15">
        <v>12996796</v>
      </c>
      <c r="AD153" s="15">
        <v>250000</v>
      </c>
      <c r="AE153" s="15">
        <v>250000</v>
      </c>
      <c r="AF153" s="15">
        <v>806770</v>
      </c>
      <c r="AG153" s="15">
        <v>809000</v>
      </c>
      <c r="AH153" s="4">
        <v>4.04</v>
      </c>
      <c r="AI153" s="6">
        <v>4</v>
      </c>
    </row>
    <row r="154" spans="1:35" x14ac:dyDescent="0.25">
      <c r="A154" s="5" t="str">
        <f>"060800"</f>
        <v>060800</v>
      </c>
      <c r="B154" s="3" t="s">
        <v>61</v>
      </c>
      <c r="C154" s="15">
        <v>51413792</v>
      </c>
      <c r="D154" s="15">
        <v>52396017</v>
      </c>
      <c r="E154" s="4">
        <v>1.91</v>
      </c>
      <c r="F154" s="15">
        <v>10165975</v>
      </c>
      <c r="G154" s="15">
        <v>10368278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10165975</v>
      </c>
      <c r="O154" s="15">
        <v>10368278</v>
      </c>
      <c r="P154" s="4">
        <v>1.99</v>
      </c>
      <c r="Q154" s="15">
        <v>25479</v>
      </c>
      <c r="R154" s="15">
        <v>42599</v>
      </c>
      <c r="S154" s="15">
        <v>10259241</v>
      </c>
      <c r="T154" s="15">
        <v>10355473</v>
      </c>
      <c r="U154" s="15">
        <v>10140496</v>
      </c>
      <c r="V154" s="15">
        <v>10325679</v>
      </c>
      <c r="W154" s="15">
        <v>118745</v>
      </c>
      <c r="X154" s="15">
        <v>29794</v>
      </c>
      <c r="Y154" s="4">
        <v>1963</v>
      </c>
      <c r="Z154" s="4">
        <v>1953</v>
      </c>
      <c r="AA154" s="4">
        <v>-0.51</v>
      </c>
      <c r="AB154" s="15">
        <v>14379712</v>
      </c>
      <c r="AC154" s="15">
        <v>15427915</v>
      </c>
      <c r="AD154" s="15">
        <v>5000000</v>
      </c>
      <c r="AE154" s="15">
        <v>3698161</v>
      </c>
      <c r="AF154" s="15">
        <v>2334661</v>
      </c>
      <c r="AG154" s="15">
        <v>2075000</v>
      </c>
      <c r="AH154" s="4">
        <v>4.54</v>
      </c>
      <c r="AI154" s="6">
        <v>3.96</v>
      </c>
    </row>
    <row r="155" spans="1:35" x14ac:dyDescent="0.25">
      <c r="A155" s="5" t="str">
        <f>"140301"</f>
        <v>140301</v>
      </c>
      <c r="B155" s="3" t="s">
        <v>132</v>
      </c>
      <c r="C155" s="15">
        <v>39489097</v>
      </c>
      <c r="D155" s="15">
        <v>41296498</v>
      </c>
      <c r="E155" s="4">
        <v>4.58</v>
      </c>
      <c r="F155" s="15">
        <v>24596095</v>
      </c>
      <c r="G155" s="15">
        <v>25309382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24596095</v>
      </c>
      <c r="O155" s="15">
        <v>25309382</v>
      </c>
      <c r="P155" s="4">
        <v>2.9</v>
      </c>
      <c r="Q155" s="15">
        <v>1622253</v>
      </c>
      <c r="R155" s="15">
        <v>1554816</v>
      </c>
      <c r="S155" s="15">
        <v>22973842</v>
      </c>
      <c r="T155" s="15">
        <v>23798269</v>
      </c>
      <c r="U155" s="15">
        <v>22973842</v>
      </c>
      <c r="V155" s="15">
        <v>23754566</v>
      </c>
      <c r="W155" s="15">
        <v>0</v>
      </c>
      <c r="X155" s="15">
        <v>43703</v>
      </c>
      <c r="Y155" s="4">
        <v>1643</v>
      </c>
      <c r="Z155" s="4">
        <v>1623</v>
      </c>
      <c r="AA155" s="4">
        <v>-1.22</v>
      </c>
      <c r="AB155" s="15">
        <v>2194629</v>
      </c>
      <c r="AC155" s="15">
        <v>2194629</v>
      </c>
      <c r="AD155" s="15">
        <v>418148</v>
      </c>
      <c r="AE155" s="15">
        <v>461851</v>
      </c>
      <c r="AF155" s="15">
        <v>1579566</v>
      </c>
      <c r="AG155" s="15">
        <v>1651859</v>
      </c>
      <c r="AH155" s="4">
        <v>4</v>
      </c>
      <c r="AI155" s="6">
        <v>4</v>
      </c>
    </row>
    <row r="156" spans="1:35" x14ac:dyDescent="0.25">
      <c r="A156" s="5" t="str">
        <f>"430501"</f>
        <v>430501</v>
      </c>
      <c r="B156" s="3" t="s">
        <v>360</v>
      </c>
      <c r="C156" s="15">
        <v>21958220</v>
      </c>
      <c r="D156" s="15">
        <v>23039605</v>
      </c>
      <c r="E156" s="4">
        <v>4.92</v>
      </c>
      <c r="F156" s="15">
        <v>10412128</v>
      </c>
      <c r="G156" s="15">
        <v>10631884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10412128</v>
      </c>
      <c r="O156" s="15">
        <v>10631884</v>
      </c>
      <c r="P156" s="4">
        <v>2.11</v>
      </c>
      <c r="Q156" s="15">
        <v>211658</v>
      </c>
      <c r="R156" s="15">
        <v>189161</v>
      </c>
      <c r="S156" s="15">
        <v>10200470</v>
      </c>
      <c r="T156" s="15">
        <v>10442723</v>
      </c>
      <c r="U156" s="15">
        <v>10200470</v>
      </c>
      <c r="V156" s="15">
        <v>10442723</v>
      </c>
      <c r="W156" s="15">
        <v>0</v>
      </c>
      <c r="X156" s="15">
        <v>0</v>
      </c>
      <c r="Y156" s="4">
        <v>825</v>
      </c>
      <c r="Z156" s="4">
        <v>800</v>
      </c>
      <c r="AA156" s="4">
        <v>-3.03</v>
      </c>
      <c r="AB156" s="15">
        <v>4789701</v>
      </c>
      <c r="AC156" s="15">
        <v>5540286</v>
      </c>
      <c r="AD156" s="15">
        <v>110000</v>
      </c>
      <c r="AE156" s="15">
        <v>145000</v>
      </c>
      <c r="AF156" s="15">
        <v>878329</v>
      </c>
      <c r="AG156" s="15">
        <v>921584</v>
      </c>
      <c r="AH156" s="4">
        <v>4</v>
      </c>
      <c r="AI156" s="6">
        <v>4</v>
      </c>
    </row>
    <row r="157" spans="1:35" x14ac:dyDescent="0.25">
      <c r="A157" s="5" t="str">
        <f>"490301"</f>
        <v>490301</v>
      </c>
      <c r="B157" s="3" t="s">
        <v>420</v>
      </c>
      <c r="C157" s="15">
        <v>103535117</v>
      </c>
      <c r="D157" s="15">
        <v>104840470</v>
      </c>
      <c r="E157" s="4">
        <v>1.26</v>
      </c>
      <c r="F157" s="15">
        <v>58374546</v>
      </c>
      <c r="G157" s="15">
        <v>58374546</v>
      </c>
      <c r="H157" s="15"/>
      <c r="I157" s="15"/>
      <c r="J157" s="15"/>
      <c r="K157" s="15"/>
      <c r="L157" s="15"/>
      <c r="M157" s="15"/>
      <c r="N157" s="15">
        <v>58374546</v>
      </c>
      <c r="O157" s="15">
        <v>58374546</v>
      </c>
      <c r="P157" s="4">
        <v>0</v>
      </c>
      <c r="Q157" s="15">
        <v>4402577</v>
      </c>
      <c r="R157" s="15">
        <v>3580239</v>
      </c>
      <c r="S157" s="15">
        <v>54723998</v>
      </c>
      <c r="T157" s="15">
        <v>57681469</v>
      </c>
      <c r="U157" s="15">
        <v>53971969</v>
      </c>
      <c r="V157" s="15">
        <v>54794307</v>
      </c>
      <c r="W157" s="15">
        <v>752029</v>
      </c>
      <c r="X157" s="15">
        <v>2887162</v>
      </c>
      <c r="Y157" s="4">
        <v>4018</v>
      </c>
      <c r="Z157" s="4">
        <v>4023</v>
      </c>
      <c r="AA157" s="4">
        <v>0.12</v>
      </c>
      <c r="AB157" s="15">
        <v>17369006</v>
      </c>
      <c r="AC157" s="15">
        <v>18244059</v>
      </c>
      <c r="AD157" s="15">
        <v>6829322</v>
      </c>
      <c r="AE157" s="15">
        <v>6829322</v>
      </c>
      <c r="AF157" s="15">
        <v>5238758</v>
      </c>
      <c r="AG157" s="15">
        <v>4035866</v>
      </c>
      <c r="AH157" s="4">
        <v>5.0599999999999996</v>
      </c>
      <c r="AI157" s="6">
        <v>3.85</v>
      </c>
    </row>
    <row r="158" spans="1:35" x14ac:dyDescent="0.25">
      <c r="A158" s="5" t="str">
        <f>"580301"</f>
        <v>580301</v>
      </c>
      <c r="B158" s="3" t="s">
        <v>520</v>
      </c>
      <c r="C158" s="15">
        <v>75157245</v>
      </c>
      <c r="D158" s="15">
        <v>76502823</v>
      </c>
      <c r="E158" s="4">
        <v>1.79</v>
      </c>
      <c r="F158" s="15">
        <v>54679935</v>
      </c>
      <c r="G158" s="15">
        <v>55635763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54679935</v>
      </c>
      <c r="O158" s="15">
        <v>55635763</v>
      </c>
      <c r="P158" s="4">
        <v>1.75</v>
      </c>
      <c r="Q158" s="15">
        <v>6499481</v>
      </c>
      <c r="R158" s="15">
        <v>6184009</v>
      </c>
      <c r="S158" s="15">
        <v>48180468</v>
      </c>
      <c r="T158" s="15">
        <v>49451754</v>
      </c>
      <c r="U158" s="15">
        <v>48180454</v>
      </c>
      <c r="V158" s="15">
        <v>49451754</v>
      </c>
      <c r="W158" s="15">
        <v>14</v>
      </c>
      <c r="X158" s="15">
        <v>0</v>
      </c>
      <c r="Y158" s="4">
        <v>1864</v>
      </c>
      <c r="Z158" s="4">
        <v>1936</v>
      </c>
      <c r="AA158" s="4">
        <v>3.86</v>
      </c>
      <c r="AB158" s="15">
        <v>19554968</v>
      </c>
      <c r="AC158" s="15">
        <v>17655969</v>
      </c>
      <c r="AD158" s="15">
        <v>300000</v>
      </c>
      <c r="AE158" s="15">
        <v>300000</v>
      </c>
      <c r="AF158" s="15">
        <v>3569955</v>
      </c>
      <c r="AG158" s="15">
        <v>3060112</v>
      </c>
      <c r="AH158" s="4">
        <v>4.75</v>
      </c>
      <c r="AI158" s="6">
        <v>4</v>
      </c>
    </row>
    <row r="159" spans="1:35" x14ac:dyDescent="0.25">
      <c r="A159" s="5" t="str">
        <f>"260801"</f>
        <v>260801</v>
      </c>
      <c r="B159" s="3" t="s">
        <v>245</v>
      </c>
      <c r="C159" s="15">
        <v>86563388</v>
      </c>
      <c r="D159" s="15">
        <v>90794212</v>
      </c>
      <c r="E159" s="4">
        <v>4.8899999999999997</v>
      </c>
      <c r="F159" s="15">
        <v>44685589</v>
      </c>
      <c r="G159" s="15">
        <v>45777787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44685589</v>
      </c>
      <c r="O159" s="15">
        <v>45777787</v>
      </c>
      <c r="P159" s="4">
        <v>2.44</v>
      </c>
      <c r="Q159" s="15">
        <v>586393</v>
      </c>
      <c r="R159" s="15">
        <v>70183</v>
      </c>
      <c r="S159" s="15">
        <v>44099196</v>
      </c>
      <c r="T159" s="15">
        <v>45707607</v>
      </c>
      <c r="U159" s="15">
        <v>44099196</v>
      </c>
      <c r="V159" s="15">
        <v>45707604</v>
      </c>
      <c r="W159" s="15">
        <v>0</v>
      </c>
      <c r="X159" s="15">
        <v>3</v>
      </c>
      <c r="Y159" s="4">
        <v>2850</v>
      </c>
      <c r="Z159" s="4">
        <v>2888</v>
      </c>
      <c r="AA159" s="4">
        <v>1.33</v>
      </c>
      <c r="AB159" s="15">
        <v>44402890</v>
      </c>
      <c r="AC159" s="15">
        <v>44781916</v>
      </c>
      <c r="AD159" s="15">
        <v>15233</v>
      </c>
      <c r="AE159" s="15">
        <v>31100</v>
      </c>
      <c r="AF159" s="15">
        <v>3462532</v>
      </c>
      <c r="AG159" s="15">
        <v>3631768</v>
      </c>
      <c r="AH159" s="4">
        <v>4</v>
      </c>
      <c r="AI159" s="6">
        <v>4</v>
      </c>
    </row>
    <row r="160" spans="1:35" x14ac:dyDescent="0.25">
      <c r="A160" s="5" t="str">
        <f>"580503"</f>
        <v>580503</v>
      </c>
      <c r="B160" s="3" t="s">
        <v>536</v>
      </c>
      <c r="C160" s="15">
        <v>121037910</v>
      </c>
      <c r="D160" s="15">
        <v>124755712</v>
      </c>
      <c r="E160" s="4">
        <v>3.07</v>
      </c>
      <c r="F160" s="15">
        <v>72991599</v>
      </c>
      <c r="G160" s="15">
        <v>73673246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72991599</v>
      </c>
      <c r="O160" s="15">
        <v>73673246</v>
      </c>
      <c r="P160" s="4">
        <v>0.93</v>
      </c>
      <c r="Q160" s="15">
        <v>2931674</v>
      </c>
      <c r="R160" s="15">
        <v>2161431</v>
      </c>
      <c r="S160" s="15">
        <v>70059925</v>
      </c>
      <c r="T160" s="15">
        <v>71511815</v>
      </c>
      <c r="U160" s="15">
        <v>70059925</v>
      </c>
      <c r="V160" s="15">
        <v>71511815</v>
      </c>
      <c r="W160" s="15">
        <v>0</v>
      </c>
      <c r="X160" s="15">
        <v>0</v>
      </c>
      <c r="Y160" s="4">
        <v>3383</v>
      </c>
      <c r="Z160" s="4">
        <v>3298</v>
      </c>
      <c r="AA160" s="4">
        <v>-2.5099999999999998</v>
      </c>
      <c r="AB160" s="15">
        <v>18995444</v>
      </c>
      <c r="AC160" s="15">
        <v>13778796</v>
      </c>
      <c r="AD160" s="15">
        <v>4617670</v>
      </c>
      <c r="AE160" s="15">
        <v>5868128</v>
      </c>
      <c r="AF160" s="15">
        <v>4841516</v>
      </c>
      <c r="AG160" s="15">
        <v>4990228</v>
      </c>
      <c r="AH160" s="4">
        <v>4</v>
      </c>
      <c r="AI160" s="6">
        <v>4</v>
      </c>
    </row>
    <row r="161" spans="1:35" x14ac:dyDescent="0.25">
      <c r="A161" s="5" t="str">
        <f>"280203"</f>
        <v>280203</v>
      </c>
      <c r="B161" s="3" t="s">
        <v>267</v>
      </c>
      <c r="C161" s="15">
        <v>218857635</v>
      </c>
      <c r="D161" s="15">
        <v>228663163</v>
      </c>
      <c r="E161" s="4">
        <v>4.4800000000000004</v>
      </c>
      <c r="F161" s="15">
        <v>145246146</v>
      </c>
      <c r="G161" s="15">
        <v>147285281</v>
      </c>
      <c r="H161" s="15"/>
      <c r="I161" s="15"/>
      <c r="J161" s="15"/>
      <c r="K161" s="15"/>
      <c r="L161" s="15"/>
      <c r="M161" s="15"/>
      <c r="N161" s="15">
        <v>145246146</v>
      </c>
      <c r="O161" s="15">
        <v>147285281</v>
      </c>
      <c r="P161" s="4">
        <v>1.4</v>
      </c>
      <c r="Q161" s="15">
        <v>6058612</v>
      </c>
      <c r="R161" s="15">
        <v>4849336</v>
      </c>
      <c r="S161" s="15">
        <v>139729451</v>
      </c>
      <c r="T161" s="15">
        <v>142435945</v>
      </c>
      <c r="U161" s="15">
        <v>139187534</v>
      </c>
      <c r="V161" s="15">
        <v>142435945</v>
      </c>
      <c r="W161" s="15">
        <v>541917</v>
      </c>
      <c r="X161" s="15">
        <v>0</v>
      </c>
      <c r="Y161" s="4">
        <v>7277</v>
      </c>
      <c r="Z161" s="4">
        <v>7426</v>
      </c>
      <c r="AA161" s="4">
        <v>2.0499999999999998</v>
      </c>
      <c r="AB161" s="15">
        <v>17161774</v>
      </c>
      <c r="AC161" s="15">
        <v>21431585</v>
      </c>
      <c r="AD161" s="15">
        <v>9590491</v>
      </c>
      <c r="AE161" s="15">
        <v>12728836</v>
      </c>
      <c r="AF161" s="15">
        <v>8754305</v>
      </c>
      <c r="AG161" s="15">
        <v>9146527</v>
      </c>
      <c r="AH161" s="4">
        <v>4</v>
      </c>
      <c r="AI161" s="6">
        <v>4</v>
      </c>
    </row>
    <row r="162" spans="1:35" x14ac:dyDescent="0.25">
      <c r="A162" s="5" t="str">
        <f>"580234"</f>
        <v>580234</v>
      </c>
      <c r="B162" s="3" t="s">
        <v>518</v>
      </c>
      <c r="C162" s="15">
        <v>29519101</v>
      </c>
      <c r="D162" s="15">
        <v>30398630</v>
      </c>
      <c r="E162" s="4">
        <v>2.98</v>
      </c>
      <c r="F162" s="15">
        <v>21581202</v>
      </c>
      <c r="G162" s="15">
        <v>21437511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21581202</v>
      </c>
      <c r="O162" s="15">
        <v>21437511</v>
      </c>
      <c r="P162" s="4">
        <v>-0.67</v>
      </c>
      <c r="Q162" s="15">
        <v>518753</v>
      </c>
      <c r="R162" s="15">
        <v>521982</v>
      </c>
      <c r="S162" s="15">
        <v>21186990</v>
      </c>
      <c r="T162" s="15">
        <v>21382227</v>
      </c>
      <c r="U162" s="15">
        <v>21062449</v>
      </c>
      <c r="V162" s="15">
        <v>20915529</v>
      </c>
      <c r="W162" s="15">
        <v>124541</v>
      </c>
      <c r="X162" s="15">
        <v>466698</v>
      </c>
      <c r="Y162" s="4">
        <v>1048</v>
      </c>
      <c r="Z162" s="4">
        <v>1041</v>
      </c>
      <c r="AA162" s="4">
        <v>-0.67</v>
      </c>
      <c r="AB162" s="15">
        <v>3932301</v>
      </c>
      <c r="AC162" s="15">
        <v>9332301</v>
      </c>
      <c r="AD162" s="15">
        <v>40000</v>
      </c>
      <c r="AE162" s="15">
        <v>314000</v>
      </c>
      <c r="AF162" s="15">
        <v>7175718</v>
      </c>
      <c r="AG162" s="15">
        <v>2661718</v>
      </c>
      <c r="AH162" s="4">
        <v>24.31</v>
      </c>
      <c r="AI162" s="6">
        <v>8.76</v>
      </c>
    </row>
    <row r="163" spans="1:35" x14ac:dyDescent="0.25">
      <c r="A163" s="5" t="str">
        <f>"580917"</f>
        <v>580917</v>
      </c>
      <c r="B163" s="3" t="s">
        <v>559</v>
      </c>
      <c r="C163" s="15">
        <v>26913297</v>
      </c>
      <c r="D163" s="15">
        <v>27251222</v>
      </c>
      <c r="E163" s="4">
        <v>1.26</v>
      </c>
      <c r="F163" s="15">
        <v>24198923</v>
      </c>
      <c r="G163" s="15">
        <v>24731209</v>
      </c>
      <c r="H163" s="15"/>
      <c r="I163" s="15"/>
      <c r="J163" s="15"/>
      <c r="K163" s="15"/>
      <c r="L163" s="15"/>
      <c r="M163" s="15"/>
      <c r="N163" s="15">
        <v>24198923</v>
      </c>
      <c r="O163" s="15">
        <v>24731209</v>
      </c>
      <c r="P163" s="4">
        <v>2.2000000000000002</v>
      </c>
      <c r="Q163" s="15">
        <v>690725</v>
      </c>
      <c r="R163" s="15">
        <v>585892</v>
      </c>
      <c r="S163" s="15">
        <v>23508198</v>
      </c>
      <c r="T163" s="15">
        <v>24170317</v>
      </c>
      <c r="U163" s="15">
        <v>23508198</v>
      </c>
      <c r="V163" s="15">
        <v>24145317</v>
      </c>
      <c r="W163" s="15">
        <v>0</v>
      </c>
      <c r="X163" s="15">
        <v>25000</v>
      </c>
      <c r="Y163" s="4">
        <v>369</v>
      </c>
      <c r="Z163" s="4">
        <v>369</v>
      </c>
      <c r="AA163" s="4">
        <v>0</v>
      </c>
      <c r="AB163" s="15">
        <v>3912000</v>
      </c>
      <c r="AC163" s="15">
        <v>4140000</v>
      </c>
      <c r="AD163" s="15">
        <v>743901</v>
      </c>
      <c r="AE163" s="15">
        <v>750000</v>
      </c>
      <c r="AF163" s="15">
        <v>5300000</v>
      </c>
      <c r="AG163" s="15">
        <v>5000000</v>
      </c>
      <c r="AH163" s="4">
        <v>19.690000000000001</v>
      </c>
      <c r="AI163" s="6">
        <v>18.350000000000001</v>
      </c>
    </row>
    <row r="164" spans="1:35" x14ac:dyDescent="0.25">
      <c r="A164" s="5" t="str">
        <f>"500402"</f>
        <v>500402</v>
      </c>
      <c r="B164" s="3" t="s">
        <v>437</v>
      </c>
      <c r="C164" s="15">
        <v>272449633</v>
      </c>
      <c r="D164" s="15">
        <v>262544765</v>
      </c>
      <c r="E164" s="4">
        <v>-3.64</v>
      </c>
      <c r="F164" s="15">
        <v>154490227</v>
      </c>
      <c r="G164" s="15">
        <v>160613492</v>
      </c>
      <c r="H164" s="15"/>
      <c r="I164" s="15"/>
      <c r="J164" s="15"/>
      <c r="K164" s="15"/>
      <c r="L164" s="15"/>
      <c r="M164" s="15"/>
      <c r="N164" s="15">
        <v>154490227</v>
      </c>
      <c r="O164" s="15">
        <v>160613492</v>
      </c>
      <c r="P164" s="4">
        <v>3.96</v>
      </c>
      <c r="Q164" s="15">
        <v>2590102</v>
      </c>
      <c r="R164" s="15">
        <v>2735178</v>
      </c>
      <c r="S164" s="15">
        <v>156023654</v>
      </c>
      <c r="T164" s="15">
        <v>157878314</v>
      </c>
      <c r="U164" s="15">
        <v>151900125</v>
      </c>
      <c r="V164" s="15">
        <v>157878314</v>
      </c>
      <c r="W164" s="15">
        <v>4123529</v>
      </c>
      <c r="X164" s="15">
        <v>0</v>
      </c>
      <c r="Y164" s="4">
        <v>9132</v>
      </c>
      <c r="Z164" s="4">
        <v>9594</v>
      </c>
      <c r="AA164" s="4">
        <v>5.0599999999999996</v>
      </c>
      <c r="AB164" s="15">
        <v>103294</v>
      </c>
      <c r="AC164" s="15">
        <v>103494</v>
      </c>
      <c r="AD164" s="15">
        <v>0</v>
      </c>
      <c r="AE164" s="15">
        <v>0</v>
      </c>
      <c r="AF164" s="15">
        <v>10324388</v>
      </c>
      <c r="AG164" s="15">
        <v>9632844</v>
      </c>
      <c r="AH164" s="4">
        <v>3.79</v>
      </c>
      <c r="AI164" s="6">
        <v>3.67</v>
      </c>
    </row>
    <row r="165" spans="1:35" x14ac:dyDescent="0.25">
      <c r="A165" s="5" t="str">
        <f>"261313"</f>
        <v>261313</v>
      </c>
      <c r="B165" s="3" t="s">
        <v>252</v>
      </c>
      <c r="C165" s="15">
        <v>29368320</v>
      </c>
      <c r="D165" s="15">
        <v>30255842</v>
      </c>
      <c r="E165" s="4">
        <v>3.02</v>
      </c>
      <c r="F165" s="15">
        <v>14931606</v>
      </c>
      <c r="G165" s="15">
        <v>15168233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14931606</v>
      </c>
      <c r="O165" s="15">
        <v>15168233</v>
      </c>
      <c r="P165" s="4">
        <v>1.58</v>
      </c>
      <c r="Q165" s="15">
        <v>0</v>
      </c>
      <c r="R165" s="15">
        <v>0</v>
      </c>
      <c r="S165" s="15">
        <v>14931606</v>
      </c>
      <c r="T165" s="15">
        <v>15168233</v>
      </c>
      <c r="U165" s="15">
        <v>14931606</v>
      </c>
      <c r="V165" s="15">
        <v>15168233</v>
      </c>
      <c r="W165" s="15">
        <v>0</v>
      </c>
      <c r="X165" s="15">
        <v>0</v>
      </c>
      <c r="Y165" s="4">
        <v>1056</v>
      </c>
      <c r="Z165" s="4">
        <v>1048</v>
      </c>
      <c r="AA165" s="4">
        <v>-0.76</v>
      </c>
      <c r="AB165" s="15">
        <v>19886848</v>
      </c>
      <c r="AC165" s="15">
        <v>21477796</v>
      </c>
      <c r="AD165" s="15">
        <v>1119026</v>
      </c>
      <c r="AE165" s="15">
        <v>1060000</v>
      </c>
      <c r="AF165" s="15">
        <v>1174733</v>
      </c>
      <c r="AG165" s="15">
        <v>1210234</v>
      </c>
      <c r="AH165" s="4">
        <v>4</v>
      </c>
      <c r="AI165" s="6">
        <v>4</v>
      </c>
    </row>
    <row r="166" spans="1:35" x14ac:dyDescent="0.25">
      <c r="A166" s="5" t="str">
        <f>"280219"</f>
        <v>280219</v>
      </c>
      <c r="B166" s="3" t="s">
        <v>283</v>
      </c>
      <c r="C166" s="15">
        <v>41764646</v>
      </c>
      <c r="D166" s="15">
        <v>42633723</v>
      </c>
      <c r="E166" s="4">
        <v>2.08</v>
      </c>
      <c r="F166" s="15">
        <v>31870299</v>
      </c>
      <c r="G166" s="15">
        <v>32166055</v>
      </c>
      <c r="H166" s="15"/>
      <c r="I166" s="15"/>
      <c r="J166" s="15"/>
      <c r="K166" s="15"/>
      <c r="L166" s="15"/>
      <c r="M166" s="15"/>
      <c r="N166" s="15">
        <v>31870299</v>
      </c>
      <c r="O166" s="15">
        <v>32166055</v>
      </c>
      <c r="P166" s="4">
        <v>0.93</v>
      </c>
      <c r="Q166" s="15">
        <v>1028969</v>
      </c>
      <c r="R166" s="15">
        <v>981966</v>
      </c>
      <c r="S166" s="15">
        <v>31153340</v>
      </c>
      <c r="T166" s="15">
        <v>32101550</v>
      </c>
      <c r="U166" s="15">
        <v>30841330</v>
      </c>
      <c r="V166" s="15">
        <v>31184089</v>
      </c>
      <c r="W166" s="15">
        <v>312010</v>
      </c>
      <c r="X166" s="15">
        <v>917461</v>
      </c>
      <c r="Y166" s="4">
        <v>1116</v>
      </c>
      <c r="Z166" s="4">
        <v>1133</v>
      </c>
      <c r="AA166" s="4">
        <v>1.52</v>
      </c>
      <c r="AB166" s="15">
        <v>13570006</v>
      </c>
      <c r="AC166" s="15">
        <v>7528503</v>
      </c>
      <c r="AD166" s="15">
        <v>1105000</v>
      </c>
      <c r="AE166" s="15">
        <v>1335000</v>
      </c>
      <c r="AF166" s="15">
        <v>3670587</v>
      </c>
      <c r="AG166" s="15">
        <v>1703888</v>
      </c>
      <c r="AH166" s="4">
        <v>8.7899999999999991</v>
      </c>
      <c r="AI166" s="6">
        <v>4</v>
      </c>
    </row>
    <row r="167" spans="1:35" x14ac:dyDescent="0.25">
      <c r="A167" s="5" t="str">
        <f>"420401"</f>
        <v>420401</v>
      </c>
      <c r="B167" s="3" t="s">
        <v>344</v>
      </c>
      <c r="C167" s="15">
        <v>88012248</v>
      </c>
      <c r="D167" s="15">
        <v>92300483</v>
      </c>
      <c r="E167" s="4">
        <v>4.87</v>
      </c>
      <c r="F167" s="15">
        <v>50264643</v>
      </c>
      <c r="G167" s="15">
        <v>51564175</v>
      </c>
      <c r="H167" s="15"/>
      <c r="I167" s="15"/>
      <c r="J167" s="15"/>
      <c r="K167" s="15"/>
      <c r="L167" s="15"/>
      <c r="M167" s="15"/>
      <c r="N167" s="15">
        <v>50264643</v>
      </c>
      <c r="O167" s="15">
        <v>51564175</v>
      </c>
      <c r="P167" s="4">
        <v>2.59</v>
      </c>
      <c r="Q167" s="15">
        <v>1195102</v>
      </c>
      <c r="R167" s="15">
        <v>1180826</v>
      </c>
      <c r="S167" s="15">
        <v>49169541</v>
      </c>
      <c r="T167" s="15">
        <v>50383349</v>
      </c>
      <c r="U167" s="15">
        <v>49069541</v>
      </c>
      <c r="V167" s="15">
        <v>50383349</v>
      </c>
      <c r="W167" s="15">
        <v>100000</v>
      </c>
      <c r="X167" s="15">
        <v>0</v>
      </c>
      <c r="Y167" s="4">
        <v>3313</v>
      </c>
      <c r="Z167" s="4">
        <v>3406</v>
      </c>
      <c r="AA167" s="4">
        <v>2.81</v>
      </c>
      <c r="AB167" s="15">
        <v>8741651</v>
      </c>
      <c r="AC167" s="15">
        <v>9246892</v>
      </c>
      <c r="AD167" s="15">
        <v>786778</v>
      </c>
      <c r="AE167" s="15">
        <v>750000</v>
      </c>
      <c r="AF167" s="15">
        <v>3627112</v>
      </c>
      <c r="AG167" s="15">
        <v>3692019</v>
      </c>
      <c r="AH167" s="4">
        <v>4.12</v>
      </c>
      <c r="AI167" s="6">
        <v>4</v>
      </c>
    </row>
    <row r="168" spans="1:35" x14ac:dyDescent="0.25">
      <c r="A168" s="5" t="str">
        <f>"280402"</f>
        <v>280402</v>
      </c>
      <c r="B168" s="3" t="s">
        <v>297</v>
      </c>
      <c r="C168" s="15">
        <v>63984675</v>
      </c>
      <c r="D168" s="15">
        <v>66318706</v>
      </c>
      <c r="E168" s="4">
        <v>3.65</v>
      </c>
      <c r="F168" s="15">
        <v>57675362</v>
      </c>
      <c r="G168" s="15">
        <v>58068068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57675362</v>
      </c>
      <c r="O168" s="15">
        <v>58068068</v>
      </c>
      <c r="P168" s="4">
        <v>0.68</v>
      </c>
      <c r="Q168" s="15">
        <v>2516815</v>
      </c>
      <c r="R168" s="15">
        <v>1865313</v>
      </c>
      <c r="S168" s="15">
        <v>55158547</v>
      </c>
      <c r="T168" s="15">
        <v>57056346</v>
      </c>
      <c r="U168" s="15">
        <v>55158547</v>
      </c>
      <c r="V168" s="15">
        <v>56202755</v>
      </c>
      <c r="W168" s="15">
        <v>0</v>
      </c>
      <c r="X168" s="15">
        <v>853591</v>
      </c>
      <c r="Y168" s="4">
        <v>1648</v>
      </c>
      <c r="Z168" s="4">
        <v>1621</v>
      </c>
      <c r="AA168" s="4">
        <v>-1.64</v>
      </c>
      <c r="AB168" s="15">
        <v>2813764</v>
      </c>
      <c r="AC168" s="15">
        <v>2283000</v>
      </c>
      <c r="AD168" s="15">
        <v>544000</v>
      </c>
      <c r="AE168" s="15">
        <v>644000</v>
      </c>
      <c r="AF168" s="15">
        <v>2559387</v>
      </c>
      <c r="AG168" s="15">
        <v>2652748</v>
      </c>
      <c r="AH168" s="4">
        <v>4</v>
      </c>
      <c r="AI168" s="6">
        <v>4</v>
      </c>
    </row>
    <row r="169" spans="1:35" x14ac:dyDescent="0.25">
      <c r="A169" s="5" t="str">
        <f>"660301"</f>
        <v>660301</v>
      </c>
      <c r="B169" s="3" t="s">
        <v>629</v>
      </c>
      <c r="C169" s="15">
        <v>92332000</v>
      </c>
      <c r="D169" s="15">
        <v>96208000</v>
      </c>
      <c r="E169" s="4">
        <v>4.2</v>
      </c>
      <c r="F169" s="15">
        <v>77921000</v>
      </c>
      <c r="G169" s="15">
        <v>79308000</v>
      </c>
      <c r="H169" s="15"/>
      <c r="I169" s="15"/>
      <c r="J169" s="15"/>
      <c r="K169" s="15"/>
      <c r="L169" s="15"/>
      <c r="M169" s="15"/>
      <c r="N169" s="15">
        <v>77921000</v>
      </c>
      <c r="O169" s="15">
        <v>79308000</v>
      </c>
      <c r="P169" s="4">
        <v>1.78</v>
      </c>
      <c r="Q169" s="15">
        <v>4912983</v>
      </c>
      <c r="R169" s="15">
        <v>4744457</v>
      </c>
      <c r="S169" s="15">
        <v>73008749</v>
      </c>
      <c r="T169" s="15">
        <v>74563553</v>
      </c>
      <c r="U169" s="15">
        <v>73008017</v>
      </c>
      <c r="V169" s="15">
        <v>74563543</v>
      </c>
      <c r="W169" s="15">
        <v>732</v>
      </c>
      <c r="X169" s="15">
        <v>10</v>
      </c>
      <c r="Y169" s="4">
        <v>3163</v>
      </c>
      <c r="Z169" s="4">
        <v>3154</v>
      </c>
      <c r="AA169" s="4">
        <v>-0.28000000000000003</v>
      </c>
      <c r="AB169" s="15">
        <v>5984063</v>
      </c>
      <c r="AC169" s="15">
        <v>6145000</v>
      </c>
      <c r="AD169" s="15">
        <v>1161798</v>
      </c>
      <c r="AE169" s="15">
        <v>500000</v>
      </c>
      <c r="AF169" s="15">
        <v>3678253</v>
      </c>
      <c r="AG169" s="15">
        <v>3848320</v>
      </c>
      <c r="AH169" s="4">
        <v>3.98</v>
      </c>
      <c r="AI169" s="6">
        <v>4</v>
      </c>
    </row>
    <row r="170" spans="1:35" x14ac:dyDescent="0.25">
      <c r="A170" s="5" t="str">
        <f>"580912"</f>
        <v>580912</v>
      </c>
      <c r="B170" s="3" t="s">
        <v>557</v>
      </c>
      <c r="C170" s="15">
        <v>98687843</v>
      </c>
      <c r="D170" s="15">
        <v>103970263</v>
      </c>
      <c r="E170" s="4">
        <v>5.35</v>
      </c>
      <c r="F170" s="15">
        <v>58347350</v>
      </c>
      <c r="G170" s="15">
        <v>60027760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58347350</v>
      </c>
      <c r="O170" s="15">
        <v>60027760</v>
      </c>
      <c r="P170" s="4">
        <v>2.88</v>
      </c>
      <c r="Q170" s="15">
        <v>433223</v>
      </c>
      <c r="R170" s="15">
        <v>952247</v>
      </c>
      <c r="S170" s="15">
        <v>57914128</v>
      </c>
      <c r="T170" s="15">
        <v>59075514</v>
      </c>
      <c r="U170" s="15">
        <v>57914127</v>
      </c>
      <c r="V170" s="15">
        <v>59075513</v>
      </c>
      <c r="W170" s="15">
        <v>1</v>
      </c>
      <c r="X170" s="15">
        <v>1</v>
      </c>
      <c r="Y170" s="4">
        <v>2911</v>
      </c>
      <c r="Z170" s="4">
        <v>2730</v>
      </c>
      <c r="AA170" s="4">
        <v>-6.22</v>
      </c>
      <c r="AB170" s="15">
        <v>15550338</v>
      </c>
      <c r="AC170" s="15">
        <v>12890338</v>
      </c>
      <c r="AD170" s="15">
        <v>0</v>
      </c>
      <c r="AE170" s="15">
        <v>500000</v>
      </c>
      <c r="AF170" s="15">
        <v>3947514</v>
      </c>
      <c r="AG170" s="15">
        <v>4158810</v>
      </c>
      <c r="AH170" s="4">
        <v>4</v>
      </c>
      <c r="AI170" s="6">
        <v>4</v>
      </c>
    </row>
    <row r="171" spans="1:35" x14ac:dyDescent="0.25">
      <c r="A171" s="5" t="str">
        <f>"141201"</f>
        <v>141201</v>
      </c>
      <c r="B171" s="3" t="s">
        <v>140</v>
      </c>
      <c r="C171" s="15">
        <v>32637781</v>
      </c>
      <c r="D171" s="15">
        <v>33836483</v>
      </c>
      <c r="E171" s="4">
        <v>3.67</v>
      </c>
      <c r="F171" s="15">
        <v>15164827</v>
      </c>
      <c r="G171" s="15">
        <v>15460541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15164827</v>
      </c>
      <c r="O171" s="15">
        <v>15460541</v>
      </c>
      <c r="P171" s="4">
        <v>1.95</v>
      </c>
      <c r="Q171" s="15">
        <v>78133</v>
      </c>
      <c r="R171" s="15">
        <v>0</v>
      </c>
      <c r="S171" s="15">
        <v>15208619</v>
      </c>
      <c r="T171" s="15">
        <v>15488360</v>
      </c>
      <c r="U171" s="15">
        <v>15086694</v>
      </c>
      <c r="V171" s="15">
        <v>15460541</v>
      </c>
      <c r="W171" s="15">
        <v>121925</v>
      </c>
      <c r="X171" s="15">
        <v>27819</v>
      </c>
      <c r="Y171" s="4">
        <v>1253</v>
      </c>
      <c r="Z171" s="4">
        <v>1262</v>
      </c>
      <c r="AA171" s="4">
        <v>0.72</v>
      </c>
      <c r="AB171" s="15">
        <v>10050646</v>
      </c>
      <c r="AC171" s="15">
        <v>6231273</v>
      </c>
      <c r="AD171" s="15">
        <v>2063668</v>
      </c>
      <c r="AE171" s="15">
        <v>2063668</v>
      </c>
      <c r="AF171" s="15">
        <v>1181959</v>
      </c>
      <c r="AG171" s="15">
        <v>1353459</v>
      </c>
      <c r="AH171" s="4">
        <v>3.62</v>
      </c>
      <c r="AI171" s="6">
        <v>4</v>
      </c>
    </row>
    <row r="172" spans="1:35" x14ac:dyDescent="0.25">
      <c r="A172" s="5" t="str">
        <f>"660406"</f>
        <v>660406</v>
      </c>
      <c r="B172" s="3" t="s">
        <v>637</v>
      </c>
      <c r="C172" s="15">
        <v>65251389</v>
      </c>
      <c r="D172" s="15">
        <v>67026024</v>
      </c>
      <c r="E172" s="4">
        <v>2.72</v>
      </c>
      <c r="F172" s="15">
        <v>55984120</v>
      </c>
      <c r="G172" s="15">
        <v>56878230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55984120</v>
      </c>
      <c r="O172" s="15">
        <v>56878230</v>
      </c>
      <c r="P172" s="4">
        <v>1.6</v>
      </c>
      <c r="Q172" s="15">
        <v>2170546</v>
      </c>
      <c r="R172" s="15">
        <v>1777100</v>
      </c>
      <c r="S172" s="15">
        <v>53813574</v>
      </c>
      <c r="T172" s="15">
        <v>55101130</v>
      </c>
      <c r="U172" s="15">
        <v>53813574</v>
      </c>
      <c r="V172" s="15">
        <v>55101130</v>
      </c>
      <c r="W172" s="15">
        <v>0</v>
      </c>
      <c r="X172" s="15">
        <v>0</v>
      </c>
      <c r="Y172" s="4">
        <v>2031</v>
      </c>
      <c r="Z172" s="4">
        <v>1976</v>
      </c>
      <c r="AA172" s="4">
        <v>-2.71</v>
      </c>
      <c r="AB172" s="15">
        <v>9832512</v>
      </c>
      <c r="AC172" s="15">
        <v>9461830</v>
      </c>
      <c r="AD172" s="15">
        <v>2933731</v>
      </c>
      <c r="AE172" s="15">
        <v>1000000</v>
      </c>
      <c r="AF172" s="15">
        <v>2610055</v>
      </c>
      <c r="AG172" s="15">
        <v>2681041</v>
      </c>
      <c r="AH172" s="4">
        <v>4</v>
      </c>
      <c r="AI172" s="6">
        <v>4</v>
      </c>
    </row>
    <row r="173" spans="1:35" x14ac:dyDescent="0.25">
      <c r="A173" s="5" t="str">
        <f>"520601"</f>
        <v>520601</v>
      </c>
      <c r="B173" s="3" t="s">
        <v>458</v>
      </c>
      <c r="C173" s="15">
        <v>3746725</v>
      </c>
      <c r="D173" s="15">
        <v>3801575</v>
      </c>
      <c r="E173" s="4">
        <v>1.46</v>
      </c>
      <c r="F173" s="15">
        <v>2389725</v>
      </c>
      <c r="G173" s="15">
        <v>2425575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2389725</v>
      </c>
      <c r="O173" s="15">
        <v>2425575</v>
      </c>
      <c r="P173" s="4">
        <v>1.5</v>
      </c>
      <c r="Q173" s="15">
        <v>2392718</v>
      </c>
      <c r="R173" s="15">
        <v>2455381</v>
      </c>
      <c r="S173" s="15">
        <v>2389725</v>
      </c>
      <c r="T173" s="15">
        <v>2425575</v>
      </c>
      <c r="U173" s="15">
        <v>-2993</v>
      </c>
      <c r="V173" s="15">
        <v>-29806</v>
      </c>
      <c r="W173" s="15">
        <v>2392718</v>
      </c>
      <c r="X173" s="15">
        <v>2455381</v>
      </c>
      <c r="Y173" s="4">
        <v>56</v>
      </c>
      <c r="Z173" s="4">
        <v>55</v>
      </c>
      <c r="AA173" s="4">
        <v>-1.79</v>
      </c>
      <c r="AB173" s="15">
        <v>2190569</v>
      </c>
      <c r="AC173" s="15">
        <v>2313183</v>
      </c>
      <c r="AD173" s="15">
        <v>347498</v>
      </c>
      <c r="AE173" s="15">
        <v>345000</v>
      </c>
      <c r="AF173" s="15">
        <v>154489</v>
      </c>
      <c r="AG173" s="15">
        <v>152063</v>
      </c>
      <c r="AH173" s="4">
        <v>4.12</v>
      </c>
      <c r="AI173" s="6">
        <v>4</v>
      </c>
    </row>
    <row r="174" spans="1:35" x14ac:dyDescent="0.25">
      <c r="A174" s="5" t="str">
        <f>"470501"</f>
        <v>470501</v>
      </c>
      <c r="B174" s="3" t="s">
        <v>400</v>
      </c>
      <c r="C174" s="15">
        <v>10215239</v>
      </c>
      <c r="D174" s="15">
        <v>10286391</v>
      </c>
      <c r="E174" s="4">
        <v>0.7</v>
      </c>
      <c r="F174" s="15">
        <v>2642904</v>
      </c>
      <c r="G174" s="15">
        <v>2642904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2642904</v>
      </c>
      <c r="O174" s="15">
        <v>2642904</v>
      </c>
      <c r="P174" s="4">
        <v>0</v>
      </c>
      <c r="Q174" s="15">
        <v>186743</v>
      </c>
      <c r="R174" s="15">
        <v>148891</v>
      </c>
      <c r="S174" s="15">
        <v>2456161</v>
      </c>
      <c r="T174" s="15">
        <v>2518763</v>
      </c>
      <c r="U174" s="15">
        <v>2456161</v>
      </c>
      <c r="V174" s="15">
        <v>2494013</v>
      </c>
      <c r="W174" s="15">
        <v>0</v>
      </c>
      <c r="X174" s="15">
        <v>24750</v>
      </c>
      <c r="Y174" s="4">
        <v>342</v>
      </c>
      <c r="Z174" s="4">
        <v>356</v>
      </c>
      <c r="AA174" s="4">
        <v>4.09</v>
      </c>
      <c r="AB174" s="15">
        <v>1535029</v>
      </c>
      <c r="AC174" s="15">
        <v>1519569</v>
      </c>
      <c r="AD174" s="15">
        <v>155000</v>
      </c>
      <c r="AE174" s="15">
        <v>0</v>
      </c>
      <c r="AF174" s="15">
        <v>1851155</v>
      </c>
      <c r="AG174" s="15">
        <v>1928807</v>
      </c>
      <c r="AH174" s="4">
        <v>18.12</v>
      </c>
      <c r="AI174" s="6">
        <v>18.75</v>
      </c>
    </row>
    <row r="175" spans="1:35" x14ac:dyDescent="0.25">
      <c r="A175" s="5" t="str">
        <f>"513102"</f>
        <v>513102</v>
      </c>
      <c r="B175" s="3" t="s">
        <v>454</v>
      </c>
      <c r="C175" s="15">
        <v>16690000</v>
      </c>
      <c r="D175" s="15">
        <v>16889182</v>
      </c>
      <c r="E175" s="4">
        <v>1.19</v>
      </c>
      <c r="F175" s="15">
        <v>1985312</v>
      </c>
      <c r="G175" s="15">
        <v>1985312</v>
      </c>
      <c r="H175" s="15"/>
      <c r="I175" s="15"/>
      <c r="J175" s="15"/>
      <c r="K175" s="15"/>
      <c r="L175" s="15"/>
      <c r="M175" s="15"/>
      <c r="N175" s="15">
        <v>1985312</v>
      </c>
      <c r="O175" s="15">
        <v>1985312</v>
      </c>
      <c r="P175" s="4">
        <v>0</v>
      </c>
      <c r="Q175" s="15">
        <v>162440</v>
      </c>
      <c r="R175" s="15">
        <v>130434</v>
      </c>
      <c r="S175" s="15">
        <v>1850758</v>
      </c>
      <c r="T175" s="15">
        <v>1885673</v>
      </c>
      <c r="U175" s="15">
        <v>1822872</v>
      </c>
      <c r="V175" s="15">
        <v>1854878</v>
      </c>
      <c r="W175" s="15">
        <v>27886</v>
      </c>
      <c r="X175" s="15">
        <v>30795</v>
      </c>
      <c r="Y175" s="4">
        <v>491</v>
      </c>
      <c r="Z175" s="4">
        <v>500</v>
      </c>
      <c r="AA175" s="4">
        <v>1.83</v>
      </c>
      <c r="AB175" s="15">
        <v>4276141</v>
      </c>
      <c r="AC175" s="15">
        <v>5200436</v>
      </c>
      <c r="AD175" s="15">
        <v>1025711</v>
      </c>
      <c r="AE175" s="15">
        <v>1046949</v>
      </c>
      <c r="AF175" s="15">
        <v>2850785</v>
      </c>
      <c r="AG175" s="15">
        <v>1688918</v>
      </c>
      <c r="AH175" s="4">
        <v>17.079999999999998</v>
      </c>
      <c r="AI175" s="6">
        <v>10</v>
      </c>
    </row>
    <row r="176" spans="1:35" x14ac:dyDescent="0.25">
      <c r="A176" s="5" t="str">
        <f>"180901"</f>
        <v>180901</v>
      </c>
      <c r="B176" s="3" t="s">
        <v>181</v>
      </c>
      <c r="C176" s="15">
        <v>10942533</v>
      </c>
      <c r="D176" s="15">
        <v>11215950</v>
      </c>
      <c r="E176" s="4">
        <v>2.5</v>
      </c>
      <c r="F176" s="15">
        <v>3204487</v>
      </c>
      <c r="G176" s="15">
        <v>3268256</v>
      </c>
      <c r="H176" s="15"/>
      <c r="I176" s="15"/>
      <c r="J176" s="15"/>
      <c r="K176" s="15"/>
      <c r="L176" s="15"/>
      <c r="M176" s="15"/>
      <c r="N176" s="15">
        <v>3204487</v>
      </c>
      <c r="O176" s="15">
        <v>3268256</v>
      </c>
      <c r="P176" s="4">
        <v>1.99</v>
      </c>
      <c r="Q176" s="15">
        <v>281841</v>
      </c>
      <c r="R176" s="15">
        <v>272310</v>
      </c>
      <c r="S176" s="15">
        <v>2925623</v>
      </c>
      <c r="T176" s="15">
        <v>3000338</v>
      </c>
      <c r="U176" s="15">
        <v>2922646</v>
      </c>
      <c r="V176" s="15">
        <v>2995946</v>
      </c>
      <c r="W176" s="15">
        <v>2977</v>
      </c>
      <c r="X176" s="15">
        <v>4392</v>
      </c>
      <c r="Y176" s="4">
        <v>412</v>
      </c>
      <c r="Z176" s="4">
        <v>416</v>
      </c>
      <c r="AA176" s="4">
        <v>0.97</v>
      </c>
      <c r="AB176" s="15">
        <v>295461</v>
      </c>
      <c r="AC176" s="15">
        <v>299820</v>
      </c>
      <c r="AD176" s="15">
        <v>299820</v>
      </c>
      <c r="AE176" s="15">
        <v>308656</v>
      </c>
      <c r="AF176" s="15">
        <v>437701</v>
      </c>
      <c r="AG176" s="15">
        <v>448638</v>
      </c>
      <c r="AH176" s="4">
        <v>4</v>
      </c>
      <c r="AI176" s="6">
        <v>4</v>
      </c>
    </row>
    <row r="177" spans="1:35" x14ac:dyDescent="0.25">
      <c r="A177" s="5" t="str">
        <f>"590801"</f>
        <v>590801</v>
      </c>
      <c r="B177" s="3" t="s">
        <v>566</v>
      </c>
      <c r="C177" s="15">
        <v>18607926</v>
      </c>
      <c r="D177" s="15">
        <v>18987402</v>
      </c>
      <c r="E177" s="4">
        <v>2.04</v>
      </c>
      <c r="F177" s="15">
        <v>11930173</v>
      </c>
      <c r="G177" s="15">
        <v>12109126</v>
      </c>
      <c r="H177" s="15"/>
      <c r="I177" s="15"/>
      <c r="J177" s="15"/>
      <c r="K177" s="15"/>
      <c r="L177" s="15"/>
      <c r="M177" s="15"/>
      <c r="N177" s="15">
        <v>11930173</v>
      </c>
      <c r="O177" s="15">
        <v>12109126</v>
      </c>
      <c r="P177" s="4">
        <v>1.5</v>
      </c>
      <c r="Q177" s="15">
        <v>800202</v>
      </c>
      <c r="R177" s="15">
        <v>785693</v>
      </c>
      <c r="S177" s="15">
        <v>11503063</v>
      </c>
      <c r="T177" s="15">
        <v>11429083</v>
      </c>
      <c r="U177" s="15">
        <v>11129971</v>
      </c>
      <c r="V177" s="15">
        <v>11323433</v>
      </c>
      <c r="W177" s="15">
        <v>373092</v>
      </c>
      <c r="X177" s="15">
        <v>105650</v>
      </c>
      <c r="Y177" s="4">
        <v>468</v>
      </c>
      <c r="Z177" s="4">
        <v>464</v>
      </c>
      <c r="AA177" s="4">
        <v>-0.85</v>
      </c>
      <c r="AB177" s="15">
        <v>1509695</v>
      </c>
      <c r="AC177" s="15">
        <v>1509695</v>
      </c>
      <c r="AD177" s="15">
        <v>109000</v>
      </c>
      <c r="AE177" s="15">
        <v>200000</v>
      </c>
      <c r="AF177" s="15">
        <v>2188993</v>
      </c>
      <c r="AG177" s="15">
        <v>2388993</v>
      </c>
      <c r="AH177" s="4">
        <v>11.76</v>
      </c>
      <c r="AI177" s="6">
        <v>12.58</v>
      </c>
    </row>
    <row r="178" spans="1:35" x14ac:dyDescent="0.25">
      <c r="A178" s="5" t="str">
        <f>"622002"</f>
        <v>622002</v>
      </c>
      <c r="B178" s="3" t="s">
        <v>593</v>
      </c>
      <c r="C178" s="15">
        <v>55081453</v>
      </c>
      <c r="D178" s="15">
        <v>56802192</v>
      </c>
      <c r="E178" s="4">
        <v>3.12</v>
      </c>
      <c r="F178" s="15">
        <v>25458691</v>
      </c>
      <c r="G178" s="15">
        <v>27112625</v>
      </c>
      <c r="H178" s="15"/>
      <c r="I178" s="15"/>
      <c r="J178" s="15"/>
      <c r="K178" s="15"/>
      <c r="L178" s="15"/>
      <c r="M178" s="15"/>
      <c r="N178" s="15">
        <v>25458691</v>
      </c>
      <c r="O178" s="15">
        <v>27112625</v>
      </c>
      <c r="P178" s="4">
        <v>6.5</v>
      </c>
      <c r="Q178" s="15">
        <v>274930</v>
      </c>
      <c r="R178" s="15">
        <v>827543</v>
      </c>
      <c r="S178" s="15">
        <v>25183760</v>
      </c>
      <c r="T178" s="15">
        <v>26285083</v>
      </c>
      <c r="U178" s="15">
        <v>25183761</v>
      </c>
      <c r="V178" s="15">
        <v>26285082</v>
      </c>
      <c r="W178" s="15">
        <v>-1</v>
      </c>
      <c r="X178" s="15">
        <v>1</v>
      </c>
      <c r="Y178" s="4">
        <v>1564</v>
      </c>
      <c r="Z178" s="4">
        <v>1500</v>
      </c>
      <c r="AA178" s="4">
        <v>-4.09</v>
      </c>
      <c r="AB178" s="15">
        <v>4672451</v>
      </c>
      <c r="AC178" s="15">
        <v>4672451</v>
      </c>
      <c r="AD178" s="15">
        <v>2812655</v>
      </c>
      <c r="AE178" s="15">
        <v>2391629</v>
      </c>
      <c r="AF178" s="15">
        <v>2203258</v>
      </c>
      <c r="AG178" s="15">
        <v>2272088</v>
      </c>
      <c r="AH178" s="4">
        <v>4</v>
      </c>
      <c r="AI178" s="6">
        <v>4</v>
      </c>
    </row>
    <row r="179" spans="1:35" x14ac:dyDescent="0.25">
      <c r="A179" s="5" t="str">
        <f>"040901"</f>
        <v>040901</v>
      </c>
      <c r="B179" s="3" t="s">
        <v>38</v>
      </c>
      <c r="C179" s="15">
        <v>13458285</v>
      </c>
      <c r="D179" s="15">
        <v>14325144</v>
      </c>
      <c r="E179" s="4">
        <v>6.44</v>
      </c>
      <c r="F179" s="15">
        <v>8174498</v>
      </c>
      <c r="G179" s="15">
        <v>8734276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8174498</v>
      </c>
      <c r="O179" s="15">
        <v>8734276</v>
      </c>
      <c r="P179" s="4">
        <v>6.85</v>
      </c>
      <c r="Q179" s="15">
        <v>856657</v>
      </c>
      <c r="R179" s="15">
        <v>862510</v>
      </c>
      <c r="S179" s="15">
        <v>7317841</v>
      </c>
      <c r="T179" s="15">
        <v>7526019</v>
      </c>
      <c r="U179" s="15">
        <v>7317841</v>
      </c>
      <c r="V179" s="15">
        <v>7871766</v>
      </c>
      <c r="W179" s="15">
        <v>0</v>
      </c>
      <c r="X179" s="15">
        <v>-345747</v>
      </c>
      <c r="Y179" s="4">
        <v>623</v>
      </c>
      <c r="Z179" s="4">
        <v>616</v>
      </c>
      <c r="AA179" s="4">
        <v>-1.1200000000000001</v>
      </c>
      <c r="AB179" s="15">
        <v>956320</v>
      </c>
      <c r="AC179" s="15">
        <v>1716636</v>
      </c>
      <c r="AD179" s="15">
        <v>527729</v>
      </c>
      <c r="AE179" s="15">
        <v>620144</v>
      </c>
      <c r="AF179" s="15">
        <v>740205</v>
      </c>
      <c r="AG179" s="15">
        <v>712863</v>
      </c>
      <c r="AH179" s="4">
        <v>5.5</v>
      </c>
      <c r="AI179" s="6">
        <v>4.9800000000000004</v>
      </c>
    </row>
    <row r="180" spans="1:35" x14ac:dyDescent="0.25">
      <c r="A180" s="5" t="str">
        <f>"070600"</f>
        <v>070600</v>
      </c>
      <c r="B180" s="3" t="s">
        <v>73</v>
      </c>
      <c r="C180" s="15">
        <v>134480427</v>
      </c>
      <c r="D180" s="15">
        <v>138440248</v>
      </c>
      <c r="E180" s="4">
        <v>2.94</v>
      </c>
      <c r="F180" s="15">
        <v>34849948</v>
      </c>
      <c r="G180" s="15">
        <v>34849948</v>
      </c>
      <c r="H180" s="15"/>
      <c r="I180" s="15"/>
      <c r="J180" s="15"/>
      <c r="K180" s="15"/>
      <c r="L180" s="15"/>
      <c r="M180" s="15"/>
      <c r="N180" s="15">
        <v>34849948</v>
      </c>
      <c r="O180" s="15">
        <v>34849948</v>
      </c>
      <c r="P180" s="4">
        <v>0</v>
      </c>
      <c r="Q180" s="15">
        <v>1351112</v>
      </c>
      <c r="R180" s="15">
        <v>610898</v>
      </c>
      <c r="S180" s="15">
        <v>34198144</v>
      </c>
      <c r="T180" s="15">
        <v>34250673</v>
      </c>
      <c r="U180" s="15">
        <v>33498836</v>
      </c>
      <c r="V180" s="15">
        <v>34239050</v>
      </c>
      <c r="W180" s="15">
        <v>699308</v>
      </c>
      <c r="X180" s="15">
        <v>11623</v>
      </c>
      <c r="Y180" s="4">
        <v>6549</v>
      </c>
      <c r="Z180" s="4">
        <v>5936</v>
      </c>
      <c r="AA180" s="4">
        <v>-9.36</v>
      </c>
      <c r="AB180" s="15">
        <v>29592233</v>
      </c>
      <c r="AC180" s="15">
        <v>34804272</v>
      </c>
      <c r="AD180" s="15">
        <v>3838800</v>
      </c>
      <c r="AE180" s="15">
        <v>4380262</v>
      </c>
      <c r="AF180" s="15">
        <v>5380198</v>
      </c>
      <c r="AG180" s="15">
        <v>5537610</v>
      </c>
      <c r="AH180" s="4">
        <v>4</v>
      </c>
      <c r="AI180" s="6">
        <v>4</v>
      </c>
    </row>
    <row r="181" spans="1:35" x14ac:dyDescent="0.25">
      <c r="A181" s="5" t="str">
        <f>"070902"</f>
        <v>070902</v>
      </c>
      <c r="B181" s="3" t="s">
        <v>75</v>
      </c>
      <c r="C181" s="15">
        <v>23771485</v>
      </c>
      <c r="D181" s="15">
        <v>24591601</v>
      </c>
      <c r="E181" s="4">
        <v>3.45</v>
      </c>
      <c r="F181" s="15">
        <v>8124805</v>
      </c>
      <c r="G181" s="15">
        <v>8287301</v>
      </c>
      <c r="H181" s="15"/>
      <c r="I181" s="15"/>
      <c r="J181" s="15"/>
      <c r="K181" s="15"/>
      <c r="L181" s="15"/>
      <c r="M181" s="15"/>
      <c r="N181" s="15">
        <v>8124805</v>
      </c>
      <c r="O181" s="15">
        <v>8287301</v>
      </c>
      <c r="P181" s="4">
        <v>2</v>
      </c>
      <c r="Q181" s="15">
        <v>360884</v>
      </c>
      <c r="R181" s="15">
        <v>345389</v>
      </c>
      <c r="S181" s="15">
        <v>7905736</v>
      </c>
      <c r="T181" s="15">
        <v>7946244</v>
      </c>
      <c r="U181" s="15">
        <v>7763921</v>
      </c>
      <c r="V181" s="15">
        <v>7941912</v>
      </c>
      <c r="W181" s="15">
        <v>141815</v>
      </c>
      <c r="X181" s="15">
        <v>4332</v>
      </c>
      <c r="Y181" s="4">
        <v>1076</v>
      </c>
      <c r="Z181" s="4">
        <v>1106</v>
      </c>
      <c r="AA181" s="4">
        <v>2.79</v>
      </c>
      <c r="AB181" s="15">
        <v>5124598</v>
      </c>
      <c r="AC181" s="15">
        <v>5525931</v>
      </c>
      <c r="AD181" s="15">
        <v>800000</v>
      </c>
      <c r="AE181" s="15">
        <v>400000</v>
      </c>
      <c r="AF181" s="15">
        <v>2106421</v>
      </c>
      <c r="AG181" s="15">
        <v>983664</v>
      </c>
      <c r="AH181" s="4">
        <v>8.86</v>
      </c>
      <c r="AI181" s="6">
        <v>4</v>
      </c>
    </row>
    <row r="182" spans="1:35" x14ac:dyDescent="0.25">
      <c r="A182" s="5" t="str">
        <f>"280216"</f>
        <v>280216</v>
      </c>
      <c r="B182" s="3" t="s">
        <v>280</v>
      </c>
      <c r="C182" s="15">
        <v>96906276</v>
      </c>
      <c r="D182" s="15">
        <v>98536050</v>
      </c>
      <c r="E182" s="4">
        <v>1.68</v>
      </c>
      <c r="F182" s="15">
        <v>55651008</v>
      </c>
      <c r="G182" s="15">
        <v>55619090</v>
      </c>
      <c r="H182" s="15">
        <v>1011438</v>
      </c>
      <c r="I182" s="15">
        <v>1004100</v>
      </c>
      <c r="J182" s="15">
        <v>0</v>
      </c>
      <c r="K182" s="15">
        <v>0</v>
      </c>
      <c r="L182" s="15">
        <v>0</v>
      </c>
      <c r="M182" s="15">
        <v>0</v>
      </c>
      <c r="N182" s="15">
        <v>56662446</v>
      </c>
      <c r="O182" s="15">
        <v>56623190</v>
      </c>
      <c r="P182" s="4">
        <v>-7.0000000000000007E-2</v>
      </c>
      <c r="Q182" s="15">
        <v>2246896</v>
      </c>
      <c r="R182" s="15">
        <v>781481</v>
      </c>
      <c r="S182" s="15">
        <v>53470056</v>
      </c>
      <c r="T182" s="15">
        <v>54903104</v>
      </c>
      <c r="U182" s="15">
        <v>53404112</v>
      </c>
      <c r="V182" s="15">
        <v>54837609</v>
      </c>
      <c r="W182" s="15">
        <v>65944</v>
      </c>
      <c r="X182" s="15">
        <v>65495</v>
      </c>
      <c r="Y182" s="4">
        <v>3250</v>
      </c>
      <c r="Z182" s="4">
        <v>3200</v>
      </c>
      <c r="AA182" s="4">
        <v>-1.54</v>
      </c>
      <c r="AB182" s="15">
        <v>7084022</v>
      </c>
      <c r="AC182" s="15">
        <v>8072834</v>
      </c>
      <c r="AD182" s="15">
        <v>8832196</v>
      </c>
      <c r="AE182" s="15">
        <v>8625000</v>
      </c>
      <c r="AF182" s="15">
        <v>3436669</v>
      </c>
      <c r="AG182" s="15">
        <v>2832525</v>
      </c>
      <c r="AH182" s="4">
        <v>3.55</v>
      </c>
      <c r="AI182" s="6">
        <v>2.87</v>
      </c>
    </row>
    <row r="183" spans="1:35" x14ac:dyDescent="0.25">
      <c r="A183" s="5" t="str">
        <f>"660409"</f>
        <v>660409</v>
      </c>
      <c r="B183" s="3" t="s">
        <v>639</v>
      </c>
      <c r="C183" s="15">
        <v>38211939</v>
      </c>
      <c r="D183" s="15">
        <v>39807300</v>
      </c>
      <c r="E183" s="4">
        <v>4.18</v>
      </c>
      <c r="F183" s="15">
        <v>33285860</v>
      </c>
      <c r="G183" s="15">
        <v>34480814</v>
      </c>
      <c r="H183" s="15"/>
      <c r="I183" s="15"/>
      <c r="J183" s="15"/>
      <c r="K183" s="15"/>
      <c r="L183" s="15" t="s">
        <v>415</v>
      </c>
      <c r="M183" s="15" t="s">
        <v>415</v>
      </c>
      <c r="N183" s="15">
        <v>33285860</v>
      </c>
      <c r="O183" s="15">
        <v>34480814</v>
      </c>
      <c r="P183" s="4">
        <v>3.59</v>
      </c>
      <c r="Q183" s="15">
        <v>549247</v>
      </c>
      <c r="R183" s="15">
        <v>315343</v>
      </c>
      <c r="S183" s="15">
        <v>32940612</v>
      </c>
      <c r="T183" s="15">
        <v>34338594</v>
      </c>
      <c r="U183" s="15">
        <v>32736613</v>
      </c>
      <c r="V183" s="15">
        <v>34165471</v>
      </c>
      <c r="W183" s="15">
        <v>203999</v>
      </c>
      <c r="X183" s="15">
        <v>173123</v>
      </c>
      <c r="Y183" s="4">
        <v>1038</v>
      </c>
      <c r="Z183" s="4">
        <v>1051</v>
      </c>
      <c r="AA183" s="4">
        <v>1.25</v>
      </c>
      <c r="AB183" s="15">
        <v>28905153</v>
      </c>
      <c r="AC183" s="15">
        <v>30959223</v>
      </c>
      <c r="AD183" s="15">
        <v>654548</v>
      </c>
      <c r="AE183" s="15">
        <v>300000</v>
      </c>
      <c r="AF183" s="15">
        <v>1528478</v>
      </c>
      <c r="AG183" s="15">
        <v>1592292</v>
      </c>
      <c r="AH183" s="4">
        <v>4</v>
      </c>
      <c r="AI183" s="6">
        <v>4</v>
      </c>
    </row>
    <row r="184" spans="1:35" x14ac:dyDescent="0.25">
      <c r="A184" s="5" t="str">
        <f>"580401"</f>
        <v>580401</v>
      </c>
      <c r="B184" s="3" t="s">
        <v>526</v>
      </c>
      <c r="C184" s="15">
        <v>66913579</v>
      </c>
      <c r="D184" s="15">
        <v>69181071</v>
      </c>
      <c r="E184" s="4">
        <v>3.39</v>
      </c>
      <c r="F184" s="15">
        <v>49656326</v>
      </c>
      <c r="G184" s="15">
        <v>51096360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49656326</v>
      </c>
      <c r="O184" s="15">
        <v>51096360</v>
      </c>
      <c r="P184" s="4">
        <v>2.9</v>
      </c>
      <c r="Q184" s="15">
        <v>3232061</v>
      </c>
      <c r="R184" s="15">
        <v>3973079</v>
      </c>
      <c r="S184" s="15">
        <v>46424265</v>
      </c>
      <c r="T184" s="15">
        <v>47373582</v>
      </c>
      <c r="U184" s="15">
        <v>46424265</v>
      </c>
      <c r="V184" s="15">
        <v>47123281</v>
      </c>
      <c r="W184" s="15">
        <v>0</v>
      </c>
      <c r="X184" s="15">
        <v>250301</v>
      </c>
      <c r="Y184" s="4">
        <v>1995</v>
      </c>
      <c r="Z184" s="4">
        <v>2000</v>
      </c>
      <c r="AA184" s="4">
        <v>0.25</v>
      </c>
      <c r="AB184" s="15">
        <v>6835084</v>
      </c>
      <c r="AC184" s="15">
        <v>6074127</v>
      </c>
      <c r="AD184" s="15">
        <v>1500000</v>
      </c>
      <c r="AE184" s="15">
        <v>1500000</v>
      </c>
      <c r="AF184" s="15">
        <v>2676543</v>
      </c>
      <c r="AG184" s="15">
        <v>2767243</v>
      </c>
      <c r="AH184" s="4">
        <v>4</v>
      </c>
      <c r="AI184" s="6">
        <v>4</v>
      </c>
    </row>
    <row r="185" spans="1:35" x14ac:dyDescent="0.25">
      <c r="A185" s="5" t="str">
        <f>"141401"</f>
        <v>141401</v>
      </c>
      <c r="B185" s="3" t="s">
        <v>142</v>
      </c>
      <c r="C185" s="15">
        <v>60665973</v>
      </c>
      <c r="D185" s="15">
        <v>61013044</v>
      </c>
      <c r="E185" s="4">
        <v>0.56999999999999995</v>
      </c>
      <c r="F185" s="15">
        <v>18455600</v>
      </c>
      <c r="G185" s="15">
        <v>18815484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18455600</v>
      </c>
      <c r="O185" s="15">
        <v>18815484</v>
      </c>
      <c r="P185" s="4">
        <v>1.95</v>
      </c>
      <c r="Q185" s="15">
        <v>533383</v>
      </c>
      <c r="R185" s="15">
        <v>784962</v>
      </c>
      <c r="S185" s="15">
        <v>18046968</v>
      </c>
      <c r="T185" s="15">
        <v>18421215</v>
      </c>
      <c r="U185" s="15">
        <v>17922217</v>
      </c>
      <c r="V185" s="15">
        <v>18030522</v>
      </c>
      <c r="W185" s="15">
        <v>124751</v>
      </c>
      <c r="X185" s="15">
        <v>390693</v>
      </c>
      <c r="Y185" s="4">
        <v>2107</v>
      </c>
      <c r="Z185" s="4">
        <v>2091</v>
      </c>
      <c r="AA185" s="4">
        <v>-0.76</v>
      </c>
      <c r="AB185" s="15">
        <v>11422514</v>
      </c>
      <c r="AC185" s="15">
        <v>13633203</v>
      </c>
      <c r="AD185" s="15">
        <v>1500000</v>
      </c>
      <c r="AE185" s="15">
        <v>1500000</v>
      </c>
      <c r="AF185" s="15">
        <v>2530832</v>
      </c>
      <c r="AG185" s="15">
        <v>2440520</v>
      </c>
      <c r="AH185" s="4">
        <v>4.17</v>
      </c>
      <c r="AI185" s="6">
        <v>4</v>
      </c>
    </row>
    <row r="186" spans="1:35" x14ac:dyDescent="0.25">
      <c r="A186" s="5" t="str">
        <f>"420601"</f>
        <v>420601</v>
      </c>
      <c r="B186" s="3" t="s">
        <v>347</v>
      </c>
      <c r="C186" s="15">
        <v>20035232</v>
      </c>
      <c r="D186" s="15">
        <v>20035232</v>
      </c>
      <c r="E186" s="4">
        <v>0</v>
      </c>
      <c r="F186" s="15">
        <v>8877220</v>
      </c>
      <c r="G186" s="15">
        <v>9121344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8877220</v>
      </c>
      <c r="O186" s="15">
        <v>9121344</v>
      </c>
      <c r="P186" s="4">
        <v>2.75</v>
      </c>
      <c r="Q186" s="15">
        <v>0</v>
      </c>
      <c r="R186" s="15">
        <v>0</v>
      </c>
      <c r="S186" s="15">
        <v>8820579</v>
      </c>
      <c r="T186" s="15">
        <v>9137354</v>
      </c>
      <c r="U186" s="15">
        <v>8877220</v>
      </c>
      <c r="V186" s="15">
        <v>9121344</v>
      </c>
      <c r="W186" s="15">
        <v>-56641</v>
      </c>
      <c r="X186" s="15">
        <v>16010</v>
      </c>
      <c r="Y186" s="4">
        <v>630</v>
      </c>
      <c r="Z186" s="4">
        <v>662</v>
      </c>
      <c r="AA186" s="4">
        <v>5.08</v>
      </c>
      <c r="AB186" s="15">
        <v>2433367</v>
      </c>
      <c r="AC186" s="15">
        <v>2933367</v>
      </c>
      <c r="AD186" s="15">
        <v>620964</v>
      </c>
      <c r="AE186" s="15">
        <v>577456</v>
      </c>
      <c r="AF186" s="15">
        <v>770174</v>
      </c>
      <c r="AG186" s="15">
        <v>801409</v>
      </c>
      <c r="AH186" s="4">
        <v>3.84</v>
      </c>
      <c r="AI186" s="6">
        <v>4</v>
      </c>
    </row>
    <row r="187" spans="1:35" x14ac:dyDescent="0.25">
      <c r="A187" s="5" t="str">
        <f>"261301"</f>
        <v>261301</v>
      </c>
      <c r="B187" s="3" t="s">
        <v>251</v>
      </c>
      <c r="C187" s="15">
        <v>138667456</v>
      </c>
      <c r="D187" s="15">
        <v>144066754</v>
      </c>
      <c r="E187" s="4">
        <v>3.89</v>
      </c>
      <c r="F187" s="15">
        <v>80749659</v>
      </c>
      <c r="G187" s="15">
        <v>82465993</v>
      </c>
      <c r="H187" s="15">
        <v>391388</v>
      </c>
      <c r="I187" s="15">
        <v>389688</v>
      </c>
      <c r="J187" s="15"/>
      <c r="K187" s="15"/>
      <c r="L187" s="15"/>
      <c r="M187" s="15"/>
      <c r="N187" s="15">
        <v>81141047</v>
      </c>
      <c r="O187" s="15">
        <v>82855681</v>
      </c>
      <c r="P187" s="4">
        <v>2.11</v>
      </c>
      <c r="Q187" s="15">
        <v>1524824</v>
      </c>
      <c r="R187" s="15">
        <v>1240440</v>
      </c>
      <c r="S187" s="15">
        <v>79616223</v>
      </c>
      <c r="T187" s="15">
        <v>81615241</v>
      </c>
      <c r="U187" s="15">
        <v>79224835</v>
      </c>
      <c r="V187" s="15">
        <v>81225553</v>
      </c>
      <c r="W187" s="15">
        <v>391388</v>
      </c>
      <c r="X187" s="15">
        <v>389688</v>
      </c>
      <c r="Y187" s="4">
        <v>5408</v>
      </c>
      <c r="Z187" s="4">
        <v>5389</v>
      </c>
      <c r="AA187" s="4">
        <v>-0.35</v>
      </c>
      <c r="AB187" s="15">
        <v>36877136</v>
      </c>
      <c r="AC187" s="15">
        <v>41953030</v>
      </c>
      <c r="AD187" s="15">
        <v>4056645</v>
      </c>
      <c r="AE187" s="15">
        <v>4056645</v>
      </c>
      <c r="AF187" s="15">
        <v>5546698</v>
      </c>
      <c r="AG187" s="15">
        <v>5762670</v>
      </c>
      <c r="AH187" s="4">
        <v>4</v>
      </c>
      <c r="AI187" s="6">
        <v>4</v>
      </c>
    </row>
    <row r="188" spans="1:35" x14ac:dyDescent="0.25">
      <c r="A188" s="5" t="str">
        <f>"061101"</f>
        <v>061101</v>
      </c>
      <c r="B188" s="3" t="s">
        <v>63</v>
      </c>
      <c r="C188" s="15">
        <v>25285440</v>
      </c>
      <c r="D188" s="15">
        <v>27095000</v>
      </c>
      <c r="E188" s="4">
        <v>7.16</v>
      </c>
      <c r="F188" s="15">
        <v>7133890</v>
      </c>
      <c r="G188" s="15">
        <v>7133890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7133890</v>
      </c>
      <c r="O188" s="15">
        <v>7133890</v>
      </c>
      <c r="P188" s="4">
        <v>0</v>
      </c>
      <c r="Q188" s="15">
        <v>0</v>
      </c>
      <c r="R188" s="15">
        <v>0</v>
      </c>
      <c r="S188" s="15">
        <v>7318959</v>
      </c>
      <c r="T188" s="15">
        <v>7365569</v>
      </c>
      <c r="U188" s="15">
        <v>7133890</v>
      </c>
      <c r="V188" s="15">
        <v>7133890</v>
      </c>
      <c r="W188" s="15">
        <v>185069</v>
      </c>
      <c r="X188" s="15">
        <v>231679</v>
      </c>
      <c r="Y188" s="4">
        <v>1081</v>
      </c>
      <c r="Z188" s="4">
        <v>1075</v>
      </c>
      <c r="AA188" s="4">
        <v>-0.56000000000000005</v>
      </c>
      <c r="AB188" s="15">
        <v>7975978</v>
      </c>
      <c r="AC188" s="15">
        <v>7512424</v>
      </c>
      <c r="AD188" s="15">
        <v>1500000</v>
      </c>
      <c r="AE188" s="15">
        <v>1450000</v>
      </c>
      <c r="AF188" s="15">
        <v>6047174</v>
      </c>
      <c r="AG188" s="15">
        <v>6171789</v>
      </c>
      <c r="AH188" s="4">
        <v>23.92</v>
      </c>
      <c r="AI188" s="6">
        <v>22.78</v>
      </c>
    </row>
    <row r="189" spans="1:35" x14ac:dyDescent="0.25">
      <c r="A189" s="5" t="str">
        <f>"590501"</f>
        <v>590501</v>
      </c>
      <c r="B189" s="3" t="s">
        <v>565</v>
      </c>
      <c r="C189" s="15">
        <v>47994681</v>
      </c>
      <c r="D189" s="15">
        <v>52506954</v>
      </c>
      <c r="E189" s="4">
        <v>9.4</v>
      </c>
      <c r="F189" s="15">
        <v>19739717</v>
      </c>
      <c r="G189" s="15">
        <v>19409282</v>
      </c>
      <c r="H189" s="15"/>
      <c r="I189" s="15"/>
      <c r="J189" s="15"/>
      <c r="K189" s="15"/>
      <c r="L189" s="15"/>
      <c r="M189" s="15"/>
      <c r="N189" s="15">
        <v>19739717</v>
      </c>
      <c r="O189" s="15">
        <v>19409282</v>
      </c>
      <c r="P189" s="4">
        <v>-1.67</v>
      </c>
      <c r="Q189" s="15">
        <v>0</v>
      </c>
      <c r="R189" s="15">
        <v>252577</v>
      </c>
      <c r="S189" s="15">
        <v>20387848</v>
      </c>
      <c r="T189" s="15">
        <v>20588168</v>
      </c>
      <c r="U189" s="15">
        <v>19739717</v>
      </c>
      <c r="V189" s="15">
        <v>19156705</v>
      </c>
      <c r="W189" s="15">
        <v>648131</v>
      </c>
      <c r="X189" s="15">
        <v>1431463</v>
      </c>
      <c r="Y189" s="4">
        <v>1511</v>
      </c>
      <c r="Z189" s="4">
        <v>1462</v>
      </c>
      <c r="AA189" s="4">
        <v>-3.24</v>
      </c>
      <c r="AB189" s="15">
        <v>6462733</v>
      </c>
      <c r="AC189" s="15">
        <v>6468745</v>
      </c>
      <c r="AD189" s="15">
        <v>1767769</v>
      </c>
      <c r="AE189" s="15">
        <v>1516665</v>
      </c>
      <c r="AF189" s="15">
        <v>1344597</v>
      </c>
      <c r="AG189" s="15">
        <v>1920000</v>
      </c>
      <c r="AH189" s="4">
        <v>2.8</v>
      </c>
      <c r="AI189" s="6">
        <v>3.66</v>
      </c>
    </row>
    <row r="190" spans="1:35" x14ac:dyDescent="0.25">
      <c r="A190" s="5" t="str">
        <f>"280522"</f>
        <v>280522</v>
      </c>
      <c r="B190" s="3" t="s">
        <v>315</v>
      </c>
      <c r="C190" s="15">
        <v>174915558</v>
      </c>
      <c r="D190" s="15">
        <v>182892350</v>
      </c>
      <c r="E190" s="4">
        <v>4.5599999999999996</v>
      </c>
      <c r="F190" s="15">
        <v>131650695</v>
      </c>
      <c r="G190" s="15">
        <v>133739443</v>
      </c>
      <c r="H190" s="15"/>
      <c r="I190" s="15"/>
      <c r="J190" s="15"/>
      <c r="K190" s="15"/>
      <c r="L190" s="15"/>
      <c r="M190" s="15"/>
      <c r="N190" s="15">
        <v>131650695</v>
      </c>
      <c r="O190" s="15">
        <v>133739443</v>
      </c>
      <c r="P190" s="4">
        <v>1.59</v>
      </c>
      <c r="Q190" s="15">
        <v>4194246</v>
      </c>
      <c r="R190" s="15">
        <v>3840294</v>
      </c>
      <c r="S190" s="15">
        <v>127456449</v>
      </c>
      <c r="T190" s="15">
        <v>129899149</v>
      </c>
      <c r="U190" s="15">
        <v>127456449</v>
      </c>
      <c r="V190" s="15">
        <v>129899149</v>
      </c>
      <c r="W190" s="15">
        <v>0</v>
      </c>
      <c r="X190" s="15">
        <v>0</v>
      </c>
      <c r="Y190" s="4">
        <v>5251</v>
      </c>
      <c r="Z190" s="4">
        <v>5155</v>
      </c>
      <c r="AA190" s="4">
        <v>-1.83</v>
      </c>
      <c r="AB190" s="15">
        <v>24083003</v>
      </c>
      <c r="AC190" s="15">
        <v>17978388</v>
      </c>
      <c r="AD190" s="15">
        <v>3000000</v>
      </c>
      <c r="AE190" s="15">
        <v>5000000</v>
      </c>
      <c r="AF190" s="15">
        <v>6996622</v>
      </c>
      <c r="AG190" s="15">
        <v>7315694</v>
      </c>
      <c r="AH190" s="4">
        <v>4</v>
      </c>
      <c r="AI190" s="6">
        <v>4</v>
      </c>
    </row>
    <row r="191" spans="1:35" x14ac:dyDescent="0.25">
      <c r="A191" s="5" t="str">
        <f>"421001"</f>
        <v>421001</v>
      </c>
      <c r="B191" s="3" t="s">
        <v>352</v>
      </c>
      <c r="C191" s="15">
        <v>93417637</v>
      </c>
      <c r="D191" s="15">
        <v>98930930</v>
      </c>
      <c r="E191" s="4">
        <v>5.9</v>
      </c>
      <c r="F191" s="15">
        <v>66324264</v>
      </c>
      <c r="G191" s="15">
        <v>67521063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66324264</v>
      </c>
      <c r="O191" s="15">
        <v>67521063</v>
      </c>
      <c r="P191" s="4">
        <v>1.8</v>
      </c>
      <c r="Q191" s="15">
        <v>747816</v>
      </c>
      <c r="R191" s="15">
        <v>1185925</v>
      </c>
      <c r="S191" s="15">
        <v>65576448</v>
      </c>
      <c r="T191" s="15">
        <v>66335138</v>
      </c>
      <c r="U191" s="15">
        <v>65576448</v>
      </c>
      <c r="V191" s="15">
        <v>66335138</v>
      </c>
      <c r="W191" s="15">
        <v>0</v>
      </c>
      <c r="X191" s="15">
        <v>0</v>
      </c>
      <c r="Y191" s="4">
        <v>4260</v>
      </c>
      <c r="Z191" s="4">
        <v>4200</v>
      </c>
      <c r="AA191" s="4">
        <v>-1.41</v>
      </c>
      <c r="AB191" s="15">
        <v>14391300</v>
      </c>
      <c r="AC191" s="15">
        <v>14391300</v>
      </c>
      <c r="AD191" s="15">
        <v>750000</v>
      </c>
      <c r="AE191" s="15">
        <v>1000000</v>
      </c>
      <c r="AF191" s="15">
        <v>3736705</v>
      </c>
      <c r="AG191" s="15">
        <v>3957237</v>
      </c>
      <c r="AH191" s="4">
        <v>4</v>
      </c>
      <c r="AI191" s="6">
        <v>4</v>
      </c>
    </row>
    <row r="192" spans="1:35" x14ac:dyDescent="0.25">
      <c r="A192" s="5" t="str">
        <f>"022001"</f>
        <v>022001</v>
      </c>
      <c r="B192" s="3" t="s">
        <v>18</v>
      </c>
      <c r="C192" s="15">
        <v>17124859</v>
      </c>
      <c r="D192" s="15">
        <v>18257236</v>
      </c>
      <c r="E192" s="4">
        <v>6.61</v>
      </c>
      <c r="F192" s="15">
        <v>2579922</v>
      </c>
      <c r="G192" s="15">
        <v>2605721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2579922</v>
      </c>
      <c r="O192" s="15">
        <v>2605721</v>
      </c>
      <c r="P192" s="4">
        <v>1</v>
      </c>
      <c r="Q192" s="15">
        <v>0</v>
      </c>
      <c r="R192" s="15">
        <v>0</v>
      </c>
      <c r="S192" s="15">
        <v>2676481</v>
      </c>
      <c r="T192" s="15">
        <v>2696089</v>
      </c>
      <c r="U192" s="15">
        <v>2579922</v>
      </c>
      <c r="V192" s="15">
        <v>2605721</v>
      </c>
      <c r="W192" s="15">
        <v>96559</v>
      </c>
      <c r="X192" s="15">
        <v>90368</v>
      </c>
      <c r="Y192" s="4">
        <v>627</v>
      </c>
      <c r="Z192" s="4">
        <v>629</v>
      </c>
      <c r="AA192" s="4">
        <v>0.32</v>
      </c>
      <c r="AB192" s="15">
        <v>5166352</v>
      </c>
      <c r="AC192" s="15">
        <v>6216412</v>
      </c>
      <c r="AD192" s="15">
        <v>658664</v>
      </c>
      <c r="AE192" s="15">
        <v>548839</v>
      </c>
      <c r="AF192" s="15">
        <v>1577850</v>
      </c>
      <c r="AG192" s="15">
        <v>730290</v>
      </c>
      <c r="AH192" s="4">
        <v>9.2100000000000009</v>
      </c>
      <c r="AI192" s="6">
        <v>4</v>
      </c>
    </row>
    <row r="193" spans="1:35" x14ac:dyDescent="0.25">
      <c r="A193" s="5" t="str">
        <f>"580514"</f>
        <v>580514</v>
      </c>
      <c r="B193" s="3" t="s">
        <v>544</v>
      </c>
      <c r="C193" s="15">
        <v>5715355</v>
      </c>
      <c r="D193" s="15">
        <v>5787436</v>
      </c>
      <c r="E193" s="4">
        <v>1.26</v>
      </c>
      <c r="F193" s="15">
        <v>5082291</v>
      </c>
      <c r="G193" s="15">
        <v>5120531</v>
      </c>
      <c r="H193" s="15"/>
      <c r="I193" s="15"/>
      <c r="J193" s="15"/>
      <c r="K193" s="15"/>
      <c r="L193" s="15" t="s">
        <v>415</v>
      </c>
      <c r="M193" s="15" t="s">
        <v>415</v>
      </c>
      <c r="N193" s="15">
        <v>5082291</v>
      </c>
      <c r="O193" s="15">
        <v>5120531</v>
      </c>
      <c r="P193" s="4">
        <v>0.75</v>
      </c>
      <c r="Q193" s="15">
        <v>0</v>
      </c>
      <c r="R193" s="15">
        <v>0</v>
      </c>
      <c r="S193" s="15">
        <v>5237230</v>
      </c>
      <c r="T193" s="15">
        <v>5285823</v>
      </c>
      <c r="U193" s="15">
        <v>5082291</v>
      </c>
      <c r="V193" s="15">
        <v>5120531</v>
      </c>
      <c r="W193" s="15">
        <v>154939</v>
      </c>
      <c r="X193" s="15">
        <v>165292</v>
      </c>
      <c r="Y193" s="4">
        <v>51</v>
      </c>
      <c r="Z193" s="4">
        <v>37</v>
      </c>
      <c r="AA193" s="4">
        <v>-27.45</v>
      </c>
      <c r="AB193" s="15">
        <v>4085363</v>
      </c>
      <c r="AC193" s="15">
        <v>4030363</v>
      </c>
      <c r="AD193" s="15">
        <v>150000</v>
      </c>
      <c r="AE193" s="15">
        <v>150000</v>
      </c>
      <c r="AF193" s="15">
        <v>295809</v>
      </c>
      <c r="AG193" s="15">
        <v>299800</v>
      </c>
      <c r="AH193" s="4">
        <v>5.18</v>
      </c>
      <c r="AI193" s="6">
        <v>5.18</v>
      </c>
    </row>
    <row r="194" spans="1:35" x14ac:dyDescent="0.25">
      <c r="A194" s="5" t="str">
        <f>"581004"</f>
        <v>581004</v>
      </c>
      <c r="B194" s="3" t="s">
        <v>561</v>
      </c>
      <c r="C194" s="15">
        <v>3746392</v>
      </c>
      <c r="D194" s="15">
        <v>3834730</v>
      </c>
      <c r="E194" s="4">
        <v>2.36</v>
      </c>
      <c r="F194" s="15">
        <v>3334828</v>
      </c>
      <c r="G194" s="15">
        <v>3431538</v>
      </c>
      <c r="H194" s="15">
        <v>51000</v>
      </c>
      <c r="I194" s="15">
        <v>51000</v>
      </c>
      <c r="J194" s="15">
        <v>0</v>
      </c>
      <c r="K194" s="15">
        <v>0</v>
      </c>
      <c r="L194" s="15">
        <v>0</v>
      </c>
      <c r="M194" s="15">
        <v>0</v>
      </c>
      <c r="N194" s="15">
        <v>3385828</v>
      </c>
      <c r="O194" s="15">
        <v>3482538</v>
      </c>
      <c r="P194" s="4">
        <v>2.86</v>
      </c>
      <c r="Q194" s="15">
        <v>0</v>
      </c>
      <c r="R194" s="15">
        <v>0</v>
      </c>
      <c r="S194" s="15">
        <v>3334828</v>
      </c>
      <c r="T194" s="15">
        <v>3431538</v>
      </c>
      <c r="U194" s="15">
        <v>3334828</v>
      </c>
      <c r="V194" s="15">
        <v>3431538</v>
      </c>
      <c r="W194" s="15">
        <v>0</v>
      </c>
      <c r="X194" s="15">
        <v>0</v>
      </c>
      <c r="Y194" s="4">
        <v>70</v>
      </c>
      <c r="Z194" s="4">
        <v>60</v>
      </c>
      <c r="AA194" s="4">
        <v>-14.29</v>
      </c>
      <c r="AB194" s="15">
        <v>883060</v>
      </c>
      <c r="AC194" s="15">
        <v>847382</v>
      </c>
      <c r="AD194" s="15">
        <v>0</v>
      </c>
      <c r="AE194" s="15">
        <v>0</v>
      </c>
      <c r="AF194" s="15">
        <v>125000</v>
      </c>
      <c r="AG194" s="15">
        <v>100000</v>
      </c>
      <c r="AH194" s="4">
        <v>3.34</v>
      </c>
      <c r="AI194" s="6">
        <v>2.61</v>
      </c>
    </row>
    <row r="195" spans="1:35" x14ac:dyDescent="0.25">
      <c r="A195" s="5" t="str">
        <f>"280222"</f>
        <v>280222</v>
      </c>
      <c r="B195" s="3" t="s">
        <v>286</v>
      </c>
      <c r="C195" s="15">
        <v>34174462</v>
      </c>
      <c r="D195" s="15">
        <v>36013163</v>
      </c>
      <c r="E195" s="4">
        <v>5.38</v>
      </c>
      <c r="F195" s="15">
        <v>25632717</v>
      </c>
      <c r="G195" s="15">
        <v>26323350</v>
      </c>
      <c r="H195" s="15"/>
      <c r="I195" s="15"/>
      <c r="J195" s="15"/>
      <c r="K195" s="15"/>
      <c r="L195" s="15"/>
      <c r="M195" s="15"/>
      <c r="N195" s="15">
        <v>25632717</v>
      </c>
      <c r="O195" s="15">
        <v>26323350</v>
      </c>
      <c r="P195" s="4">
        <v>2.69</v>
      </c>
      <c r="Q195" s="15">
        <v>1264779</v>
      </c>
      <c r="R195" s="15">
        <v>1417105</v>
      </c>
      <c r="S195" s="15">
        <v>24392938</v>
      </c>
      <c r="T195" s="15">
        <v>24908975</v>
      </c>
      <c r="U195" s="15">
        <v>24367938</v>
      </c>
      <c r="V195" s="15">
        <v>24906245</v>
      </c>
      <c r="W195" s="15">
        <v>25000</v>
      </c>
      <c r="X195" s="15">
        <v>2730</v>
      </c>
      <c r="Y195" s="4">
        <v>1603</v>
      </c>
      <c r="Z195" s="4">
        <v>1655</v>
      </c>
      <c r="AA195" s="4">
        <v>3.24</v>
      </c>
      <c r="AB195" s="15">
        <v>5348120</v>
      </c>
      <c r="AC195" s="15">
        <v>4550000</v>
      </c>
      <c r="AD195" s="15">
        <v>1351617</v>
      </c>
      <c r="AE195" s="15">
        <v>1300000</v>
      </c>
      <c r="AF195" s="15">
        <v>1366977</v>
      </c>
      <c r="AG195" s="15">
        <v>1440527</v>
      </c>
      <c r="AH195" s="4">
        <v>4</v>
      </c>
      <c r="AI195" s="6">
        <v>4</v>
      </c>
    </row>
    <row r="196" spans="1:35" x14ac:dyDescent="0.25">
      <c r="A196" s="5" t="str">
        <f>"442115"</f>
        <v>442115</v>
      </c>
      <c r="B196" s="3" t="s">
        <v>384</v>
      </c>
      <c r="C196" s="15">
        <v>23537680</v>
      </c>
      <c r="D196" s="15">
        <v>24384840</v>
      </c>
      <c r="E196" s="4">
        <v>3.6</v>
      </c>
      <c r="F196" s="15">
        <v>15794905</v>
      </c>
      <c r="G196" s="15">
        <v>16069575</v>
      </c>
      <c r="H196" s="15"/>
      <c r="I196" s="15"/>
      <c r="J196" s="15"/>
      <c r="K196" s="15"/>
      <c r="L196" s="15"/>
      <c r="M196" s="15"/>
      <c r="N196" s="15">
        <v>15794905</v>
      </c>
      <c r="O196" s="15">
        <v>16069575</v>
      </c>
      <c r="P196" s="4">
        <v>1.74</v>
      </c>
      <c r="Q196" s="15">
        <v>407706</v>
      </c>
      <c r="R196" s="15">
        <v>406135</v>
      </c>
      <c r="S196" s="15">
        <v>15462199</v>
      </c>
      <c r="T196" s="15">
        <v>15738442</v>
      </c>
      <c r="U196" s="15">
        <v>15387199</v>
      </c>
      <c r="V196" s="15">
        <v>15663440</v>
      </c>
      <c r="W196" s="15">
        <v>75000</v>
      </c>
      <c r="X196" s="15">
        <v>75002</v>
      </c>
      <c r="Y196" s="4">
        <v>738</v>
      </c>
      <c r="Z196" s="4">
        <v>721</v>
      </c>
      <c r="AA196" s="4">
        <v>-2.2999999999999998</v>
      </c>
      <c r="AB196" s="15">
        <v>3280702</v>
      </c>
      <c r="AC196" s="15">
        <v>3888912</v>
      </c>
      <c r="AD196" s="15">
        <v>475000</v>
      </c>
      <c r="AE196" s="15">
        <v>475000</v>
      </c>
      <c r="AF196" s="15">
        <v>1770727</v>
      </c>
      <c r="AG196" s="15">
        <v>1219000</v>
      </c>
      <c r="AH196" s="4">
        <v>7.52</v>
      </c>
      <c r="AI196" s="6">
        <v>5</v>
      </c>
    </row>
    <row r="197" spans="1:35" x14ac:dyDescent="0.25">
      <c r="A197" s="5" t="str">
        <f>"270601"</f>
        <v>270601</v>
      </c>
      <c r="B197" s="3" t="s">
        <v>261</v>
      </c>
      <c r="C197" s="15">
        <v>30844918</v>
      </c>
      <c r="D197" s="15">
        <v>31962793</v>
      </c>
      <c r="E197" s="4">
        <v>3.62</v>
      </c>
      <c r="F197" s="15">
        <v>10824262</v>
      </c>
      <c r="G197" s="15">
        <v>11017008</v>
      </c>
      <c r="H197" s="15">
        <v>54058</v>
      </c>
      <c r="I197" s="15">
        <v>68000</v>
      </c>
      <c r="J197" s="15">
        <v>0</v>
      </c>
      <c r="K197" s="15">
        <v>0</v>
      </c>
      <c r="L197" s="15">
        <v>0</v>
      </c>
      <c r="M197" s="15">
        <v>0</v>
      </c>
      <c r="N197" s="15">
        <v>10878320</v>
      </c>
      <c r="O197" s="15">
        <v>11085008</v>
      </c>
      <c r="P197" s="4">
        <v>1.9</v>
      </c>
      <c r="Q197" s="15">
        <v>327980</v>
      </c>
      <c r="R197" s="15">
        <v>290524</v>
      </c>
      <c r="S197" s="15">
        <v>10550340</v>
      </c>
      <c r="T197" s="15">
        <v>10794484</v>
      </c>
      <c r="U197" s="15">
        <v>10496282</v>
      </c>
      <c r="V197" s="15">
        <v>10726484</v>
      </c>
      <c r="W197" s="15">
        <v>54058</v>
      </c>
      <c r="X197" s="15">
        <v>68000</v>
      </c>
      <c r="Y197" s="4">
        <v>1340</v>
      </c>
      <c r="Z197" s="4">
        <v>1340</v>
      </c>
      <c r="AA197" s="4">
        <v>0</v>
      </c>
      <c r="AB197" s="15">
        <v>4926009</v>
      </c>
      <c r="AC197" s="15">
        <v>4926009</v>
      </c>
      <c r="AD197" s="15">
        <v>1143786</v>
      </c>
      <c r="AE197" s="15">
        <v>1143786</v>
      </c>
      <c r="AF197" s="15">
        <v>2790818</v>
      </c>
      <c r="AG197" s="15">
        <v>1278512</v>
      </c>
      <c r="AH197" s="4">
        <v>9.0500000000000007</v>
      </c>
      <c r="AI197" s="6">
        <v>4</v>
      </c>
    </row>
    <row r="198" spans="1:35" x14ac:dyDescent="0.25">
      <c r="A198" s="5" t="str">
        <f>"061503"</f>
        <v>061503</v>
      </c>
      <c r="B198" s="3" t="s">
        <v>65</v>
      </c>
      <c r="C198" s="15">
        <v>13028780</v>
      </c>
      <c r="D198" s="15">
        <v>13508760</v>
      </c>
      <c r="E198" s="4">
        <v>3.68</v>
      </c>
      <c r="F198" s="15">
        <v>4089237</v>
      </c>
      <c r="G198" s="15">
        <v>4229844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4089237</v>
      </c>
      <c r="O198" s="15">
        <v>4229844</v>
      </c>
      <c r="P198" s="4">
        <v>3.44</v>
      </c>
      <c r="Q198" s="15">
        <v>4089237</v>
      </c>
      <c r="R198" s="15">
        <v>4229844</v>
      </c>
      <c r="S198" s="15">
        <v>4089237</v>
      </c>
      <c r="T198" s="15">
        <v>4229844</v>
      </c>
      <c r="U198" s="15">
        <v>0</v>
      </c>
      <c r="V198" s="15">
        <v>0</v>
      </c>
      <c r="W198" s="15">
        <v>4089237</v>
      </c>
      <c r="X198" s="15">
        <v>4229844</v>
      </c>
      <c r="Y198" s="4">
        <v>425</v>
      </c>
      <c r="Z198" s="4">
        <v>420</v>
      </c>
      <c r="AA198" s="4">
        <v>-1.18</v>
      </c>
      <c r="AB198" s="15">
        <v>3180230</v>
      </c>
      <c r="AC198" s="15">
        <v>3182675</v>
      </c>
      <c r="AD198" s="15">
        <v>301724</v>
      </c>
      <c r="AE198" s="15">
        <v>301724</v>
      </c>
      <c r="AF198" s="15">
        <v>516964</v>
      </c>
      <c r="AG198" s="15">
        <v>540350</v>
      </c>
      <c r="AH198" s="4">
        <v>3.97</v>
      </c>
      <c r="AI198" s="6">
        <v>4</v>
      </c>
    </row>
    <row r="199" spans="1:35" x14ac:dyDescent="0.25">
      <c r="A199" s="5" t="str">
        <f>"640502"</f>
        <v>640502</v>
      </c>
      <c r="B199" s="3" t="s">
        <v>604</v>
      </c>
      <c r="C199" s="15">
        <v>12345678</v>
      </c>
      <c r="D199" s="15">
        <v>12700000</v>
      </c>
      <c r="E199" s="4">
        <v>2.87</v>
      </c>
      <c r="F199" s="15">
        <v>5347993</v>
      </c>
      <c r="G199" s="15">
        <v>5495767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5347993</v>
      </c>
      <c r="O199" s="15">
        <v>5495767</v>
      </c>
      <c r="P199" s="4">
        <v>2.76</v>
      </c>
      <c r="Q199" s="15">
        <v>255868</v>
      </c>
      <c r="R199" s="15">
        <v>248721</v>
      </c>
      <c r="S199" s="15">
        <v>5092125</v>
      </c>
      <c r="T199" s="15">
        <v>5247046</v>
      </c>
      <c r="U199" s="15">
        <v>5092125</v>
      </c>
      <c r="V199" s="15">
        <v>5247046</v>
      </c>
      <c r="W199" s="15">
        <v>0</v>
      </c>
      <c r="X199" s="15">
        <v>0</v>
      </c>
      <c r="Y199" s="4">
        <v>489</v>
      </c>
      <c r="Z199" s="4">
        <v>480</v>
      </c>
      <c r="AA199" s="4">
        <v>-1.84</v>
      </c>
      <c r="AB199" s="15">
        <v>1275000</v>
      </c>
      <c r="AC199" s="15">
        <v>1375000</v>
      </c>
      <c r="AD199" s="15">
        <v>753008</v>
      </c>
      <c r="AE199" s="15">
        <v>600000</v>
      </c>
      <c r="AF199" s="15">
        <v>1218845</v>
      </c>
      <c r="AG199" s="15">
        <v>1253385</v>
      </c>
      <c r="AH199" s="4">
        <v>9.8699999999999992</v>
      </c>
      <c r="AI199" s="6">
        <v>9.8699999999999992</v>
      </c>
    </row>
    <row r="200" spans="1:35" x14ac:dyDescent="0.25">
      <c r="A200" s="5" t="str">
        <f>"640601"</f>
        <v>640601</v>
      </c>
      <c r="B200" s="3" t="s">
        <v>605</v>
      </c>
      <c r="C200" s="15">
        <v>11096764</v>
      </c>
      <c r="D200" s="15">
        <v>11779348</v>
      </c>
      <c r="E200" s="4">
        <v>6.15</v>
      </c>
      <c r="F200" s="15">
        <v>3392089</v>
      </c>
      <c r="G200" s="15">
        <v>3459931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3392089</v>
      </c>
      <c r="O200" s="15">
        <v>3459931</v>
      </c>
      <c r="P200" s="4">
        <v>2</v>
      </c>
      <c r="Q200" s="15">
        <v>0</v>
      </c>
      <c r="R200" s="15">
        <v>0</v>
      </c>
      <c r="S200" s="15">
        <v>3392089</v>
      </c>
      <c r="T200" s="15">
        <v>3459931</v>
      </c>
      <c r="U200" s="15">
        <v>3392089</v>
      </c>
      <c r="V200" s="15">
        <v>3459931</v>
      </c>
      <c r="W200" s="15">
        <v>0</v>
      </c>
      <c r="X200" s="15">
        <v>0</v>
      </c>
      <c r="Y200" s="4">
        <v>431</v>
      </c>
      <c r="Z200" s="4">
        <v>413</v>
      </c>
      <c r="AA200" s="4">
        <v>-4.18</v>
      </c>
      <c r="AB200" s="15">
        <v>1121215</v>
      </c>
      <c r="AC200" s="15">
        <v>1979725</v>
      </c>
      <c r="AD200" s="15">
        <v>109611</v>
      </c>
      <c r="AE200" s="15">
        <v>402838</v>
      </c>
      <c r="AF200" s="15">
        <v>1781792</v>
      </c>
      <c r="AG200" s="15">
        <v>1189641</v>
      </c>
      <c r="AH200" s="4">
        <v>16.059999999999999</v>
      </c>
      <c r="AI200" s="6">
        <v>10.1</v>
      </c>
    </row>
    <row r="201" spans="1:35" x14ac:dyDescent="0.25">
      <c r="A201" s="5" t="str">
        <f>"270701"</f>
        <v>270701</v>
      </c>
      <c r="B201" s="3" t="s">
        <v>262</v>
      </c>
      <c r="C201" s="15">
        <v>21875000</v>
      </c>
      <c r="D201" s="15">
        <v>22520000</v>
      </c>
      <c r="E201" s="4">
        <v>2.95</v>
      </c>
      <c r="F201" s="15">
        <v>5765920</v>
      </c>
      <c r="G201" s="15">
        <v>5848949</v>
      </c>
      <c r="H201" s="15">
        <v>85000</v>
      </c>
      <c r="I201" s="15">
        <v>85000</v>
      </c>
      <c r="J201" s="15">
        <v>0</v>
      </c>
      <c r="K201" s="15">
        <v>0</v>
      </c>
      <c r="L201" s="15">
        <v>0</v>
      </c>
      <c r="M201" s="15">
        <v>0</v>
      </c>
      <c r="N201" s="15">
        <v>5850920</v>
      </c>
      <c r="O201" s="15">
        <v>5933949</v>
      </c>
      <c r="P201" s="4">
        <v>1.42</v>
      </c>
      <c r="Q201" s="15">
        <v>20833</v>
      </c>
      <c r="R201" s="15">
        <v>15177</v>
      </c>
      <c r="S201" s="15">
        <v>5880111</v>
      </c>
      <c r="T201" s="15">
        <v>5895504</v>
      </c>
      <c r="U201" s="15">
        <v>5745087</v>
      </c>
      <c r="V201" s="15">
        <v>5833772</v>
      </c>
      <c r="W201" s="15">
        <v>135024</v>
      </c>
      <c r="X201" s="15">
        <v>61732</v>
      </c>
      <c r="Y201" s="4">
        <v>820</v>
      </c>
      <c r="Z201" s="4">
        <v>819</v>
      </c>
      <c r="AA201" s="4">
        <v>-0.12</v>
      </c>
      <c r="AB201" s="15">
        <v>5785400</v>
      </c>
      <c r="AC201" s="15">
        <v>5785400</v>
      </c>
      <c r="AD201" s="15">
        <v>500000</v>
      </c>
      <c r="AE201" s="15">
        <v>175000</v>
      </c>
      <c r="AF201" s="15">
        <v>875000</v>
      </c>
      <c r="AG201" s="15">
        <v>900800</v>
      </c>
      <c r="AH201" s="4">
        <v>4</v>
      </c>
      <c r="AI201" s="6">
        <v>4</v>
      </c>
    </row>
    <row r="202" spans="1:35" x14ac:dyDescent="0.25">
      <c r="A202" s="5" t="str">
        <f>"210402"</f>
        <v>210402</v>
      </c>
      <c r="B202" s="3" t="s">
        <v>199</v>
      </c>
      <c r="C202" s="15">
        <v>20768066</v>
      </c>
      <c r="D202" s="15">
        <v>21478430</v>
      </c>
      <c r="E202" s="4">
        <v>3.42</v>
      </c>
      <c r="F202" s="15">
        <v>8083712</v>
      </c>
      <c r="G202" s="15">
        <v>8225177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8083712</v>
      </c>
      <c r="O202" s="15">
        <v>8225177</v>
      </c>
      <c r="P202" s="4">
        <v>1.75</v>
      </c>
      <c r="Q202" s="15">
        <v>120431</v>
      </c>
      <c r="R202" s="15">
        <v>148910</v>
      </c>
      <c r="S202" s="15">
        <v>7899491</v>
      </c>
      <c r="T202" s="15">
        <v>7925460</v>
      </c>
      <c r="U202" s="15">
        <v>7963281</v>
      </c>
      <c r="V202" s="15">
        <v>8076267</v>
      </c>
      <c r="W202" s="15">
        <v>-63790</v>
      </c>
      <c r="X202" s="15">
        <v>-150807</v>
      </c>
      <c r="Y202" s="4">
        <v>922</v>
      </c>
      <c r="Z202" s="4">
        <v>888</v>
      </c>
      <c r="AA202" s="4">
        <v>-3.69</v>
      </c>
      <c r="AB202" s="15">
        <v>8814940</v>
      </c>
      <c r="AC202" s="15">
        <v>6669525</v>
      </c>
      <c r="AD202" s="15">
        <v>615000</v>
      </c>
      <c r="AE202" s="15">
        <v>675000</v>
      </c>
      <c r="AF202" s="15">
        <v>1192871</v>
      </c>
      <c r="AG202" s="15">
        <v>883086</v>
      </c>
      <c r="AH202" s="4">
        <v>5.74</v>
      </c>
      <c r="AI202" s="6">
        <v>4.1100000000000003</v>
      </c>
    </row>
    <row r="203" spans="1:35" x14ac:dyDescent="0.25">
      <c r="A203" s="5" t="str">
        <f>"120701"</f>
        <v>120701</v>
      </c>
      <c r="B203" s="3" t="s">
        <v>107</v>
      </c>
      <c r="C203" s="15">
        <v>7930830</v>
      </c>
      <c r="D203" s="15">
        <v>8067691</v>
      </c>
      <c r="E203" s="4">
        <v>1.73</v>
      </c>
      <c r="F203" s="15">
        <v>2973690</v>
      </c>
      <c r="G203" s="15">
        <v>3047140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2973690</v>
      </c>
      <c r="O203" s="15">
        <v>3047140</v>
      </c>
      <c r="P203" s="4">
        <v>2.4700000000000002</v>
      </c>
      <c r="Q203" s="15">
        <v>107509</v>
      </c>
      <c r="R203" s="15">
        <v>96404</v>
      </c>
      <c r="S203" s="15">
        <v>2866181</v>
      </c>
      <c r="T203" s="15">
        <v>2950736</v>
      </c>
      <c r="U203" s="15">
        <v>2866181</v>
      </c>
      <c r="V203" s="15">
        <v>2950736</v>
      </c>
      <c r="W203" s="15">
        <v>0</v>
      </c>
      <c r="X203" s="15">
        <v>0</v>
      </c>
      <c r="Y203" s="4">
        <v>225</v>
      </c>
      <c r="Z203" s="4">
        <v>220</v>
      </c>
      <c r="AA203" s="4">
        <v>-2.2200000000000002</v>
      </c>
      <c r="AB203" s="15">
        <v>680897</v>
      </c>
      <c r="AC203" s="15">
        <v>552290</v>
      </c>
      <c r="AD203" s="15">
        <v>325000</v>
      </c>
      <c r="AE203" s="15">
        <v>325000</v>
      </c>
      <c r="AF203" s="15">
        <v>242257</v>
      </c>
      <c r="AG203" s="15">
        <v>300000</v>
      </c>
      <c r="AH203" s="4">
        <v>3.05</v>
      </c>
      <c r="AI203" s="6">
        <v>3.72</v>
      </c>
    </row>
    <row r="204" spans="1:35" x14ac:dyDescent="0.25">
      <c r="A204" s="5" t="str">
        <f>"280217"</f>
        <v>280217</v>
      </c>
      <c r="B204" s="3" t="s">
        <v>281</v>
      </c>
      <c r="C204" s="15">
        <v>41497000</v>
      </c>
      <c r="D204" s="15">
        <v>44450000</v>
      </c>
      <c r="E204" s="4">
        <v>7.12</v>
      </c>
      <c r="F204" s="15">
        <v>29410022</v>
      </c>
      <c r="G204" s="15">
        <v>30006795</v>
      </c>
      <c r="H204" s="15"/>
      <c r="I204" s="15"/>
      <c r="J204" s="15"/>
      <c r="K204" s="15"/>
      <c r="L204" s="15"/>
      <c r="M204" s="15"/>
      <c r="N204" s="15">
        <v>29410022</v>
      </c>
      <c r="O204" s="15">
        <v>30006795</v>
      </c>
      <c r="P204" s="4">
        <v>2.0299999999999998</v>
      </c>
      <c r="Q204" s="15">
        <v>781658</v>
      </c>
      <c r="R204" s="15">
        <v>879361</v>
      </c>
      <c r="S204" s="15">
        <v>28628364</v>
      </c>
      <c r="T204" s="15">
        <v>29127434</v>
      </c>
      <c r="U204" s="15">
        <v>28628364</v>
      </c>
      <c r="V204" s="15">
        <v>29127434</v>
      </c>
      <c r="W204" s="15">
        <v>0</v>
      </c>
      <c r="X204" s="15">
        <v>0</v>
      </c>
      <c r="Y204" s="4">
        <v>1974</v>
      </c>
      <c r="Z204" s="4">
        <v>2003</v>
      </c>
      <c r="AA204" s="4">
        <v>1.47</v>
      </c>
      <c r="AB204" s="15">
        <v>10449253</v>
      </c>
      <c r="AC204" s="15">
        <v>4924566</v>
      </c>
      <c r="AD204" s="15">
        <v>1056500</v>
      </c>
      <c r="AE204" s="15">
        <v>1056500</v>
      </c>
      <c r="AF204" s="15">
        <v>1659880</v>
      </c>
      <c r="AG204" s="15">
        <v>1778000</v>
      </c>
      <c r="AH204" s="4">
        <v>4</v>
      </c>
      <c r="AI204" s="6">
        <v>4</v>
      </c>
    </row>
    <row r="205" spans="1:35" x14ac:dyDescent="0.25">
      <c r="A205" s="5" t="str">
        <f>"041101"</f>
        <v>041101</v>
      </c>
      <c r="B205" s="3" t="s">
        <v>39</v>
      </c>
      <c r="C205" s="15">
        <v>19909861</v>
      </c>
      <c r="D205" s="15">
        <v>20625065</v>
      </c>
      <c r="E205" s="4">
        <v>3.59</v>
      </c>
      <c r="F205" s="15">
        <v>4300000</v>
      </c>
      <c r="G205" s="15">
        <v>4300000</v>
      </c>
      <c r="H205" s="15"/>
      <c r="I205" s="15"/>
      <c r="J205" s="15"/>
      <c r="K205" s="15"/>
      <c r="L205" s="15"/>
      <c r="M205" s="15"/>
      <c r="N205" s="15">
        <v>4300000</v>
      </c>
      <c r="O205" s="15">
        <v>4300000</v>
      </c>
      <c r="P205" s="4">
        <v>0</v>
      </c>
      <c r="Q205" s="15">
        <v>0</v>
      </c>
      <c r="R205" s="15">
        <v>0</v>
      </c>
      <c r="S205" s="15">
        <v>4444467</v>
      </c>
      <c r="T205" s="15">
        <v>4484685</v>
      </c>
      <c r="U205" s="15">
        <v>4300000</v>
      </c>
      <c r="V205" s="15">
        <v>4300000</v>
      </c>
      <c r="W205" s="15">
        <v>144467</v>
      </c>
      <c r="X205" s="15">
        <v>184685</v>
      </c>
      <c r="Y205" s="4">
        <v>690</v>
      </c>
      <c r="Z205" s="4">
        <v>670</v>
      </c>
      <c r="AA205" s="4">
        <v>-2.9</v>
      </c>
      <c r="AB205" s="15">
        <v>4326738</v>
      </c>
      <c r="AC205" s="15">
        <v>5326738</v>
      </c>
      <c r="AD205" s="15">
        <v>350259</v>
      </c>
      <c r="AE205" s="15">
        <v>625408</v>
      </c>
      <c r="AF205" s="15">
        <v>3118352</v>
      </c>
      <c r="AG205" s="15">
        <v>2547009</v>
      </c>
      <c r="AH205" s="4">
        <v>15.66</v>
      </c>
      <c r="AI205" s="6">
        <v>12.35</v>
      </c>
    </row>
    <row r="206" spans="1:35" x14ac:dyDescent="0.25">
      <c r="A206" s="5" t="str">
        <f>"062201"</f>
        <v>062201</v>
      </c>
      <c r="B206" s="3" t="s">
        <v>68</v>
      </c>
      <c r="C206" s="15">
        <v>31295067</v>
      </c>
      <c r="D206" s="15">
        <v>31930024</v>
      </c>
      <c r="E206" s="4">
        <v>2.0299999999999998</v>
      </c>
      <c r="F206" s="15">
        <v>16219949</v>
      </c>
      <c r="G206" s="15">
        <v>16382148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16219949</v>
      </c>
      <c r="O206" s="15">
        <v>16382148</v>
      </c>
      <c r="P206" s="4">
        <v>1</v>
      </c>
      <c r="Q206" s="15">
        <v>0</v>
      </c>
      <c r="R206" s="15">
        <v>0</v>
      </c>
      <c r="S206" s="15">
        <v>16382148</v>
      </c>
      <c r="T206" s="15">
        <v>16401951</v>
      </c>
      <c r="U206" s="15">
        <v>16219949</v>
      </c>
      <c r="V206" s="15">
        <v>16382148</v>
      </c>
      <c r="W206" s="15">
        <v>162199</v>
      </c>
      <c r="X206" s="15">
        <v>19803</v>
      </c>
      <c r="Y206" s="4">
        <v>1352</v>
      </c>
      <c r="Z206" s="4">
        <v>1542</v>
      </c>
      <c r="AA206" s="4">
        <v>14.05</v>
      </c>
      <c r="AB206" s="15">
        <v>1242087</v>
      </c>
      <c r="AC206" s="15">
        <v>1692098</v>
      </c>
      <c r="AD206" s="15">
        <v>1226545</v>
      </c>
      <c r="AE206" s="15">
        <v>1000000</v>
      </c>
      <c r="AF206" s="15">
        <v>4052769</v>
      </c>
      <c r="AG206" s="15">
        <v>3000000</v>
      </c>
      <c r="AH206" s="4">
        <v>12.95</v>
      </c>
      <c r="AI206" s="6">
        <v>9.4</v>
      </c>
    </row>
    <row r="207" spans="1:35" x14ac:dyDescent="0.25">
      <c r="A207" s="5" t="str">
        <f>"280209"</f>
        <v>280209</v>
      </c>
      <c r="B207" s="3" t="s">
        <v>273</v>
      </c>
      <c r="C207" s="15">
        <v>195649933</v>
      </c>
      <c r="D207" s="15">
        <v>209727110</v>
      </c>
      <c r="E207" s="4">
        <v>7.2</v>
      </c>
      <c r="F207" s="15">
        <v>86266668</v>
      </c>
      <c r="G207" s="15">
        <v>89159549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86266668</v>
      </c>
      <c r="O207" s="15">
        <v>89159549</v>
      </c>
      <c r="P207" s="4">
        <v>3.35</v>
      </c>
      <c r="Q207" s="15">
        <v>1096947</v>
      </c>
      <c r="R207" s="15">
        <v>7615274</v>
      </c>
      <c r="S207" s="15">
        <v>90633966</v>
      </c>
      <c r="T207" s="15">
        <v>91753901</v>
      </c>
      <c r="U207" s="15">
        <v>85169721</v>
      </c>
      <c r="V207" s="15">
        <v>81544275</v>
      </c>
      <c r="W207" s="15">
        <v>5464245</v>
      </c>
      <c r="X207" s="15">
        <v>10209626</v>
      </c>
      <c r="Y207" s="4">
        <v>6700</v>
      </c>
      <c r="Z207" s="4">
        <v>6750</v>
      </c>
      <c r="AA207" s="4">
        <v>0.75</v>
      </c>
      <c r="AB207" s="15">
        <v>49421027</v>
      </c>
      <c r="AC207" s="15">
        <v>50871429</v>
      </c>
      <c r="AD207" s="15">
        <v>8500000</v>
      </c>
      <c r="AE207" s="15">
        <v>6600000</v>
      </c>
      <c r="AF207" s="15">
        <v>12658456</v>
      </c>
      <c r="AG207" s="15">
        <v>13317944</v>
      </c>
      <c r="AH207" s="4">
        <v>6.47</v>
      </c>
      <c r="AI207" s="6">
        <v>6.35</v>
      </c>
    </row>
    <row r="208" spans="1:35" x14ac:dyDescent="0.25">
      <c r="A208" s="5" t="str">
        <f>"060301"</f>
        <v>060301</v>
      </c>
      <c r="B208" s="3" t="s">
        <v>56</v>
      </c>
      <c r="C208" s="15">
        <v>18985983</v>
      </c>
      <c r="D208" s="15">
        <v>20534750</v>
      </c>
      <c r="E208" s="4">
        <v>8.16</v>
      </c>
      <c r="F208" s="15">
        <v>5794487</v>
      </c>
      <c r="G208" s="15">
        <v>5952340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5794487</v>
      </c>
      <c r="O208" s="15">
        <v>5952340</v>
      </c>
      <c r="P208" s="4">
        <v>2.72</v>
      </c>
      <c r="Q208" s="15">
        <v>0</v>
      </c>
      <c r="R208" s="15">
        <v>0</v>
      </c>
      <c r="S208" s="15">
        <v>5794487</v>
      </c>
      <c r="T208" s="15">
        <v>5952340</v>
      </c>
      <c r="U208" s="15">
        <v>5794487</v>
      </c>
      <c r="V208" s="15">
        <v>5952340</v>
      </c>
      <c r="W208" s="15">
        <v>0</v>
      </c>
      <c r="X208" s="15">
        <v>0</v>
      </c>
      <c r="Y208" s="4">
        <v>739</v>
      </c>
      <c r="Z208" s="4">
        <v>724</v>
      </c>
      <c r="AA208" s="4">
        <v>-2.0299999999999998</v>
      </c>
      <c r="AB208" s="15">
        <v>4015353</v>
      </c>
      <c r="AC208" s="15">
        <v>4451653</v>
      </c>
      <c r="AD208" s="15">
        <v>600000</v>
      </c>
      <c r="AE208" s="15">
        <v>500000</v>
      </c>
      <c r="AF208" s="15">
        <v>1327435</v>
      </c>
      <c r="AG208" s="15">
        <v>1157054</v>
      </c>
      <c r="AH208" s="4">
        <v>6.99</v>
      </c>
      <c r="AI208" s="6">
        <v>5.63</v>
      </c>
    </row>
    <row r="209" spans="1:35" x14ac:dyDescent="0.25">
      <c r="A209" s="5" t="str">
        <f>"021601"</f>
        <v>021601</v>
      </c>
      <c r="B209" s="3" t="s">
        <v>17</v>
      </c>
      <c r="C209" s="15">
        <v>10554119</v>
      </c>
      <c r="D209" s="15">
        <v>10595147</v>
      </c>
      <c r="E209" s="4">
        <v>0.39</v>
      </c>
      <c r="F209" s="15">
        <v>1788416</v>
      </c>
      <c r="G209" s="15">
        <v>1806300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1788416</v>
      </c>
      <c r="O209" s="15">
        <v>1806300</v>
      </c>
      <c r="P209" s="4">
        <v>1</v>
      </c>
      <c r="Q209" s="15">
        <v>0</v>
      </c>
      <c r="R209" s="15">
        <v>0</v>
      </c>
      <c r="S209" s="15">
        <v>1788416</v>
      </c>
      <c r="T209" s="15">
        <v>1806300</v>
      </c>
      <c r="U209" s="15">
        <v>1788416</v>
      </c>
      <c r="V209" s="15">
        <v>1806300</v>
      </c>
      <c r="W209" s="15">
        <v>0</v>
      </c>
      <c r="X209" s="15">
        <v>0</v>
      </c>
      <c r="Y209" s="4">
        <v>355</v>
      </c>
      <c r="Z209" s="4">
        <v>355</v>
      </c>
      <c r="AA209" s="4">
        <v>0</v>
      </c>
      <c r="AB209" s="15">
        <v>795356</v>
      </c>
      <c r="AC209" s="15">
        <v>1295682</v>
      </c>
      <c r="AD209" s="15">
        <v>350000</v>
      </c>
      <c r="AE209" s="15">
        <v>325000</v>
      </c>
      <c r="AF209" s="15">
        <v>1216964</v>
      </c>
      <c r="AG209" s="15">
        <v>1172739</v>
      </c>
      <c r="AH209" s="4">
        <v>11.53</v>
      </c>
      <c r="AI209" s="6">
        <v>11.07</v>
      </c>
    </row>
    <row r="210" spans="1:35" x14ac:dyDescent="0.25">
      <c r="A210" s="5" t="str">
        <f>"141604"</f>
        <v>141604</v>
      </c>
      <c r="B210" s="3" t="s">
        <v>145</v>
      </c>
      <c r="C210" s="15">
        <v>93039035</v>
      </c>
      <c r="D210" s="15">
        <v>96668323</v>
      </c>
      <c r="E210" s="4">
        <v>3.9</v>
      </c>
      <c r="F210" s="15">
        <v>43579954</v>
      </c>
      <c r="G210" s="15">
        <v>44808332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43579954</v>
      </c>
      <c r="O210" s="15">
        <v>44808332</v>
      </c>
      <c r="P210" s="4">
        <v>2.82</v>
      </c>
      <c r="Q210" s="15">
        <v>1347374</v>
      </c>
      <c r="R210" s="15">
        <v>1345829</v>
      </c>
      <c r="S210" s="15">
        <v>42232580</v>
      </c>
      <c r="T210" s="15">
        <v>43462503</v>
      </c>
      <c r="U210" s="15">
        <v>42232580</v>
      </c>
      <c r="V210" s="15">
        <v>43462503</v>
      </c>
      <c r="W210" s="15">
        <v>0</v>
      </c>
      <c r="X210" s="15">
        <v>0</v>
      </c>
      <c r="Y210" s="4">
        <v>4700</v>
      </c>
      <c r="Z210" s="4">
        <v>4700</v>
      </c>
      <c r="AA210" s="4">
        <v>0</v>
      </c>
      <c r="AB210" s="15">
        <v>18506793</v>
      </c>
      <c r="AC210" s="15">
        <v>20283626</v>
      </c>
      <c r="AD210" s="15">
        <v>2849640</v>
      </c>
      <c r="AE210" s="15">
        <v>2849640</v>
      </c>
      <c r="AF210" s="15">
        <v>3721561</v>
      </c>
      <c r="AG210" s="15">
        <v>3866734</v>
      </c>
      <c r="AH210" s="4">
        <v>4</v>
      </c>
      <c r="AI210" s="6">
        <v>4</v>
      </c>
    </row>
    <row r="211" spans="1:35" x14ac:dyDescent="0.25">
      <c r="A211" s="5" t="str">
        <f>"460500"</f>
        <v>460500</v>
      </c>
      <c r="B211" s="3" t="s">
        <v>391</v>
      </c>
      <c r="C211" s="15">
        <v>76230000</v>
      </c>
      <c r="D211" s="15">
        <v>79129000</v>
      </c>
      <c r="E211" s="4">
        <v>3.8</v>
      </c>
      <c r="F211" s="15">
        <v>21613305</v>
      </c>
      <c r="G211" s="15">
        <v>22045571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21613305</v>
      </c>
      <c r="O211" s="15">
        <v>22045571</v>
      </c>
      <c r="P211" s="4">
        <v>2</v>
      </c>
      <c r="Q211" s="15">
        <v>223640</v>
      </c>
      <c r="R211" s="15">
        <v>231190</v>
      </c>
      <c r="S211" s="15">
        <v>21389665</v>
      </c>
      <c r="T211" s="15">
        <v>22234182</v>
      </c>
      <c r="U211" s="15">
        <v>21389665</v>
      </c>
      <c r="V211" s="15">
        <v>21814381</v>
      </c>
      <c r="W211" s="15">
        <v>0</v>
      </c>
      <c r="X211" s="15">
        <v>419801</v>
      </c>
      <c r="Y211" s="4">
        <v>3200</v>
      </c>
      <c r="Z211" s="4">
        <v>3194</v>
      </c>
      <c r="AA211" s="4">
        <v>-0.19</v>
      </c>
      <c r="AB211" s="15">
        <v>10569703</v>
      </c>
      <c r="AC211" s="15">
        <v>10869703</v>
      </c>
      <c r="AD211" s="15">
        <v>349523</v>
      </c>
      <c r="AE211" s="15">
        <v>108882</v>
      </c>
      <c r="AF211" s="15">
        <v>3936775</v>
      </c>
      <c r="AG211" s="15">
        <v>3165160</v>
      </c>
      <c r="AH211" s="4">
        <v>5.16</v>
      </c>
      <c r="AI211" s="6">
        <v>4</v>
      </c>
    </row>
    <row r="212" spans="1:35" x14ac:dyDescent="0.25">
      <c r="A212" s="5" t="str">
        <f>"520701"</f>
        <v>520701</v>
      </c>
      <c r="B212" s="3" t="s">
        <v>459</v>
      </c>
      <c r="C212" s="15">
        <v>23452247</v>
      </c>
      <c r="D212" s="15">
        <v>24215827</v>
      </c>
      <c r="E212" s="4">
        <v>3.26</v>
      </c>
      <c r="F212" s="15">
        <v>11129922</v>
      </c>
      <c r="G212" s="15">
        <v>11400000</v>
      </c>
      <c r="H212" s="15">
        <v>91337</v>
      </c>
      <c r="I212" s="15">
        <v>84000</v>
      </c>
      <c r="J212" s="15">
        <v>0</v>
      </c>
      <c r="K212" s="15">
        <v>0</v>
      </c>
      <c r="L212" s="15">
        <v>0</v>
      </c>
      <c r="M212" s="15">
        <v>0</v>
      </c>
      <c r="N212" s="15">
        <v>11221259</v>
      </c>
      <c r="O212" s="15">
        <v>11484000</v>
      </c>
      <c r="P212" s="4">
        <v>2.34</v>
      </c>
      <c r="Q212" s="15">
        <v>578535</v>
      </c>
      <c r="R212" s="15">
        <v>635350</v>
      </c>
      <c r="S212" s="15">
        <v>10557702</v>
      </c>
      <c r="T212" s="15">
        <v>10837144</v>
      </c>
      <c r="U212" s="15">
        <v>10551387</v>
      </c>
      <c r="V212" s="15">
        <v>10764650</v>
      </c>
      <c r="W212" s="15">
        <v>6315</v>
      </c>
      <c r="X212" s="15">
        <v>72494</v>
      </c>
      <c r="Y212" s="4">
        <v>816</v>
      </c>
      <c r="Z212" s="4">
        <v>832</v>
      </c>
      <c r="AA212" s="4">
        <v>1.96</v>
      </c>
      <c r="AB212" s="15">
        <v>4830622</v>
      </c>
      <c r="AC212" s="15">
        <v>5035622</v>
      </c>
      <c r="AD212" s="15">
        <v>1323386</v>
      </c>
      <c r="AE212" s="15">
        <v>1400000</v>
      </c>
      <c r="AF212" s="15">
        <v>3520033</v>
      </c>
      <c r="AG212" s="15">
        <v>4208303</v>
      </c>
      <c r="AH212" s="4">
        <v>15.01</v>
      </c>
      <c r="AI212" s="6">
        <v>17.38</v>
      </c>
    </row>
    <row r="213" spans="1:35" x14ac:dyDescent="0.25">
      <c r="A213" s="5" t="str">
        <f>"650902"</f>
        <v>650902</v>
      </c>
      <c r="B213" s="3" t="s">
        <v>620</v>
      </c>
      <c r="C213" s="15">
        <v>22880744</v>
      </c>
      <c r="D213" s="15">
        <v>24715621</v>
      </c>
      <c r="E213" s="4">
        <v>8.02</v>
      </c>
      <c r="F213" s="15">
        <v>10788816</v>
      </c>
      <c r="G213" s="15">
        <v>11035811</v>
      </c>
      <c r="H213" s="15"/>
      <c r="I213" s="15"/>
      <c r="J213" s="15"/>
      <c r="K213" s="15"/>
      <c r="L213" s="15"/>
      <c r="M213" s="15"/>
      <c r="N213" s="15">
        <v>10788816</v>
      </c>
      <c r="O213" s="15">
        <v>11035811</v>
      </c>
      <c r="P213" s="4">
        <v>2.29</v>
      </c>
      <c r="Q213" s="15">
        <v>0</v>
      </c>
      <c r="R213" s="15">
        <v>0</v>
      </c>
      <c r="S213" s="15">
        <v>10788816</v>
      </c>
      <c r="T213" s="15">
        <v>11035811</v>
      </c>
      <c r="U213" s="15">
        <v>10788816</v>
      </c>
      <c r="V213" s="15">
        <v>11035811</v>
      </c>
      <c r="W213" s="15">
        <v>0</v>
      </c>
      <c r="X213" s="15">
        <v>0</v>
      </c>
      <c r="Y213" s="4">
        <v>872</v>
      </c>
      <c r="Z213" s="4">
        <v>868</v>
      </c>
      <c r="AA213" s="4">
        <v>-0.46</v>
      </c>
      <c r="AB213" s="15">
        <v>2657196</v>
      </c>
      <c r="AC213" s="15">
        <v>2505200</v>
      </c>
      <c r="AD213" s="15">
        <v>300000</v>
      </c>
      <c r="AE213" s="15">
        <v>342000</v>
      </c>
      <c r="AF213" s="15">
        <v>915230</v>
      </c>
      <c r="AG213" s="15">
        <v>988620</v>
      </c>
      <c r="AH213" s="4">
        <v>4</v>
      </c>
      <c r="AI213" s="6">
        <v>4</v>
      </c>
    </row>
    <row r="214" spans="1:35" x14ac:dyDescent="0.25">
      <c r="A214" s="5" t="str">
        <f>"280218"</f>
        <v>280218</v>
      </c>
      <c r="B214" s="3" t="s">
        <v>282</v>
      </c>
      <c r="C214" s="15">
        <v>122381487</v>
      </c>
      <c r="D214" s="15">
        <v>124579449</v>
      </c>
      <c r="E214" s="4">
        <v>1.8</v>
      </c>
      <c r="F214" s="15">
        <v>105425384</v>
      </c>
      <c r="G214" s="15">
        <v>106739224</v>
      </c>
      <c r="H214" s="15"/>
      <c r="I214" s="15"/>
      <c r="J214" s="15"/>
      <c r="K214" s="15"/>
      <c r="L214" s="15"/>
      <c r="M214" s="15"/>
      <c r="N214" s="15">
        <v>105425384</v>
      </c>
      <c r="O214" s="15">
        <v>106739224</v>
      </c>
      <c r="P214" s="4">
        <v>1.25</v>
      </c>
      <c r="Q214" s="15">
        <v>5126422</v>
      </c>
      <c r="R214" s="15">
        <v>5049126</v>
      </c>
      <c r="S214" s="15">
        <v>100299616</v>
      </c>
      <c r="T214" s="15">
        <v>102790621</v>
      </c>
      <c r="U214" s="15">
        <v>100298962</v>
      </c>
      <c r="V214" s="15">
        <v>101690098</v>
      </c>
      <c r="W214" s="15">
        <v>654</v>
      </c>
      <c r="X214" s="15">
        <v>1100523</v>
      </c>
      <c r="Y214" s="4">
        <v>3932</v>
      </c>
      <c r="Z214" s="4">
        <v>3950</v>
      </c>
      <c r="AA214" s="4">
        <v>0.46</v>
      </c>
      <c r="AB214" s="15">
        <v>32047554</v>
      </c>
      <c r="AC214" s="15">
        <v>23750776</v>
      </c>
      <c r="AD214" s="15">
        <v>2836250</v>
      </c>
      <c r="AE214" s="15">
        <v>2600000</v>
      </c>
      <c r="AF214" s="15">
        <v>4895260</v>
      </c>
      <c r="AG214" s="15">
        <v>4983178</v>
      </c>
      <c r="AH214" s="4">
        <v>4</v>
      </c>
      <c r="AI214" s="6">
        <v>4</v>
      </c>
    </row>
    <row r="215" spans="1:35" x14ac:dyDescent="0.25">
      <c r="A215" s="5" t="str">
        <f>"480404"</f>
        <v>480404</v>
      </c>
      <c r="B215" s="3" t="s">
        <v>414</v>
      </c>
      <c r="C215" s="15">
        <v>11692487</v>
      </c>
      <c r="D215" s="15">
        <v>12364242</v>
      </c>
      <c r="E215" s="4">
        <v>5.75</v>
      </c>
      <c r="F215" s="15">
        <v>9737463</v>
      </c>
      <c r="G215" s="15">
        <v>10631209</v>
      </c>
      <c r="H215" s="15"/>
      <c r="I215" s="15"/>
      <c r="J215" s="15"/>
      <c r="K215" s="15"/>
      <c r="L215" s="15" t="s">
        <v>415</v>
      </c>
      <c r="M215" s="15" t="s">
        <v>415</v>
      </c>
      <c r="N215" s="15">
        <v>9737463</v>
      </c>
      <c r="O215" s="15">
        <v>10631209</v>
      </c>
      <c r="P215" s="4">
        <v>9.18</v>
      </c>
      <c r="Q215" s="15">
        <v>608332</v>
      </c>
      <c r="R215" s="15">
        <v>586991</v>
      </c>
      <c r="S215" s="15">
        <v>9129131</v>
      </c>
      <c r="T215" s="15">
        <v>9360381</v>
      </c>
      <c r="U215" s="15">
        <v>9129131</v>
      </c>
      <c r="V215" s="15">
        <v>10044218</v>
      </c>
      <c r="W215" s="15">
        <v>0</v>
      </c>
      <c r="X215" s="15">
        <v>-683837</v>
      </c>
      <c r="Y215" s="4">
        <v>213</v>
      </c>
      <c r="Z215" s="4">
        <v>215</v>
      </c>
      <c r="AA215" s="4">
        <v>0.94</v>
      </c>
      <c r="AB215" s="15">
        <v>1792185</v>
      </c>
      <c r="AC215" s="15">
        <v>1771344</v>
      </c>
      <c r="AD215" s="15">
        <v>893319</v>
      </c>
      <c r="AE215" s="15">
        <v>608937</v>
      </c>
      <c r="AF215" s="15">
        <v>668902</v>
      </c>
      <c r="AG215" s="15">
        <v>390000</v>
      </c>
      <c r="AH215" s="4">
        <v>5.72</v>
      </c>
      <c r="AI215" s="6">
        <v>3.15</v>
      </c>
    </row>
    <row r="216" spans="1:35" x14ac:dyDescent="0.25">
      <c r="A216" s="5" t="str">
        <f>"260401"</f>
        <v>260401</v>
      </c>
      <c r="B216" s="3" t="s">
        <v>243</v>
      </c>
      <c r="C216" s="15">
        <v>117882045</v>
      </c>
      <c r="D216" s="15">
        <v>122337409</v>
      </c>
      <c r="E216" s="4">
        <v>3.78</v>
      </c>
      <c r="F216" s="15">
        <v>56958890</v>
      </c>
      <c r="G216" s="15">
        <v>58213112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56958890</v>
      </c>
      <c r="O216" s="15">
        <v>58213112</v>
      </c>
      <c r="P216" s="4">
        <v>2.2000000000000002</v>
      </c>
      <c r="Q216" s="15">
        <v>3490346</v>
      </c>
      <c r="R216" s="15">
        <v>3497332</v>
      </c>
      <c r="S216" s="15">
        <v>53468544</v>
      </c>
      <c r="T216" s="15">
        <v>54715780</v>
      </c>
      <c r="U216" s="15">
        <v>53468544</v>
      </c>
      <c r="V216" s="15">
        <v>54715780</v>
      </c>
      <c r="W216" s="15">
        <v>0</v>
      </c>
      <c r="X216" s="15">
        <v>0</v>
      </c>
      <c r="Y216" s="4">
        <v>3559</v>
      </c>
      <c r="Z216" s="4">
        <v>3650</v>
      </c>
      <c r="AA216" s="4">
        <v>2.56</v>
      </c>
      <c r="AB216" s="15">
        <v>34475806</v>
      </c>
      <c r="AC216" s="15">
        <v>38000000</v>
      </c>
      <c r="AD216" s="15">
        <v>2800000</v>
      </c>
      <c r="AE216" s="15">
        <v>2800000</v>
      </c>
      <c r="AF216" s="15">
        <v>4715282</v>
      </c>
      <c r="AG216" s="15">
        <v>4893496</v>
      </c>
      <c r="AH216" s="4">
        <v>4</v>
      </c>
      <c r="AI216" s="6">
        <v>4</v>
      </c>
    </row>
    <row r="217" spans="1:35" x14ac:dyDescent="0.25">
      <c r="A217" s="5" t="str">
        <f>"220401"</f>
        <v>220401</v>
      </c>
      <c r="B217" s="3" t="s">
        <v>211</v>
      </c>
      <c r="C217" s="15">
        <v>25454592</v>
      </c>
      <c r="D217" s="15">
        <v>25994591</v>
      </c>
      <c r="E217" s="4">
        <v>2.12</v>
      </c>
      <c r="F217" s="15">
        <v>8599810</v>
      </c>
      <c r="G217" s="15">
        <v>8887222</v>
      </c>
      <c r="H217" s="15"/>
      <c r="I217" s="15"/>
      <c r="J217" s="15"/>
      <c r="K217" s="15"/>
      <c r="L217" s="15"/>
      <c r="M217" s="15"/>
      <c r="N217" s="15">
        <v>8599810</v>
      </c>
      <c r="O217" s="15">
        <v>8887222</v>
      </c>
      <c r="P217" s="4">
        <v>3.34</v>
      </c>
      <c r="Q217" s="15">
        <v>412871</v>
      </c>
      <c r="R217" s="15">
        <v>466712</v>
      </c>
      <c r="S217" s="15">
        <v>8186939</v>
      </c>
      <c r="T217" s="15">
        <v>8420510</v>
      </c>
      <c r="U217" s="15">
        <v>8186939</v>
      </c>
      <c r="V217" s="15">
        <v>8420510</v>
      </c>
      <c r="W217" s="15">
        <v>0</v>
      </c>
      <c r="X217" s="15">
        <v>0</v>
      </c>
      <c r="Y217" s="4">
        <v>1447</v>
      </c>
      <c r="Z217" s="4">
        <v>1450</v>
      </c>
      <c r="AA217" s="4">
        <v>0.21</v>
      </c>
      <c r="AB217" s="15">
        <v>5673866</v>
      </c>
      <c r="AC217" s="15">
        <v>7000000</v>
      </c>
      <c r="AD217" s="15">
        <v>1265934</v>
      </c>
      <c r="AE217" s="15">
        <v>1200000</v>
      </c>
      <c r="AF217" s="15">
        <v>2972427</v>
      </c>
      <c r="AG217" s="15">
        <v>2500000</v>
      </c>
      <c r="AH217" s="4">
        <v>11.68</v>
      </c>
      <c r="AI217" s="6">
        <v>9.6199999999999992</v>
      </c>
    </row>
    <row r="218" spans="1:35" x14ac:dyDescent="0.25">
      <c r="A218" s="5" t="str">
        <f>"020702"</f>
        <v>020702</v>
      </c>
      <c r="B218" s="3" t="s">
        <v>14</v>
      </c>
      <c r="C218" s="15">
        <v>17535366</v>
      </c>
      <c r="D218" s="15">
        <v>18483359</v>
      </c>
      <c r="E218" s="4">
        <v>5.41</v>
      </c>
      <c r="F218" s="15">
        <v>3038246</v>
      </c>
      <c r="G218" s="15">
        <v>3065590</v>
      </c>
      <c r="H218" s="15">
        <v>106000</v>
      </c>
      <c r="I218" s="15">
        <v>107000</v>
      </c>
      <c r="J218" s="15">
        <v>0</v>
      </c>
      <c r="K218" s="15">
        <v>0</v>
      </c>
      <c r="L218" s="15">
        <v>0</v>
      </c>
      <c r="M218" s="15">
        <v>0</v>
      </c>
      <c r="N218" s="15">
        <v>3144246</v>
      </c>
      <c r="O218" s="15">
        <v>3172590</v>
      </c>
      <c r="P218" s="4">
        <v>0.9</v>
      </c>
      <c r="Q218" s="15">
        <v>0</v>
      </c>
      <c r="R218" s="15">
        <v>0</v>
      </c>
      <c r="S218" s="15">
        <v>3097945</v>
      </c>
      <c r="T218" s="15">
        <v>3151455</v>
      </c>
      <c r="U218" s="15">
        <v>3038246</v>
      </c>
      <c r="V218" s="15">
        <v>3065590</v>
      </c>
      <c r="W218" s="15">
        <v>59699</v>
      </c>
      <c r="X218" s="15">
        <v>85865</v>
      </c>
      <c r="Y218" s="4">
        <v>576</v>
      </c>
      <c r="Z218" s="4">
        <v>590</v>
      </c>
      <c r="AA218" s="4">
        <v>2.4300000000000002</v>
      </c>
      <c r="AB218" s="15">
        <v>5328788</v>
      </c>
      <c r="AC218" s="15">
        <v>5000860</v>
      </c>
      <c r="AD218" s="15">
        <v>400000</v>
      </c>
      <c r="AE218" s="15">
        <v>600000</v>
      </c>
      <c r="AF218" s="15">
        <v>1169138</v>
      </c>
      <c r="AG218" s="15">
        <v>739334</v>
      </c>
      <c r="AH218" s="4">
        <v>6.67</v>
      </c>
      <c r="AI218" s="6">
        <v>4</v>
      </c>
    </row>
    <row r="219" spans="1:35" x14ac:dyDescent="0.25">
      <c r="A219" s="5" t="str">
        <f>"240401"</f>
        <v>240401</v>
      </c>
      <c r="B219" s="3" t="s">
        <v>226</v>
      </c>
      <c r="C219" s="15">
        <v>21456271</v>
      </c>
      <c r="D219" s="15">
        <v>21948601</v>
      </c>
      <c r="E219" s="4">
        <v>2.29</v>
      </c>
      <c r="F219" s="15">
        <v>11634269</v>
      </c>
      <c r="G219" s="15">
        <v>11837869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11634269</v>
      </c>
      <c r="O219" s="15">
        <v>11837869</v>
      </c>
      <c r="P219" s="4">
        <v>1.75</v>
      </c>
      <c r="Q219" s="15">
        <v>245290</v>
      </c>
      <c r="R219" s="15">
        <v>320546</v>
      </c>
      <c r="S219" s="15">
        <v>10887314</v>
      </c>
      <c r="T219" s="15">
        <v>11600888</v>
      </c>
      <c r="U219" s="15">
        <v>11388979</v>
      </c>
      <c r="V219" s="15">
        <v>11517323</v>
      </c>
      <c r="W219" s="15">
        <v>-501665</v>
      </c>
      <c r="X219" s="15">
        <v>83565</v>
      </c>
      <c r="Y219" s="4">
        <v>842</v>
      </c>
      <c r="Z219" s="4">
        <v>853</v>
      </c>
      <c r="AA219" s="4">
        <v>1.31</v>
      </c>
      <c r="AB219" s="15">
        <v>4756408</v>
      </c>
      <c r="AC219" s="15">
        <v>3671358</v>
      </c>
      <c r="AD219" s="15">
        <v>506915</v>
      </c>
      <c r="AE219" s="15">
        <v>540759</v>
      </c>
      <c r="AF219" s="15">
        <v>858251</v>
      </c>
      <c r="AG219" s="15">
        <v>877944</v>
      </c>
      <c r="AH219" s="4">
        <v>4</v>
      </c>
      <c r="AI219" s="6">
        <v>4</v>
      </c>
    </row>
    <row r="220" spans="1:35" x14ac:dyDescent="0.25">
      <c r="A220" s="5" t="str">
        <f>"430700"</f>
        <v>430700</v>
      </c>
      <c r="B220" s="3" t="s">
        <v>361</v>
      </c>
      <c r="C220" s="15">
        <v>60127333</v>
      </c>
      <c r="D220" s="15">
        <v>63933249</v>
      </c>
      <c r="E220" s="4">
        <v>6.33</v>
      </c>
      <c r="F220" s="15">
        <v>20690482</v>
      </c>
      <c r="G220" s="15">
        <v>21497411</v>
      </c>
      <c r="H220" s="15"/>
      <c r="I220" s="15"/>
      <c r="J220" s="15"/>
      <c r="K220" s="15"/>
      <c r="L220" s="15"/>
      <c r="M220" s="15"/>
      <c r="N220" s="15">
        <v>20690482</v>
      </c>
      <c r="O220" s="15">
        <v>21497411</v>
      </c>
      <c r="P220" s="4">
        <v>3.9</v>
      </c>
      <c r="Q220" s="15">
        <v>0</v>
      </c>
      <c r="R220" s="15">
        <v>0</v>
      </c>
      <c r="S220" s="15">
        <v>20899453</v>
      </c>
      <c r="T220" s="15">
        <v>21709091</v>
      </c>
      <c r="U220" s="15">
        <v>20690482</v>
      </c>
      <c r="V220" s="15">
        <v>21497411</v>
      </c>
      <c r="W220" s="15">
        <v>208971</v>
      </c>
      <c r="X220" s="15">
        <v>211680</v>
      </c>
      <c r="Y220" s="4">
        <v>2125</v>
      </c>
      <c r="Z220" s="4">
        <v>2166</v>
      </c>
      <c r="AA220" s="4">
        <v>1.93</v>
      </c>
      <c r="AB220" s="15">
        <v>15848343</v>
      </c>
      <c r="AC220" s="15">
        <v>11996102</v>
      </c>
      <c r="AD220" s="15">
        <v>650000</v>
      </c>
      <c r="AE220" s="15">
        <v>1702679</v>
      </c>
      <c r="AF220" s="15">
        <v>2405093</v>
      </c>
      <c r="AG220" s="15">
        <v>2557330</v>
      </c>
      <c r="AH220" s="4">
        <v>4</v>
      </c>
      <c r="AI220" s="6">
        <v>4</v>
      </c>
    </row>
    <row r="221" spans="1:35" x14ac:dyDescent="0.25">
      <c r="A221" s="5" t="str">
        <f>"081401"</f>
        <v>081401</v>
      </c>
      <c r="B221" s="3" t="s">
        <v>81</v>
      </c>
      <c r="C221" s="15">
        <v>11912611</v>
      </c>
      <c r="D221" s="15">
        <v>11755472</v>
      </c>
      <c r="E221" s="4">
        <v>-1.32</v>
      </c>
      <c r="F221" s="15">
        <v>3284015</v>
      </c>
      <c r="G221" s="15">
        <v>3349695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3284015</v>
      </c>
      <c r="O221" s="15">
        <v>3349695</v>
      </c>
      <c r="P221" s="4">
        <v>2</v>
      </c>
      <c r="Q221" s="15">
        <v>0</v>
      </c>
      <c r="R221" s="15">
        <v>0</v>
      </c>
      <c r="S221" s="15">
        <v>3308724</v>
      </c>
      <c r="T221" s="15">
        <v>3377419</v>
      </c>
      <c r="U221" s="15">
        <v>3284015</v>
      </c>
      <c r="V221" s="15">
        <v>3349695</v>
      </c>
      <c r="W221" s="15">
        <v>24709</v>
      </c>
      <c r="X221" s="15">
        <v>27724</v>
      </c>
      <c r="Y221" s="4">
        <v>292</v>
      </c>
      <c r="Z221" s="4">
        <v>294</v>
      </c>
      <c r="AA221" s="4">
        <v>0.68</v>
      </c>
      <c r="AB221" s="15">
        <v>3251994</v>
      </c>
      <c r="AC221" s="15">
        <v>3261994</v>
      </c>
      <c r="AD221" s="15">
        <v>0</v>
      </c>
      <c r="AE221" s="15">
        <v>150000</v>
      </c>
      <c r="AF221" s="15">
        <v>963819</v>
      </c>
      <c r="AG221" s="15">
        <v>651000</v>
      </c>
      <c r="AH221" s="4">
        <v>8.09</v>
      </c>
      <c r="AI221" s="6">
        <v>5.54</v>
      </c>
    </row>
    <row r="222" spans="1:35" x14ac:dyDescent="0.25">
      <c r="A222" s="5" t="str">
        <f>"100902"</f>
        <v>100902</v>
      </c>
      <c r="B222" s="3" t="s">
        <v>93</v>
      </c>
      <c r="C222" s="15">
        <v>16331182</v>
      </c>
      <c r="D222" s="15">
        <v>16904170</v>
      </c>
      <c r="E222" s="4">
        <v>3.51</v>
      </c>
      <c r="F222" s="15">
        <v>9731282</v>
      </c>
      <c r="G222" s="15">
        <v>9992685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9731282</v>
      </c>
      <c r="O222" s="15">
        <v>9992685</v>
      </c>
      <c r="P222" s="4">
        <v>2.69</v>
      </c>
      <c r="Q222" s="15">
        <v>555600</v>
      </c>
      <c r="R222" s="15">
        <v>536745</v>
      </c>
      <c r="S222" s="15">
        <v>9175682</v>
      </c>
      <c r="T222" s="15">
        <v>9455940</v>
      </c>
      <c r="U222" s="15">
        <v>9175682</v>
      </c>
      <c r="V222" s="15">
        <v>9455940</v>
      </c>
      <c r="W222" s="15">
        <v>0</v>
      </c>
      <c r="X222" s="15">
        <v>0</v>
      </c>
      <c r="Y222" s="4">
        <v>503</v>
      </c>
      <c r="Z222" s="4">
        <v>538</v>
      </c>
      <c r="AA222" s="4">
        <v>6.96</v>
      </c>
      <c r="AB222" s="15">
        <v>4176622</v>
      </c>
      <c r="AC222" s="15">
        <v>4176622</v>
      </c>
      <c r="AD222" s="15">
        <v>1245028</v>
      </c>
      <c r="AE222" s="15">
        <v>1245028</v>
      </c>
      <c r="AF222" s="15">
        <v>653247</v>
      </c>
      <c r="AG222" s="15">
        <v>508219</v>
      </c>
      <c r="AH222" s="4">
        <v>4</v>
      </c>
      <c r="AI222" s="6">
        <v>3.01</v>
      </c>
    </row>
    <row r="223" spans="1:35" x14ac:dyDescent="0.25">
      <c r="A223" s="5" t="str">
        <f>"470202"</f>
        <v>470202</v>
      </c>
      <c r="B223" s="3" t="s">
        <v>399</v>
      </c>
      <c r="C223" s="15">
        <v>10300655</v>
      </c>
      <c r="D223" s="15">
        <v>10695500</v>
      </c>
      <c r="E223" s="4">
        <v>3.83</v>
      </c>
      <c r="F223" s="15">
        <v>2595190</v>
      </c>
      <c r="G223" s="15">
        <v>2647150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2595190</v>
      </c>
      <c r="O223" s="15">
        <v>2647150</v>
      </c>
      <c r="P223" s="4">
        <v>2</v>
      </c>
      <c r="Q223" s="15">
        <v>0</v>
      </c>
      <c r="R223" s="15">
        <v>0</v>
      </c>
      <c r="S223" s="15">
        <v>2609066</v>
      </c>
      <c r="T223" s="15">
        <v>2673940</v>
      </c>
      <c r="U223" s="15">
        <v>2595190</v>
      </c>
      <c r="V223" s="15">
        <v>2647150</v>
      </c>
      <c r="W223" s="15">
        <v>13876</v>
      </c>
      <c r="X223" s="15">
        <v>26790</v>
      </c>
      <c r="Y223" s="4">
        <v>361</v>
      </c>
      <c r="Z223" s="4">
        <v>365</v>
      </c>
      <c r="AA223" s="4">
        <v>1.1100000000000001</v>
      </c>
      <c r="AB223" s="15">
        <v>3385569</v>
      </c>
      <c r="AC223" s="15">
        <v>3684261</v>
      </c>
      <c r="AD223" s="15">
        <v>299500</v>
      </c>
      <c r="AE223" s="15">
        <v>310000</v>
      </c>
      <c r="AF223" s="15">
        <v>481934</v>
      </c>
      <c r="AG223" s="15">
        <v>822742</v>
      </c>
      <c r="AH223" s="4">
        <v>4.68</v>
      </c>
      <c r="AI223" s="6">
        <v>7.69</v>
      </c>
    </row>
    <row r="224" spans="1:35" x14ac:dyDescent="0.25">
      <c r="A224" s="5" t="str">
        <f>"540801"</f>
        <v>540801</v>
      </c>
      <c r="B224" s="3" t="s">
        <v>473</v>
      </c>
      <c r="C224" s="15">
        <v>10690670</v>
      </c>
      <c r="D224" s="15">
        <v>11238049</v>
      </c>
      <c r="E224" s="4">
        <v>5.12</v>
      </c>
      <c r="F224" s="15">
        <v>6843499</v>
      </c>
      <c r="G224" s="15">
        <v>6946152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6843499</v>
      </c>
      <c r="O224" s="15">
        <v>6946152</v>
      </c>
      <c r="P224" s="4">
        <v>1.5</v>
      </c>
      <c r="Q224" s="15">
        <v>33460</v>
      </c>
      <c r="R224" s="15">
        <v>0</v>
      </c>
      <c r="S224" s="15">
        <v>6810039</v>
      </c>
      <c r="T224" s="15">
        <v>6970701</v>
      </c>
      <c r="U224" s="15">
        <v>6810039</v>
      </c>
      <c r="V224" s="15">
        <v>6946152</v>
      </c>
      <c r="W224" s="15">
        <v>0</v>
      </c>
      <c r="X224" s="15">
        <v>24549</v>
      </c>
      <c r="Y224" s="4">
        <v>300</v>
      </c>
      <c r="Z224" s="4">
        <v>298</v>
      </c>
      <c r="AA224" s="4">
        <v>-0.67</v>
      </c>
      <c r="AB224" s="15">
        <v>5623194</v>
      </c>
      <c r="AC224" s="15">
        <v>5246577</v>
      </c>
      <c r="AD224" s="15">
        <v>363828</v>
      </c>
      <c r="AE224" s="15">
        <v>302517</v>
      </c>
      <c r="AF224" s="15">
        <v>762627</v>
      </c>
      <c r="AG224" s="15">
        <v>736729</v>
      </c>
      <c r="AH224" s="4">
        <v>7.13</v>
      </c>
      <c r="AI224" s="6">
        <v>6.56</v>
      </c>
    </row>
    <row r="225" spans="1:35" x14ac:dyDescent="0.25">
      <c r="A225" s="5" t="str">
        <f>"280100"</f>
        <v>280100</v>
      </c>
      <c r="B225" s="3" t="s">
        <v>264</v>
      </c>
      <c r="C225" s="15">
        <v>95746755</v>
      </c>
      <c r="D225" s="15">
        <v>101942671</v>
      </c>
      <c r="E225" s="4">
        <v>6.47</v>
      </c>
      <c r="F225" s="15">
        <v>72070116</v>
      </c>
      <c r="G225" s="15">
        <v>73402867</v>
      </c>
      <c r="H225" s="15"/>
      <c r="I225" s="15"/>
      <c r="J225" s="15"/>
      <c r="K225" s="15"/>
      <c r="L225" s="15"/>
      <c r="M225" s="15"/>
      <c r="N225" s="15">
        <v>72070116</v>
      </c>
      <c r="O225" s="15">
        <v>73402867</v>
      </c>
      <c r="P225" s="4">
        <v>1.85</v>
      </c>
      <c r="Q225" s="15">
        <v>1405698</v>
      </c>
      <c r="R225" s="15">
        <v>1759217</v>
      </c>
      <c r="S225" s="15">
        <v>70664418</v>
      </c>
      <c r="T225" s="15">
        <v>71643650</v>
      </c>
      <c r="U225" s="15">
        <v>70664418</v>
      </c>
      <c r="V225" s="15">
        <v>71643650</v>
      </c>
      <c r="W225" s="15">
        <v>0</v>
      </c>
      <c r="X225" s="15">
        <v>0</v>
      </c>
      <c r="Y225" s="4">
        <v>3088</v>
      </c>
      <c r="Z225" s="4">
        <v>3125</v>
      </c>
      <c r="AA225" s="4">
        <v>1.2</v>
      </c>
      <c r="AB225" s="15">
        <v>26450150</v>
      </c>
      <c r="AC225" s="15">
        <v>19850000</v>
      </c>
      <c r="AD225" s="15">
        <v>751962</v>
      </c>
      <c r="AE225" s="15">
        <v>950000</v>
      </c>
      <c r="AF225" s="15">
        <v>3829870</v>
      </c>
      <c r="AG225" s="15">
        <v>4077707</v>
      </c>
      <c r="AH225" s="4">
        <v>4</v>
      </c>
      <c r="AI225" s="6">
        <v>4</v>
      </c>
    </row>
    <row r="226" spans="1:35" x14ac:dyDescent="0.25">
      <c r="A226" s="5" t="str">
        <f>"630300"</f>
        <v>630300</v>
      </c>
      <c r="B226" s="3" t="s">
        <v>596</v>
      </c>
      <c r="C226" s="15">
        <v>47916444</v>
      </c>
      <c r="D226" s="15">
        <v>50584799</v>
      </c>
      <c r="E226" s="4">
        <v>5.57</v>
      </c>
      <c r="F226" s="15">
        <v>22144063</v>
      </c>
      <c r="G226" s="15">
        <v>22844597</v>
      </c>
      <c r="H226" s="15"/>
      <c r="I226" s="15"/>
      <c r="J226" s="15"/>
      <c r="K226" s="15"/>
      <c r="L226" s="15"/>
      <c r="M226" s="15"/>
      <c r="N226" s="15">
        <v>22144063</v>
      </c>
      <c r="O226" s="15">
        <v>22844597</v>
      </c>
      <c r="P226" s="4">
        <v>3.16</v>
      </c>
      <c r="Q226" s="15">
        <v>413525</v>
      </c>
      <c r="R226" s="15">
        <v>501193</v>
      </c>
      <c r="S226" s="15">
        <v>21730538</v>
      </c>
      <c r="T226" s="15">
        <v>22343404</v>
      </c>
      <c r="U226" s="15">
        <v>21730538</v>
      </c>
      <c r="V226" s="15">
        <v>22343404</v>
      </c>
      <c r="W226" s="15">
        <v>0</v>
      </c>
      <c r="X226" s="15">
        <v>0</v>
      </c>
      <c r="Y226" s="4">
        <v>2004</v>
      </c>
      <c r="Z226" s="4">
        <v>1968</v>
      </c>
      <c r="AA226" s="4">
        <v>-1.8</v>
      </c>
      <c r="AB226" s="15">
        <v>10113200</v>
      </c>
      <c r="AC226" s="15">
        <v>10400000</v>
      </c>
      <c r="AD226" s="15">
        <v>1994359</v>
      </c>
      <c r="AE226" s="15">
        <v>2100000</v>
      </c>
      <c r="AF226" s="15">
        <v>8206708</v>
      </c>
      <c r="AG226" s="15">
        <v>5000000</v>
      </c>
      <c r="AH226" s="4">
        <v>17.13</v>
      </c>
      <c r="AI226" s="6">
        <v>9.8800000000000008</v>
      </c>
    </row>
    <row r="227" spans="1:35" x14ac:dyDescent="0.25">
      <c r="A227" s="5" t="str">
        <f>"630918"</f>
        <v>630918</v>
      </c>
      <c r="B227" s="3" t="s">
        <v>601</v>
      </c>
      <c r="C227" s="15">
        <v>5353492</v>
      </c>
      <c r="D227" s="15">
        <v>5497612</v>
      </c>
      <c r="E227" s="4">
        <v>2.69</v>
      </c>
      <c r="F227" s="15">
        <v>3052892</v>
      </c>
      <c r="G227" s="15">
        <v>3139576</v>
      </c>
      <c r="H227" s="15"/>
      <c r="I227" s="15"/>
      <c r="J227" s="15"/>
      <c r="K227" s="15"/>
      <c r="L227" s="15"/>
      <c r="M227" s="15"/>
      <c r="N227" s="15">
        <v>3052892</v>
      </c>
      <c r="O227" s="15">
        <v>3139576</v>
      </c>
      <c r="P227" s="4">
        <v>2.84</v>
      </c>
      <c r="Q227" s="15">
        <v>5586</v>
      </c>
      <c r="R227" s="15">
        <v>25719</v>
      </c>
      <c r="S227" s="15">
        <v>3058478</v>
      </c>
      <c r="T227" s="15">
        <v>3113857</v>
      </c>
      <c r="U227" s="15">
        <v>3047306</v>
      </c>
      <c r="V227" s="15">
        <v>3113857</v>
      </c>
      <c r="W227" s="15">
        <v>11172</v>
      </c>
      <c r="X227" s="15">
        <v>0</v>
      </c>
      <c r="Y227" s="4">
        <v>157</v>
      </c>
      <c r="Z227" s="4">
        <v>158</v>
      </c>
      <c r="AA227" s="4">
        <v>0.64</v>
      </c>
      <c r="AB227" s="15">
        <v>279291</v>
      </c>
      <c r="AC227" s="15">
        <v>431152</v>
      </c>
      <c r="AD227" s="15">
        <v>210346</v>
      </c>
      <c r="AE227" s="15">
        <v>0</v>
      </c>
      <c r="AF227" s="15">
        <v>112034</v>
      </c>
      <c r="AG227" s="15">
        <v>227718</v>
      </c>
      <c r="AH227" s="4">
        <v>2.09</v>
      </c>
      <c r="AI227" s="6">
        <v>4.1399999999999997</v>
      </c>
    </row>
    <row r="228" spans="1:35" x14ac:dyDescent="0.25">
      <c r="A228" s="5" t="str">
        <f>"170500"</f>
        <v>170500</v>
      </c>
      <c r="B228" s="3" t="s">
        <v>173</v>
      </c>
      <c r="C228" s="15">
        <v>67262883</v>
      </c>
      <c r="D228" s="15">
        <v>70827217</v>
      </c>
      <c r="E228" s="4">
        <v>5.3</v>
      </c>
      <c r="F228" s="15">
        <v>15490354</v>
      </c>
      <c r="G228" s="15">
        <v>15715090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15490354</v>
      </c>
      <c r="O228" s="15">
        <v>15715090</v>
      </c>
      <c r="P228" s="4">
        <v>1.45</v>
      </c>
      <c r="Q228" s="15">
        <v>487528</v>
      </c>
      <c r="R228" s="15">
        <v>406620</v>
      </c>
      <c r="S228" s="15">
        <v>15002826</v>
      </c>
      <c r="T228" s="15">
        <v>15308470</v>
      </c>
      <c r="U228" s="15">
        <v>15002826</v>
      </c>
      <c r="V228" s="15">
        <v>15308470</v>
      </c>
      <c r="W228" s="15">
        <v>0</v>
      </c>
      <c r="X228" s="15">
        <v>0</v>
      </c>
      <c r="Y228" s="4">
        <v>2670</v>
      </c>
      <c r="Z228" s="4">
        <v>2652</v>
      </c>
      <c r="AA228" s="4">
        <v>-0.67</v>
      </c>
      <c r="AB228" s="15">
        <v>7365444</v>
      </c>
      <c r="AC228" s="15">
        <v>8565444</v>
      </c>
      <c r="AD228" s="15">
        <v>1296009</v>
      </c>
      <c r="AE228" s="15">
        <v>1453761</v>
      </c>
      <c r="AF228" s="15">
        <v>7523582</v>
      </c>
      <c r="AG228" s="15">
        <v>6227573</v>
      </c>
      <c r="AH228" s="4">
        <v>11.19</v>
      </c>
      <c r="AI228" s="6">
        <v>8.7899999999999991</v>
      </c>
    </row>
    <row r="229" spans="1:35" x14ac:dyDescent="0.25">
      <c r="A229" s="5" t="str">
        <f>"430901"</f>
        <v>430901</v>
      </c>
      <c r="B229" s="3" t="s">
        <v>362</v>
      </c>
      <c r="C229" s="15">
        <v>34475750</v>
      </c>
      <c r="D229" s="15">
        <v>35890670</v>
      </c>
      <c r="E229" s="4">
        <v>4.0999999999999996</v>
      </c>
      <c r="F229" s="15">
        <v>15500090</v>
      </c>
      <c r="G229" s="15">
        <v>15928970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15500090</v>
      </c>
      <c r="O229" s="15">
        <v>15928970</v>
      </c>
      <c r="P229" s="4">
        <v>2.77</v>
      </c>
      <c r="Q229" s="15">
        <v>605885</v>
      </c>
      <c r="R229" s="15">
        <v>619928</v>
      </c>
      <c r="S229" s="15">
        <v>14894205</v>
      </c>
      <c r="T229" s="15">
        <v>15309655</v>
      </c>
      <c r="U229" s="15">
        <v>14894205</v>
      </c>
      <c r="V229" s="15">
        <v>15309042</v>
      </c>
      <c r="W229" s="15">
        <v>0</v>
      </c>
      <c r="X229" s="15">
        <v>613</v>
      </c>
      <c r="Y229" s="4">
        <v>1128</v>
      </c>
      <c r="Z229" s="4">
        <v>1140</v>
      </c>
      <c r="AA229" s="4">
        <v>1.06</v>
      </c>
      <c r="AB229" s="15">
        <v>8112215</v>
      </c>
      <c r="AC229" s="15">
        <v>8600000</v>
      </c>
      <c r="AD229" s="15">
        <v>580000</v>
      </c>
      <c r="AE229" s="15">
        <v>580000</v>
      </c>
      <c r="AF229" s="15">
        <v>1379030</v>
      </c>
      <c r="AG229" s="15">
        <v>1435627</v>
      </c>
      <c r="AH229" s="4">
        <v>4</v>
      </c>
      <c r="AI229" s="6">
        <v>4</v>
      </c>
    </row>
    <row r="230" spans="1:35" x14ac:dyDescent="0.25">
      <c r="A230" s="5" t="str">
        <f>"440601"</f>
        <v>440601</v>
      </c>
      <c r="B230" s="3" t="s">
        <v>372</v>
      </c>
      <c r="C230" s="15">
        <v>78811376</v>
      </c>
      <c r="D230" s="15">
        <v>83700000</v>
      </c>
      <c r="E230" s="4">
        <v>6.2</v>
      </c>
      <c r="F230" s="15">
        <v>54039224</v>
      </c>
      <c r="G230" s="15">
        <v>54040000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54039224</v>
      </c>
      <c r="O230" s="15">
        <v>54040000</v>
      </c>
      <c r="P230" s="4">
        <v>0</v>
      </c>
      <c r="Q230" s="15">
        <v>1111752</v>
      </c>
      <c r="R230" s="15">
        <v>550168</v>
      </c>
      <c r="S230" s="15">
        <v>54066654</v>
      </c>
      <c r="T230" s="15">
        <v>54190699</v>
      </c>
      <c r="U230" s="15">
        <v>52927472</v>
      </c>
      <c r="V230" s="15">
        <v>53489832</v>
      </c>
      <c r="W230" s="15">
        <v>1139182</v>
      </c>
      <c r="X230" s="15">
        <v>700867</v>
      </c>
      <c r="Y230" s="4">
        <v>2779</v>
      </c>
      <c r="Z230" s="4">
        <v>2851</v>
      </c>
      <c r="AA230" s="4">
        <v>2.59</v>
      </c>
      <c r="AB230" s="15">
        <v>12251534</v>
      </c>
      <c r="AC230" s="15">
        <v>7251534</v>
      </c>
      <c r="AD230" s="15">
        <v>900000</v>
      </c>
      <c r="AE230" s="15">
        <v>1250000</v>
      </c>
      <c r="AF230" s="15">
        <v>4586949</v>
      </c>
      <c r="AG230" s="15">
        <v>3000000</v>
      </c>
      <c r="AH230" s="4">
        <v>5.82</v>
      </c>
      <c r="AI230" s="6">
        <v>3.58</v>
      </c>
    </row>
    <row r="231" spans="1:35" x14ac:dyDescent="0.25">
      <c r="A231" s="5" t="str">
        <f>"511101"</f>
        <v>511101</v>
      </c>
      <c r="B231" s="3" t="s">
        <v>442</v>
      </c>
      <c r="C231" s="15">
        <v>39960574</v>
      </c>
      <c r="D231" s="15">
        <v>41317007</v>
      </c>
      <c r="E231" s="4">
        <v>3.39</v>
      </c>
      <c r="F231" s="15">
        <v>6686829</v>
      </c>
      <c r="G231" s="15">
        <v>6787112</v>
      </c>
      <c r="H231" s="15"/>
      <c r="I231" s="15"/>
      <c r="J231" s="15"/>
      <c r="K231" s="15"/>
      <c r="L231" s="15"/>
      <c r="M231" s="15"/>
      <c r="N231" s="15">
        <v>6686829</v>
      </c>
      <c r="O231" s="15">
        <v>6787112</v>
      </c>
      <c r="P231" s="4">
        <v>1.5</v>
      </c>
      <c r="Q231" s="15">
        <v>462949</v>
      </c>
      <c r="R231" s="15">
        <v>346507</v>
      </c>
      <c r="S231" s="15">
        <v>6223880</v>
      </c>
      <c r="T231" s="15">
        <v>6440605</v>
      </c>
      <c r="U231" s="15">
        <v>6223880</v>
      </c>
      <c r="V231" s="15">
        <v>6440605</v>
      </c>
      <c r="W231" s="15">
        <v>0</v>
      </c>
      <c r="X231" s="15">
        <v>0</v>
      </c>
      <c r="Y231" s="4">
        <v>1425</v>
      </c>
      <c r="Z231" s="4">
        <v>1389</v>
      </c>
      <c r="AA231" s="4">
        <v>-2.5299999999999998</v>
      </c>
      <c r="AB231" s="15">
        <v>8701129</v>
      </c>
      <c r="AC231" s="15">
        <v>10875851</v>
      </c>
      <c r="AD231" s="15">
        <v>3528668</v>
      </c>
      <c r="AE231" s="15">
        <v>3263483</v>
      </c>
      <c r="AF231" s="15">
        <v>4081400</v>
      </c>
      <c r="AG231" s="15">
        <v>2387281</v>
      </c>
      <c r="AH231" s="4">
        <v>10.210000000000001</v>
      </c>
      <c r="AI231" s="6">
        <v>5.78</v>
      </c>
    </row>
    <row r="232" spans="1:35" x14ac:dyDescent="0.25">
      <c r="A232" s="5" t="str">
        <f>"042801"</f>
        <v>042801</v>
      </c>
      <c r="B232" s="3" t="s">
        <v>43</v>
      </c>
      <c r="C232" s="15">
        <v>34098646</v>
      </c>
      <c r="D232" s="15">
        <v>34210405</v>
      </c>
      <c r="E232" s="4">
        <v>0.33</v>
      </c>
      <c r="F232" s="15">
        <v>5157994</v>
      </c>
      <c r="G232" s="15">
        <v>5253417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5157994</v>
      </c>
      <c r="O232" s="15">
        <v>5253417</v>
      </c>
      <c r="P232" s="4">
        <v>1.85</v>
      </c>
      <c r="Q232" s="15">
        <v>0</v>
      </c>
      <c r="R232" s="15">
        <v>0</v>
      </c>
      <c r="S232" s="15">
        <v>5236727</v>
      </c>
      <c r="T232" s="15">
        <v>5351526</v>
      </c>
      <c r="U232" s="15">
        <v>5157994</v>
      </c>
      <c r="V232" s="15">
        <v>5253417</v>
      </c>
      <c r="W232" s="15">
        <v>78733</v>
      </c>
      <c r="X232" s="15">
        <v>98109</v>
      </c>
      <c r="Y232" s="4">
        <v>1103</v>
      </c>
      <c r="Z232" s="4">
        <v>1155</v>
      </c>
      <c r="AA232" s="4">
        <v>4.71</v>
      </c>
      <c r="AB232" s="15">
        <v>8171729</v>
      </c>
      <c r="AC232" s="15">
        <v>8844612</v>
      </c>
      <c r="AD232" s="15">
        <v>2630788</v>
      </c>
      <c r="AE232" s="15">
        <v>3288113</v>
      </c>
      <c r="AF232" s="15">
        <v>5089603</v>
      </c>
      <c r="AG232" s="15">
        <v>3759396</v>
      </c>
      <c r="AH232" s="4">
        <v>14.93</v>
      </c>
      <c r="AI232" s="6">
        <v>10.99</v>
      </c>
    </row>
    <row r="233" spans="1:35" x14ac:dyDescent="0.25">
      <c r="A233" s="5" t="str">
        <f>"141501"</f>
        <v>141501</v>
      </c>
      <c r="B233" s="3" t="s">
        <v>143</v>
      </c>
      <c r="C233" s="15">
        <v>67118207</v>
      </c>
      <c r="D233" s="15">
        <v>70206668</v>
      </c>
      <c r="E233" s="4">
        <v>4.5999999999999996</v>
      </c>
      <c r="F233" s="15">
        <v>36289062</v>
      </c>
      <c r="G233" s="15">
        <v>38318340</v>
      </c>
      <c r="H233" s="15"/>
      <c r="I233" s="15"/>
      <c r="J233" s="15"/>
      <c r="K233" s="15"/>
      <c r="L233" s="15"/>
      <c r="M233" s="15"/>
      <c r="N233" s="15">
        <v>36289062</v>
      </c>
      <c r="O233" s="15">
        <v>38318340</v>
      </c>
      <c r="P233" s="4">
        <v>5.59</v>
      </c>
      <c r="Q233" s="15">
        <v>709445</v>
      </c>
      <c r="R233" s="15">
        <v>1853665</v>
      </c>
      <c r="S233" s="15">
        <v>35579617</v>
      </c>
      <c r="T233" s="15">
        <v>36464675</v>
      </c>
      <c r="U233" s="15">
        <v>35579617</v>
      </c>
      <c r="V233" s="15">
        <v>36464675</v>
      </c>
      <c r="W233" s="15">
        <v>0</v>
      </c>
      <c r="X233" s="15">
        <v>0</v>
      </c>
      <c r="Y233" s="4">
        <v>2816</v>
      </c>
      <c r="Z233" s="4">
        <v>2767</v>
      </c>
      <c r="AA233" s="4">
        <v>-1.74</v>
      </c>
      <c r="AB233" s="15">
        <v>5119637</v>
      </c>
      <c r="AC233" s="15">
        <v>606384</v>
      </c>
      <c r="AD233" s="15">
        <v>1950000</v>
      </c>
      <c r="AE233" s="15">
        <v>4934844</v>
      </c>
      <c r="AF233" s="15">
        <v>2684728</v>
      </c>
      <c r="AG233" s="15">
        <v>2808267</v>
      </c>
      <c r="AH233" s="4">
        <v>4</v>
      </c>
      <c r="AI233" s="6">
        <v>4</v>
      </c>
    </row>
    <row r="234" spans="1:35" x14ac:dyDescent="0.25">
      <c r="A234" s="5" t="str">
        <f>"640701"</f>
        <v>640701</v>
      </c>
      <c r="B234" s="3" t="s">
        <v>606</v>
      </c>
      <c r="C234" s="15">
        <v>27010929</v>
      </c>
      <c r="D234" s="15">
        <v>28200163</v>
      </c>
      <c r="E234" s="4">
        <v>4.4000000000000004</v>
      </c>
      <c r="F234" s="15">
        <v>6476019</v>
      </c>
      <c r="G234" s="15">
        <v>6476019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6476019</v>
      </c>
      <c r="O234" s="15">
        <v>6476019</v>
      </c>
      <c r="P234" s="4">
        <v>0</v>
      </c>
      <c r="Q234" s="15">
        <v>301295</v>
      </c>
      <c r="R234" s="15">
        <v>69402</v>
      </c>
      <c r="S234" s="15">
        <v>6797347</v>
      </c>
      <c r="T234" s="15">
        <v>6457089</v>
      </c>
      <c r="U234" s="15">
        <v>6174724</v>
      </c>
      <c r="V234" s="15">
        <v>6406617</v>
      </c>
      <c r="W234" s="15">
        <v>622623</v>
      </c>
      <c r="X234" s="15">
        <v>50472</v>
      </c>
      <c r="Y234" s="4">
        <v>1020</v>
      </c>
      <c r="Z234" s="4">
        <v>1025</v>
      </c>
      <c r="AA234" s="4">
        <v>0.49</v>
      </c>
      <c r="AB234" s="15">
        <v>5893729</v>
      </c>
      <c r="AC234" s="15">
        <v>6762846</v>
      </c>
      <c r="AD234" s="15">
        <v>4248</v>
      </c>
      <c r="AE234" s="15">
        <v>5000</v>
      </c>
      <c r="AF234" s="15">
        <v>7307242</v>
      </c>
      <c r="AG234" s="15">
        <v>5807242</v>
      </c>
      <c r="AH234" s="4">
        <v>27.05</v>
      </c>
      <c r="AI234" s="6">
        <v>20.59</v>
      </c>
    </row>
    <row r="235" spans="1:35" x14ac:dyDescent="0.25">
      <c r="A235" s="5" t="str">
        <f>"280407"</f>
        <v>280407</v>
      </c>
      <c r="B235" s="3" t="s">
        <v>302</v>
      </c>
      <c r="C235" s="15">
        <v>252194682</v>
      </c>
      <c r="D235" s="15">
        <v>261432690</v>
      </c>
      <c r="E235" s="4">
        <v>3.66</v>
      </c>
      <c r="F235" s="15">
        <v>217072046</v>
      </c>
      <c r="G235" s="15">
        <v>222658679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217072046</v>
      </c>
      <c r="O235" s="15">
        <v>222658679</v>
      </c>
      <c r="P235" s="4">
        <v>2.57</v>
      </c>
      <c r="Q235" s="15">
        <v>8847791</v>
      </c>
      <c r="R235" s="15">
        <v>10290234</v>
      </c>
      <c r="S235" s="15">
        <v>210001896</v>
      </c>
      <c r="T235" s="15">
        <v>214082074</v>
      </c>
      <c r="U235" s="15">
        <v>208224255</v>
      </c>
      <c r="V235" s="15">
        <v>212368445</v>
      </c>
      <c r="W235" s="15">
        <v>1777641</v>
      </c>
      <c r="X235" s="15">
        <v>1713629</v>
      </c>
      <c r="Y235" s="4">
        <v>6696</v>
      </c>
      <c r="Z235" s="4">
        <v>6612</v>
      </c>
      <c r="AA235" s="4">
        <v>-1.25</v>
      </c>
      <c r="AB235" s="15">
        <v>55535707</v>
      </c>
      <c r="AC235" s="15">
        <v>52862406</v>
      </c>
      <c r="AD235" s="15">
        <v>3184205</v>
      </c>
      <c r="AE235" s="15">
        <v>8614076</v>
      </c>
      <c r="AF235" s="15">
        <v>10062568</v>
      </c>
      <c r="AG235" s="15">
        <v>10431164</v>
      </c>
      <c r="AH235" s="4">
        <v>3.99</v>
      </c>
      <c r="AI235" s="6">
        <v>3.99</v>
      </c>
    </row>
    <row r="236" spans="1:35" x14ac:dyDescent="0.25">
      <c r="A236" s="5" t="str">
        <f>"260501"</f>
        <v>260501</v>
      </c>
      <c r="B236" s="3" t="s">
        <v>244</v>
      </c>
      <c r="C236" s="15">
        <v>247185100</v>
      </c>
      <c r="D236" s="15">
        <v>265785670</v>
      </c>
      <c r="E236" s="4">
        <v>7.52</v>
      </c>
      <c r="F236" s="15">
        <v>117380260</v>
      </c>
      <c r="G236" s="15">
        <v>120121854</v>
      </c>
      <c r="H236" s="15"/>
      <c r="I236" s="15"/>
      <c r="J236" s="15"/>
      <c r="K236" s="15"/>
      <c r="L236" s="15"/>
      <c r="M236" s="15"/>
      <c r="N236" s="15">
        <v>117380260</v>
      </c>
      <c r="O236" s="15">
        <v>120121854</v>
      </c>
      <c r="P236" s="4">
        <v>2.34</v>
      </c>
      <c r="Q236" s="15">
        <v>2902181</v>
      </c>
      <c r="R236" s="15">
        <v>2917392</v>
      </c>
      <c r="S236" s="15">
        <v>114478080</v>
      </c>
      <c r="T236" s="15">
        <v>117204463</v>
      </c>
      <c r="U236" s="15">
        <v>114478079</v>
      </c>
      <c r="V236" s="15">
        <v>117204462</v>
      </c>
      <c r="W236" s="15">
        <v>1</v>
      </c>
      <c r="X236" s="15">
        <v>1</v>
      </c>
      <c r="Y236" s="4">
        <v>10401</v>
      </c>
      <c r="Z236" s="4">
        <v>10041</v>
      </c>
      <c r="AA236" s="4">
        <v>-3.46</v>
      </c>
      <c r="AB236" s="15">
        <v>45253758</v>
      </c>
      <c r="AC236" s="15">
        <v>57987408</v>
      </c>
      <c r="AD236" s="15">
        <v>4300000</v>
      </c>
      <c r="AE236" s="15">
        <v>0</v>
      </c>
      <c r="AF236" s="15">
        <v>9840333</v>
      </c>
      <c r="AG236" s="15">
        <v>10631425</v>
      </c>
      <c r="AH236" s="4">
        <v>3.98</v>
      </c>
      <c r="AI236" s="6">
        <v>4</v>
      </c>
    </row>
    <row r="237" spans="1:35" x14ac:dyDescent="0.25">
      <c r="A237" s="5" t="str">
        <f>"010701"</f>
        <v>010701</v>
      </c>
      <c r="B237" s="3" t="s">
        <v>8</v>
      </c>
      <c r="C237" s="15">
        <v>7627105</v>
      </c>
      <c r="D237" s="15">
        <v>7575413</v>
      </c>
      <c r="E237" s="4">
        <v>-0.68</v>
      </c>
      <c r="F237" s="15">
        <v>3793045</v>
      </c>
      <c r="G237" s="15">
        <v>3861962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3793045</v>
      </c>
      <c r="O237" s="15">
        <v>3861962</v>
      </c>
      <c r="P237" s="4">
        <v>1.82</v>
      </c>
      <c r="Q237" s="15">
        <v>297668</v>
      </c>
      <c r="R237" s="15">
        <v>282086</v>
      </c>
      <c r="S237" s="15">
        <v>3495905</v>
      </c>
      <c r="T237" s="15">
        <v>3579876</v>
      </c>
      <c r="U237" s="15">
        <v>3495377</v>
      </c>
      <c r="V237" s="15">
        <v>3579876</v>
      </c>
      <c r="W237" s="15">
        <v>528</v>
      </c>
      <c r="X237" s="15">
        <v>0</v>
      </c>
      <c r="Y237" s="4">
        <v>252</v>
      </c>
      <c r="Z237" s="4">
        <v>323</v>
      </c>
      <c r="AA237" s="4">
        <v>28.17</v>
      </c>
      <c r="AB237" s="15">
        <v>111519</v>
      </c>
      <c r="AC237" s="15">
        <v>194519</v>
      </c>
      <c r="AD237" s="15">
        <v>152225</v>
      </c>
      <c r="AE237" s="15">
        <v>281000</v>
      </c>
      <c r="AF237" s="15">
        <v>1259302</v>
      </c>
      <c r="AG237" s="15">
        <v>895302</v>
      </c>
      <c r="AH237" s="4">
        <v>16.510000000000002</v>
      </c>
      <c r="AI237" s="6">
        <v>11.82</v>
      </c>
    </row>
    <row r="238" spans="1:35" x14ac:dyDescent="0.25">
      <c r="A238" s="5" t="str">
        <f>"660407"</f>
        <v>660407</v>
      </c>
      <c r="B238" s="3" t="s">
        <v>638</v>
      </c>
      <c r="C238" s="15">
        <v>77459519</v>
      </c>
      <c r="D238" s="15">
        <v>75974242</v>
      </c>
      <c r="E238" s="4">
        <v>-1.92</v>
      </c>
      <c r="F238" s="15">
        <v>62453090</v>
      </c>
      <c r="G238" s="15">
        <v>63369015</v>
      </c>
      <c r="H238" s="15"/>
      <c r="I238" s="15"/>
      <c r="J238" s="15"/>
      <c r="K238" s="15"/>
      <c r="L238" s="15"/>
      <c r="M238" s="15"/>
      <c r="N238" s="15">
        <v>62453090</v>
      </c>
      <c r="O238" s="15">
        <v>63369015</v>
      </c>
      <c r="P238" s="4">
        <v>1.47</v>
      </c>
      <c r="Q238" s="15">
        <v>37825</v>
      </c>
      <c r="R238" s="15">
        <v>36842</v>
      </c>
      <c r="S238" s="15">
        <v>62415265</v>
      </c>
      <c r="T238" s="15">
        <v>63332173</v>
      </c>
      <c r="U238" s="15">
        <v>62415265</v>
      </c>
      <c r="V238" s="15">
        <v>63332173</v>
      </c>
      <c r="W238" s="15">
        <v>0</v>
      </c>
      <c r="X238" s="15">
        <v>0</v>
      </c>
      <c r="Y238" s="4">
        <v>1637</v>
      </c>
      <c r="Z238" s="4">
        <v>1675</v>
      </c>
      <c r="AA238" s="4">
        <v>2.3199999999999998</v>
      </c>
      <c r="AB238" s="15">
        <v>15831075</v>
      </c>
      <c r="AC238" s="15">
        <v>19513629</v>
      </c>
      <c r="AD238" s="15">
        <v>2000000</v>
      </c>
      <c r="AE238" s="15">
        <v>2000000</v>
      </c>
      <c r="AF238" s="15">
        <v>2920007</v>
      </c>
      <c r="AG238" s="15">
        <v>4524655</v>
      </c>
      <c r="AH238" s="4">
        <v>3.77</v>
      </c>
      <c r="AI238" s="6">
        <v>5.96</v>
      </c>
    </row>
    <row r="239" spans="1:35" x14ac:dyDescent="0.25">
      <c r="A239" s="5" t="str">
        <f>"080601"</f>
        <v>080601</v>
      </c>
      <c r="B239" s="3" t="s">
        <v>78</v>
      </c>
      <c r="C239" s="15">
        <v>28671998</v>
      </c>
      <c r="D239" s="15">
        <v>30346400</v>
      </c>
      <c r="E239" s="4">
        <v>5.84</v>
      </c>
      <c r="F239" s="15">
        <v>7282753</v>
      </c>
      <c r="G239" s="15">
        <v>7428408</v>
      </c>
      <c r="H239" s="15">
        <v>0</v>
      </c>
      <c r="I239" s="15">
        <v>0</v>
      </c>
      <c r="J239" s="15">
        <v>0</v>
      </c>
      <c r="K239" s="15">
        <v>0</v>
      </c>
      <c r="L239" s="15"/>
      <c r="M239" s="15"/>
      <c r="N239" s="15">
        <v>7282753</v>
      </c>
      <c r="O239" s="15">
        <v>7428408</v>
      </c>
      <c r="P239" s="4">
        <v>2</v>
      </c>
      <c r="Q239" s="15">
        <v>663622</v>
      </c>
      <c r="R239" s="15">
        <v>733851</v>
      </c>
      <c r="S239" s="15">
        <v>6619131</v>
      </c>
      <c r="T239" s="15">
        <v>6694557</v>
      </c>
      <c r="U239" s="15">
        <v>6619131</v>
      </c>
      <c r="V239" s="15">
        <v>6694557</v>
      </c>
      <c r="W239" s="15">
        <v>0</v>
      </c>
      <c r="X239" s="15">
        <v>0</v>
      </c>
      <c r="Y239" s="4">
        <v>980</v>
      </c>
      <c r="Z239" s="4">
        <v>950</v>
      </c>
      <c r="AA239" s="4">
        <v>-3.06</v>
      </c>
      <c r="AB239" s="15">
        <v>4532968</v>
      </c>
      <c r="AC239" s="15">
        <v>5032968</v>
      </c>
      <c r="AD239" s="15">
        <v>513200</v>
      </c>
      <c r="AE239" s="15">
        <v>513200</v>
      </c>
      <c r="AF239" s="15">
        <v>2236396</v>
      </c>
      <c r="AG239" s="15">
        <v>2236396</v>
      </c>
      <c r="AH239" s="4">
        <v>7.8</v>
      </c>
      <c r="AI239" s="6">
        <v>7.37</v>
      </c>
    </row>
    <row r="240" spans="1:35" x14ac:dyDescent="0.25">
      <c r="A240" s="5" t="str">
        <f>"581010"</f>
        <v>581010</v>
      </c>
      <c r="B240" s="3" t="s">
        <v>563</v>
      </c>
      <c r="C240" s="15">
        <v>20452000</v>
      </c>
      <c r="D240" s="15">
        <v>21627457</v>
      </c>
      <c r="E240" s="4">
        <v>5.75</v>
      </c>
      <c r="F240" s="15">
        <v>16051526</v>
      </c>
      <c r="G240" s="15">
        <v>16551082</v>
      </c>
      <c r="H240" s="15"/>
      <c r="I240" s="15"/>
      <c r="J240" s="15"/>
      <c r="K240" s="15"/>
      <c r="L240" s="15"/>
      <c r="M240" s="15"/>
      <c r="N240" s="15">
        <v>16051526</v>
      </c>
      <c r="O240" s="15">
        <v>16551082</v>
      </c>
      <c r="P240" s="4">
        <v>3.11</v>
      </c>
      <c r="Q240" s="15">
        <v>668974</v>
      </c>
      <c r="R240" s="15">
        <v>695769</v>
      </c>
      <c r="S240" s="15">
        <v>15382838</v>
      </c>
      <c r="T240" s="15">
        <v>15855313</v>
      </c>
      <c r="U240" s="15">
        <v>15382552</v>
      </c>
      <c r="V240" s="15">
        <v>15855313</v>
      </c>
      <c r="W240" s="15">
        <v>286</v>
      </c>
      <c r="X240" s="15">
        <v>0</v>
      </c>
      <c r="Y240" s="4">
        <v>657</v>
      </c>
      <c r="Z240" s="4">
        <v>695</v>
      </c>
      <c r="AA240" s="4">
        <v>5.78</v>
      </c>
      <c r="AB240" s="15">
        <v>3947220</v>
      </c>
      <c r="AC240" s="15">
        <v>4435248</v>
      </c>
      <c r="AD240" s="15">
        <v>669915</v>
      </c>
      <c r="AE240" s="15">
        <v>670000</v>
      </c>
      <c r="AF240" s="15">
        <v>818080</v>
      </c>
      <c r="AG240" s="15">
        <v>865098</v>
      </c>
      <c r="AH240" s="4">
        <v>4</v>
      </c>
      <c r="AI240" s="6">
        <v>4</v>
      </c>
    </row>
    <row r="241" spans="1:35" x14ac:dyDescent="0.25">
      <c r="A241" s="5" t="str">
        <f>"190701"</f>
        <v>190701</v>
      </c>
      <c r="B241" s="3" t="s">
        <v>189</v>
      </c>
      <c r="C241" s="15">
        <v>32886167</v>
      </c>
      <c r="D241" s="15">
        <v>33697442</v>
      </c>
      <c r="E241" s="4">
        <v>2.4700000000000002</v>
      </c>
      <c r="F241" s="15">
        <v>17358979</v>
      </c>
      <c r="G241" s="15">
        <v>17749556</v>
      </c>
      <c r="H241" s="15"/>
      <c r="I241" s="15"/>
      <c r="J241" s="15"/>
      <c r="K241" s="15"/>
      <c r="L241" s="15"/>
      <c r="M241" s="15"/>
      <c r="N241" s="15">
        <v>17358979</v>
      </c>
      <c r="O241" s="15">
        <v>17749556</v>
      </c>
      <c r="P241" s="4">
        <v>2.25</v>
      </c>
      <c r="Q241" s="15">
        <v>411425</v>
      </c>
      <c r="R241" s="15">
        <v>560919</v>
      </c>
      <c r="S241" s="15">
        <v>16947554</v>
      </c>
      <c r="T241" s="15">
        <v>17188637</v>
      </c>
      <c r="U241" s="15">
        <v>16947554</v>
      </c>
      <c r="V241" s="15">
        <v>17188637</v>
      </c>
      <c r="W241" s="15">
        <v>0</v>
      </c>
      <c r="X241" s="15">
        <v>0</v>
      </c>
      <c r="Y241" s="4">
        <v>1104</v>
      </c>
      <c r="Z241" s="4">
        <v>1078</v>
      </c>
      <c r="AA241" s="4">
        <v>-2.36</v>
      </c>
      <c r="AB241" s="15">
        <v>3662199</v>
      </c>
      <c r="AC241" s="15">
        <v>4573574</v>
      </c>
      <c r="AD241" s="15">
        <v>821872</v>
      </c>
      <c r="AE241" s="15">
        <v>871133</v>
      </c>
      <c r="AF241" s="15">
        <v>1417820</v>
      </c>
      <c r="AG241" s="15">
        <v>1350782</v>
      </c>
      <c r="AH241" s="4">
        <v>4.3099999999999996</v>
      </c>
      <c r="AI241" s="6">
        <v>4.01</v>
      </c>
    </row>
    <row r="242" spans="1:35" x14ac:dyDescent="0.25">
      <c r="A242" s="5" t="str">
        <f>"640801"</f>
        <v>640801</v>
      </c>
      <c r="B242" s="3" t="s">
        <v>607</v>
      </c>
      <c r="C242" s="15">
        <v>22590319</v>
      </c>
      <c r="D242" s="15">
        <v>23309400</v>
      </c>
      <c r="E242" s="4">
        <v>3.18</v>
      </c>
      <c r="F242" s="15">
        <v>11702174</v>
      </c>
      <c r="G242" s="15">
        <v>11965473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11702174</v>
      </c>
      <c r="O242" s="15">
        <v>11965473</v>
      </c>
      <c r="P242" s="4">
        <v>2.25</v>
      </c>
      <c r="Q242" s="15">
        <v>429739</v>
      </c>
      <c r="R242" s="15">
        <v>424686</v>
      </c>
      <c r="S242" s="15">
        <v>11357490</v>
      </c>
      <c r="T242" s="15">
        <v>11962693</v>
      </c>
      <c r="U242" s="15">
        <v>11272435</v>
      </c>
      <c r="V242" s="15">
        <v>11540787</v>
      </c>
      <c r="W242" s="15">
        <v>85055</v>
      </c>
      <c r="X242" s="15">
        <v>421906</v>
      </c>
      <c r="Y242" s="4">
        <v>900</v>
      </c>
      <c r="Z242" s="4">
        <v>890</v>
      </c>
      <c r="AA242" s="4">
        <v>-1.1100000000000001</v>
      </c>
      <c r="AB242" s="15">
        <v>2114700</v>
      </c>
      <c r="AC242" s="15">
        <v>2289700</v>
      </c>
      <c r="AD242" s="15">
        <v>137871</v>
      </c>
      <c r="AE242" s="15">
        <v>90000</v>
      </c>
      <c r="AF242" s="15">
        <v>1715725</v>
      </c>
      <c r="AG242" s="15">
        <v>928140</v>
      </c>
      <c r="AH242" s="4">
        <v>7.59</v>
      </c>
      <c r="AI242" s="6">
        <v>3.98</v>
      </c>
    </row>
    <row r="243" spans="1:35" x14ac:dyDescent="0.25">
      <c r="A243" s="5" t="str">
        <f>"442111"</f>
        <v>442111</v>
      </c>
      <c r="B243" s="3" t="s">
        <v>383</v>
      </c>
      <c r="C243" s="15">
        <v>27125655</v>
      </c>
      <c r="D243" s="15">
        <v>27125655</v>
      </c>
      <c r="E243" s="4">
        <v>0</v>
      </c>
      <c r="F243" s="15">
        <v>16957336</v>
      </c>
      <c r="G243" s="15">
        <v>17211696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16957336</v>
      </c>
      <c r="O243" s="15">
        <v>17211696</v>
      </c>
      <c r="P243" s="4">
        <v>1.5</v>
      </c>
      <c r="Q243" s="15">
        <v>0</v>
      </c>
      <c r="R243" s="15">
        <v>0</v>
      </c>
      <c r="S243" s="15">
        <v>17407685</v>
      </c>
      <c r="T243" s="15">
        <v>17626594</v>
      </c>
      <c r="U243" s="15">
        <v>16957336</v>
      </c>
      <c r="V243" s="15">
        <v>17211696</v>
      </c>
      <c r="W243" s="15">
        <v>450349</v>
      </c>
      <c r="X243" s="15">
        <v>414898</v>
      </c>
      <c r="Y243" s="4">
        <v>705</v>
      </c>
      <c r="Z243" s="4">
        <v>683</v>
      </c>
      <c r="AA243" s="4">
        <v>-3.12</v>
      </c>
      <c r="AB243" s="15">
        <v>11989563</v>
      </c>
      <c r="AC243" s="15">
        <v>11914923</v>
      </c>
      <c r="AD243" s="15">
        <v>1669444</v>
      </c>
      <c r="AE243" s="15">
        <v>2083979</v>
      </c>
      <c r="AF243" s="15">
        <v>2666616</v>
      </c>
      <c r="AG243" s="15">
        <v>2252081</v>
      </c>
      <c r="AH243" s="4">
        <v>9.83</v>
      </c>
      <c r="AI243" s="6">
        <v>8.3000000000000007</v>
      </c>
    </row>
    <row r="244" spans="1:35" x14ac:dyDescent="0.25">
      <c r="A244" s="5" t="str">
        <f>"610501"</f>
        <v>610501</v>
      </c>
      <c r="B244" s="3" t="s">
        <v>580</v>
      </c>
      <c r="C244" s="15">
        <v>23366177</v>
      </c>
      <c r="D244" s="15">
        <v>24520947</v>
      </c>
      <c r="E244" s="4">
        <v>4.9400000000000004</v>
      </c>
      <c r="F244" s="15">
        <v>6560818</v>
      </c>
      <c r="G244" s="15">
        <v>6560818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6560818</v>
      </c>
      <c r="O244" s="15">
        <v>6560818</v>
      </c>
      <c r="P244" s="4">
        <v>0</v>
      </c>
      <c r="Q244" s="15">
        <v>62073</v>
      </c>
      <c r="R244" s="15">
        <v>53183</v>
      </c>
      <c r="S244" s="15">
        <v>6717205</v>
      </c>
      <c r="T244" s="15">
        <v>6717205</v>
      </c>
      <c r="U244" s="15">
        <v>6498745</v>
      </c>
      <c r="V244" s="15">
        <v>6507635</v>
      </c>
      <c r="W244" s="15">
        <v>218460</v>
      </c>
      <c r="X244" s="15">
        <v>209570</v>
      </c>
      <c r="Y244" s="4">
        <v>833</v>
      </c>
      <c r="Z244" s="4">
        <v>830</v>
      </c>
      <c r="AA244" s="4">
        <v>-0.36</v>
      </c>
      <c r="AB244" s="15">
        <v>978867</v>
      </c>
      <c r="AC244" s="15">
        <v>978867</v>
      </c>
      <c r="AD244" s="15">
        <v>1958798</v>
      </c>
      <c r="AE244" s="15">
        <v>1955798</v>
      </c>
      <c r="AF244" s="15">
        <v>2178009</v>
      </c>
      <c r="AG244" s="15">
        <v>2178009</v>
      </c>
      <c r="AH244" s="4">
        <v>9.32</v>
      </c>
      <c r="AI244" s="6">
        <v>8.8800000000000008</v>
      </c>
    </row>
    <row r="245" spans="1:35" x14ac:dyDescent="0.25">
      <c r="A245" s="5" t="str">
        <f>"010802"</f>
        <v>010802</v>
      </c>
      <c r="B245" s="3" t="s">
        <v>9</v>
      </c>
      <c r="C245" s="15">
        <v>104979570</v>
      </c>
      <c r="D245" s="15">
        <v>109887845</v>
      </c>
      <c r="E245" s="4">
        <v>4.68</v>
      </c>
      <c r="F245" s="15">
        <v>75872148</v>
      </c>
      <c r="G245" s="15">
        <v>77998032</v>
      </c>
      <c r="H245" s="15">
        <v>81250</v>
      </c>
      <c r="I245" s="15">
        <v>220619</v>
      </c>
      <c r="J245" s="15"/>
      <c r="K245" s="15"/>
      <c r="L245" s="15"/>
      <c r="M245" s="15"/>
      <c r="N245" s="15">
        <v>75953398</v>
      </c>
      <c r="O245" s="15">
        <v>78218651</v>
      </c>
      <c r="P245" s="4">
        <v>2.98</v>
      </c>
      <c r="Q245" s="15">
        <v>1223428</v>
      </c>
      <c r="R245" s="15">
        <v>1633220</v>
      </c>
      <c r="S245" s="15">
        <v>74729970</v>
      </c>
      <c r="T245" s="15">
        <v>76531670</v>
      </c>
      <c r="U245" s="15">
        <v>74648720</v>
      </c>
      <c r="V245" s="15">
        <v>76364812</v>
      </c>
      <c r="W245" s="15">
        <v>81250</v>
      </c>
      <c r="X245" s="15">
        <v>166858</v>
      </c>
      <c r="Y245" s="4">
        <v>4831</v>
      </c>
      <c r="Z245" s="4">
        <v>4855</v>
      </c>
      <c r="AA245" s="4">
        <v>0.5</v>
      </c>
      <c r="AB245" s="15">
        <v>7714844</v>
      </c>
      <c r="AC245" s="15">
        <v>6779198</v>
      </c>
      <c r="AD245" s="15">
        <v>0</v>
      </c>
      <c r="AE245" s="15">
        <v>269399</v>
      </c>
      <c r="AF245" s="15">
        <v>4199182</v>
      </c>
      <c r="AG245" s="15">
        <v>4395513</v>
      </c>
      <c r="AH245" s="4">
        <v>4</v>
      </c>
      <c r="AI245" s="6">
        <v>4</v>
      </c>
    </row>
    <row r="246" spans="1:35" x14ac:dyDescent="0.25">
      <c r="A246" s="5" t="str">
        <f>"630801"</f>
        <v>630801</v>
      </c>
      <c r="B246" s="3" t="s">
        <v>599</v>
      </c>
      <c r="C246" s="15">
        <v>21770281</v>
      </c>
      <c r="D246" s="15">
        <v>22530022</v>
      </c>
      <c r="E246" s="4">
        <v>3.49</v>
      </c>
      <c r="F246" s="15">
        <v>11235104</v>
      </c>
      <c r="G246" s="15">
        <v>11336534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11235104</v>
      </c>
      <c r="O246" s="15">
        <v>11336534</v>
      </c>
      <c r="P246" s="4">
        <v>0.9</v>
      </c>
      <c r="Q246" s="15">
        <v>579276</v>
      </c>
      <c r="R246" s="15">
        <v>501328</v>
      </c>
      <c r="S246" s="15">
        <v>10655828</v>
      </c>
      <c r="T246" s="15">
        <v>10835206</v>
      </c>
      <c r="U246" s="15">
        <v>10655828</v>
      </c>
      <c r="V246" s="15">
        <v>10835206</v>
      </c>
      <c r="W246" s="15">
        <v>0</v>
      </c>
      <c r="X246" s="15">
        <v>0</v>
      </c>
      <c r="Y246" s="4">
        <v>651</v>
      </c>
      <c r="Z246" s="4">
        <v>648</v>
      </c>
      <c r="AA246" s="4">
        <v>-0.46</v>
      </c>
      <c r="AB246" s="15">
        <v>3786250</v>
      </c>
      <c r="AC246" s="15">
        <v>3727707</v>
      </c>
      <c r="AD246" s="15">
        <v>1510842</v>
      </c>
      <c r="AE246" s="15">
        <v>1510842</v>
      </c>
      <c r="AF246" s="15">
        <v>2098528</v>
      </c>
      <c r="AG246" s="15">
        <v>2098528</v>
      </c>
      <c r="AH246" s="4">
        <v>9.64</v>
      </c>
      <c r="AI246" s="6">
        <v>9.31</v>
      </c>
    </row>
    <row r="247" spans="1:35" x14ac:dyDescent="0.25">
      <c r="A247" s="5" t="str">
        <f>"480401"</f>
        <v>480401</v>
      </c>
      <c r="B247" s="3" t="s">
        <v>413</v>
      </c>
      <c r="C247" s="15">
        <v>25951834</v>
      </c>
      <c r="D247" s="15">
        <v>27200852</v>
      </c>
      <c r="E247" s="4">
        <v>4.8099999999999996</v>
      </c>
      <c r="F247" s="15">
        <v>20959114</v>
      </c>
      <c r="G247" s="15">
        <v>21727760</v>
      </c>
      <c r="H247" s="15">
        <v>73150</v>
      </c>
      <c r="I247" s="15">
        <v>73150</v>
      </c>
      <c r="J247" s="15">
        <v>0</v>
      </c>
      <c r="K247" s="15">
        <v>0</v>
      </c>
      <c r="L247" s="15">
        <v>0</v>
      </c>
      <c r="M247" s="15">
        <v>0</v>
      </c>
      <c r="N247" s="15">
        <v>21032264</v>
      </c>
      <c r="O247" s="15">
        <v>21800910</v>
      </c>
      <c r="P247" s="4">
        <v>3.65</v>
      </c>
      <c r="Q247" s="15">
        <v>862500</v>
      </c>
      <c r="R247" s="15">
        <v>908539</v>
      </c>
      <c r="S247" s="15">
        <v>20097073</v>
      </c>
      <c r="T247" s="15">
        <v>20819221</v>
      </c>
      <c r="U247" s="15">
        <v>20096614</v>
      </c>
      <c r="V247" s="15">
        <v>20819221</v>
      </c>
      <c r="W247" s="15">
        <v>459</v>
      </c>
      <c r="X247" s="15">
        <v>0</v>
      </c>
      <c r="Y247" s="4">
        <v>790</v>
      </c>
      <c r="Z247" s="4">
        <v>828</v>
      </c>
      <c r="AA247" s="4">
        <v>4.8099999999999996</v>
      </c>
      <c r="AB247" s="15">
        <v>2871644</v>
      </c>
      <c r="AC247" s="15">
        <v>3196644</v>
      </c>
      <c r="AD247" s="15">
        <v>645000</v>
      </c>
      <c r="AE247" s="15">
        <v>645000</v>
      </c>
      <c r="AF247" s="15">
        <v>1037095</v>
      </c>
      <c r="AG247" s="15">
        <v>1074981</v>
      </c>
      <c r="AH247" s="4">
        <v>4</v>
      </c>
      <c r="AI247" s="6">
        <v>3.95</v>
      </c>
    </row>
    <row r="248" spans="1:35" x14ac:dyDescent="0.25">
      <c r="A248" s="5" t="str">
        <f>"580405"</f>
        <v>580405</v>
      </c>
      <c r="B248" s="3" t="s">
        <v>530</v>
      </c>
      <c r="C248" s="15">
        <v>272163385</v>
      </c>
      <c r="D248" s="15">
        <v>280169185</v>
      </c>
      <c r="E248" s="4">
        <v>2.94</v>
      </c>
      <c r="F248" s="15">
        <v>217026755</v>
      </c>
      <c r="G248" s="15">
        <v>221314421</v>
      </c>
      <c r="H248" s="15"/>
      <c r="I248" s="15"/>
      <c r="J248" s="15"/>
      <c r="K248" s="15"/>
      <c r="L248" s="15" t="s">
        <v>415</v>
      </c>
      <c r="M248" s="15" t="s">
        <v>415</v>
      </c>
      <c r="N248" s="15">
        <v>217026755</v>
      </c>
      <c r="O248" s="15">
        <v>221314421</v>
      </c>
      <c r="P248" s="4">
        <v>1.98</v>
      </c>
      <c r="Q248" s="15">
        <v>10272593</v>
      </c>
      <c r="R248" s="15">
        <v>10841353</v>
      </c>
      <c r="S248" s="15">
        <v>206754162</v>
      </c>
      <c r="T248" s="15">
        <v>210473068</v>
      </c>
      <c r="U248" s="15">
        <v>206754162</v>
      </c>
      <c r="V248" s="15">
        <v>210473068</v>
      </c>
      <c r="W248" s="15">
        <v>0</v>
      </c>
      <c r="X248" s="15">
        <v>0</v>
      </c>
      <c r="Y248" s="4">
        <v>7298</v>
      </c>
      <c r="Z248" s="4">
        <v>7203</v>
      </c>
      <c r="AA248" s="4">
        <v>-1.3</v>
      </c>
      <c r="AB248" s="15">
        <v>48150893</v>
      </c>
      <c r="AC248" s="15">
        <v>41150893</v>
      </c>
      <c r="AD248" s="15">
        <v>4275000</v>
      </c>
      <c r="AE248" s="15">
        <v>4275000</v>
      </c>
      <c r="AF248" s="15">
        <v>10886554</v>
      </c>
      <c r="AG248" s="15">
        <v>11206767</v>
      </c>
      <c r="AH248" s="4">
        <v>4</v>
      </c>
      <c r="AI248" s="6">
        <v>4</v>
      </c>
    </row>
    <row r="249" spans="1:35" x14ac:dyDescent="0.25">
      <c r="A249" s="5" t="str">
        <f>"141601"</f>
        <v>141601</v>
      </c>
      <c r="B249" s="3" t="s">
        <v>144</v>
      </c>
      <c r="C249" s="15">
        <v>77650250</v>
      </c>
      <c r="D249" s="15">
        <v>79975500</v>
      </c>
      <c r="E249" s="4">
        <v>2.99</v>
      </c>
      <c r="F249" s="15">
        <v>39405787</v>
      </c>
      <c r="G249" s="15">
        <v>40318881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39405787</v>
      </c>
      <c r="O249" s="15">
        <v>40318881</v>
      </c>
      <c r="P249" s="4">
        <v>2.3199999999999998</v>
      </c>
      <c r="Q249" s="15">
        <v>1729920</v>
      </c>
      <c r="R249" s="15">
        <v>1599601</v>
      </c>
      <c r="S249" s="15">
        <v>37675867</v>
      </c>
      <c r="T249" s="15">
        <v>38719280</v>
      </c>
      <c r="U249" s="15">
        <v>37675867</v>
      </c>
      <c r="V249" s="15">
        <v>38719280</v>
      </c>
      <c r="W249" s="15">
        <v>0</v>
      </c>
      <c r="X249" s="15">
        <v>0</v>
      </c>
      <c r="Y249" s="4">
        <v>3389</v>
      </c>
      <c r="Z249" s="4">
        <v>3323</v>
      </c>
      <c r="AA249" s="4">
        <v>-1.95</v>
      </c>
      <c r="AB249" s="15">
        <v>3604855</v>
      </c>
      <c r="AC249" s="15">
        <v>1745250</v>
      </c>
      <c r="AD249" s="15">
        <v>3360634</v>
      </c>
      <c r="AE249" s="15">
        <v>3250000</v>
      </c>
      <c r="AF249" s="15">
        <v>4138758</v>
      </c>
      <c r="AG249" s="15">
        <v>3998775</v>
      </c>
      <c r="AH249" s="4">
        <v>5.33</v>
      </c>
      <c r="AI249" s="6">
        <v>5</v>
      </c>
    </row>
    <row r="250" spans="1:35" x14ac:dyDescent="0.25">
      <c r="A250" s="5" t="str">
        <f>"250701"</f>
        <v>250701</v>
      </c>
      <c r="B250" s="3" t="s">
        <v>236</v>
      </c>
      <c r="C250" s="15">
        <v>14032840</v>
      </c>
      <c r="D250" s="15">
        <v>14427864</v>
      </c>
      <c r="E250" s="4">
        <v>2.81</v>
      </c>
      <c r="F250" s="15">
        <v>7818397</v>
      </c>
      <c r="G250" s="15">
        <v>8049112</v>
      </c>
      <c r="H250" s="15">
        <v>139859</v>
      </c>
      <c r="I250" s="15">
        <v>149360</v>
      </c>
      <c r="J250" s="15">
        <v>0</v>
      </c>
      <c r="K250" s="15">
        <v>0</v>
      </c>
      <c r="L250" s="15">
        <v>0</v>
      </c>
      <c r="M250" s="15">
        <v>0</v>
      </c>
      <c r="N250" s="15">
        <v>7958256</v>
      </c>
      <c r="O250" s="15">
        <v>8198472</v>
      </c>
      <c r="P250" s="4">
        <v>3.02</v>
      </c>
      <c r="Q250" s="15">
        <v>272245</v>
      </c>
      <c r="R250" s="15">
        <v>309201</v>
      </c>
      <c r="S250" s="15">
        <v>7546152</v>
      </c>
      <c r="T250" s="15">
        <v>7739911</v>
      </c>
      <c r="U250" s="15">
        <v>7546152</v>
      </c>
      <c r="V250" s="15">
        <v>7739911</v>
      </c>
      <c r="W250" s="15">
        <v>0</v>
      </c>
      <c r="X250" s="15">
        <v>0</v>
      </c>
      <c r="Y250" s="4">
        <v>550</v>
      </c>
      <c r="Z250" s="4">
        <v>550</v>
      </c>
      <c r="AA250" s="4">
        <v>0</v>
      </c>
      <c r="AB250" s="15">
        <v>2484550</v>
      </c>
      <c r="AC250" s="15">
        <v>2500000</v>
      </c>
      <c r="AD250" s="15">
        <v>130000</v>
      </c>
      <c r="AE250" s="15">
        <v>130000</v>
      </c>
      <c r="AF250" s="15">
        <v>521789</v>
      </c>
      <c r="AG250" s="15">
        <v>575000</v>
      </c>
      <c r="AH250" s="4">
        <v>3.72</v>
      </c>
      <c r="AI250" s="6">
        <v>3.99</v>
      </c>
    </row>
    <row r="251" spans="1:35" x14ac:dyDescent="0.25">
      <c r="A251" s="5" t="str">
        <f>"511201"</f>
        <v>511201</v>
      </c>
      <c r="B251" s="3" t="s">
        <v>443</v>
      </c>
      <c r="C251" s="15">
        <v>9302473</v>
      </c>
      <c r="D251" s="15">
        <v>9197749</v>
      </c>
      <c r="E251" s="4">
        <v>-1.1299999999999999</v>
      </c>
      <c r="F251" s="15">
        <v>3844694</v>
      </c>
      <c r="G251" s="15">
        <v>3967470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3844694</v>
      </c>
      <c r="O251" s="15">
        <v>3967470</v>
      </c>
      <c r="P251" s="4">
        <v>3.19</v>
      </c>
      <c r="Q251" s="15">
        <v>0</v>
      </c>
      <c r="R251" s="15">
        <v>0</v>
      </c>
      <c r="S251" s="15">
        <v>3844694</v>
      </c>
      <c r="T251" s="15">
        <v>3967470</v>
      </c>
      <c r="U251" s="15">
        <v>3844694</v>
      </c>
      <c r="V251" s="15">
        <v>3967470</v>
      </c>
      <c r="W251" s="15">
        <v>0</v>
      </c>
      <c r="X251" s="15">
        <v>0</v>
      </c>
      <c r="Y251" s="4">
        <v>259</v>
      </c>
      <c r="Z251" s="4">
        <v>260</v>
      </c>
      <c r="AA251" s="4">
        <v>0.39</v>
      </c>
      <c r="AB251" s="15">
        <v>3114967</v>
      </c>
      <c r="AC251" s="15">
        <v>3314967</v>
      </c>
      <c r="AD251" s="15">
        <v>1049685</v>
      </c>
      <c r="AE251" s="15">
        <v>1049685</v>
      </c>
      <c r="AF251" s="15">
        <v>762455</v>
      </c>
      <c r="AG251" s="15">
        <v>367910</v>
      </c>
      <c r="AH251" s="4">
        <v>8.1999999999999993</v>
      </c>
      <c r="AI251" s="6">
        <v>4</v>
      </c>
    </row>
    <row r="252" spans="1:35" x14ac:dyDescent="0.25">
      <c r="A252" s="5" t="str">
        <f>"572901"</f>
        <v>572901</v>
      </c>
      <c r="B252" s="3" t="s">
        <v>496</v>
      </c>
      <c r="C252" s="15">
        <v>15064304</v>
      </c>
      <c r="D252" s="15">
        <v>15470634</v>
      </c>
      <c r="E252" s="4">
        <v>2.7</v>
      </c>
      <c r="F252" s="15">
        <v>9080936</v>
      </c>
      <c r="G252" s="15">
        <v>9233568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9080936</v>
      </c>
      <c r="O252" s="15">
        <v>9233568</v>
      </c>
      <c r="P252" s="4">
        <v>1.68</v>
      </c>
      <c r="Q252" s="15">
        <v>624616</v>
      </c>
      <c r="R252" s="15">
        <v>606765</v>
      </c>
      <c r="S252" s="15">
        <v>8462222</v>
      </c>
      <c r="T252" s="15">
        <v>8703699</v>
      </c>
      <c r="U252" s="15">
        <v>8456320</v>
      </c>
      <c r="V252" s="15">
        <v>8626803</v>
      </c>
      <c r="W252" s="15">
        <v>5902</v>
      </c>
      <c r="X252" s="15">
        <v>76896</v>
      </c>
      <c r="Y252" s="4">
        <v>410</v>
      </c>
      <c r="Z252" s="4">
        <v>398</v>
      </c>
      <c r="AA252" s="4">
        <v>-2.93</v>
      </c>
      <c r="AB252" s="15">
        <v>3921002</v>
      </c>
      <c r="AC252" s="15">
        <v>5505639</v>
      </c>
      <c r="AD252" s="15">
        <v>400000</v>
      </c>
      <c r="AE252" s="15">
        <v>540000</v>
      </c>
      <c r="AF252" s="15">
        <v>1799150</v>
      </c>
      <c r="AG252" s="15">
        <v>618825</v>
      </c>
      <c r="AH252" s="4">
        <v>11.94</v>
      </c>
      <c r="AI252" s="6">
        <v>4</v>
      </c>
    </row>
    <row r="253" spans="1:35" x14ac:dyDescent="0.25">
      <c r="A253" s="5" t="str">
        <f>"580905"</f>
        <v>580905</v>
      </c>
      <c r="B253" s="3" t="s">
        <v>553</v>
      </c>
      <c r="C253" s="15">
        <v>57318187</v>
      </c>
      <c r="D253" s="15">
        <v>59565029</v>
      </c>
      <c r="E253" s="4">
        <v>3.92</v>
      </c>
      <c r="F253" s="15">
        <v>47124320</v>
      </c>
      <c r="G253" s="15">
        <v>47124320</v>
      </c>
      <c r="H253" s="15"/>
      <c r="I253" s="15"/>
      <c r="J253" s="15"/>
      <c r="K253" s="15"/>
      <c r="L253" s="15"/>
      <c r="M253" s="15"/>
      <c r="N253" s="15">
        <v>47124320</v>
      </c>
      <c r="O253" s="15">
        <v>47124320</v>
      </c>
      <c r="P253" s="4">
        <v>0</v>
      </c>
      <c r="Q253" s="15">
        <v>3978883</v>
      </c>
      <c r="R253" s="15">
        <v>3782989</v>
      </c>
      <c r="S253" s="15">
        <v>43922277</v>
      </c>
      <c r="T253" s="15">
        <v>44535557</v>
      </c>
      <c r="U253" s="15">
        <v>43145437</v>
      </c>
      <c r="V253" s="15">
        <v>43341331</v>
      </c>
      <c r="W253" s="15">
        <v>776840</v>
      </c>
      <c r="X253" s="15">
        <v>1194226</v>
      </c>
      <c r="Y253" s="4">
        <v>2050</v>
      </c>
      <c r="Z253" s="4">
        <v>2050</v>
      </c>
      <c r="AA253" s="4">
        <v>0</v>
      </c>
      <c r="AB253" s="15">
        <v>5469379</v>
      </c>
      <c r="AC253" s="15">
        <v>5750000</v>
      </c>
      <c r="AD253" s="15">
        <v>0</v>
      </c>
      <c r="AE253" s="15">
        <v>0</v>
      </c>
      <c r="AF253" s="15">
        <v>5435157</v>
      </c>
      <c r="AG253" s="15">
        <v>5450000</v>
      </c>
      <c r="AH253" s="4">
        <v>9.48</v>
      </c>
      <c r="AI253" s="6">
        <v>9.15</v>
      </c>
    </row>
    <row r="254" spans="1:35" x14ac:dyDescent="0.25">
      <c r="A254" s="5" t="str">
        <f>"120906"</f>
        <v>120906</v>
      </c>
      <c r="B254" s="3" t="s">
        <v>108</v>
      </c>
      <c r="C254" s="15">
        <v>11727635</v>
      </c>
      <c r="D254" s="15">
        <v>12300741</v>
      </c>
      <c r="E254" s="4">
        <v>4.8899999999999997</v>
      </c>
      <c r="F254" s="15">
        <v>4086856</v>
      </c>
      <c r="G254" s="15">
        <v>4124252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4086856</v>
      </c>
      <c r="O254" s="15">
        <v>4124252</v>
      </c>
      <c r="P254" s="4">
        <v>0.92</v>
      </c>
      <c r="Q254" s="15">
        <v>143463</v>
      </c>
      <c r="R254" s="15">
        <v>223159</v>
      </c>
      <c r="S254" s="15">
        <v>3943393</v>
      </c>
      <c r="T254" s="15">
        <v>4024203</v>
      </c>
      <c r="U254" s="15">
        <v>3943393</v>
      </c>
      <c r="V254" s="15">
        <v>3901093</v>
      </c>
      <c r="W254" s="15">
        <v>0</v>
      </c>
      <c r="X254" s="15">
        <v>123110</v>
      </c>
      <c r="Y254" s="4">
        <v>311</v>
      </c>
      <c r="Z254" s="4">
        <v>307</v>
      </c>
      <c r="AA254" s="4">
        <v>-1.29</v>
      </c>
      <c r="AB254" s="15">
        <v>2392866</v>
      </c>
      <c r="AC254" s="15">
        <v>3073164</v>
      </c>
      <c r="AD254" s="15">
        <v>275000</v>
      </c>
      <c r="AE254" s="15">
        <v>225000</v>
      </c>
      <c r="AF254" s="15">
        <v>1772683</v>
      </c>
      <c r="AG254" s="15">
        <v>2333010</v>
      </c>
      <c r="AH254" s="4">
        <v>15.12</v>
      </c>
      <c r="AI254" s="6">
        <v>18.97</v>
      </c>
    </row>
    <row r="255" spans="1:35" x14ac:dyDescent="0.25">
      <c r="A255" s="5" t="str">
        <f>"460701"</f>
        <v>460701</v>
      </c>
      <c r="B255" s="3" t="s">
        <v>392</v>
      </c>
      <c r="C255" s="15">
        <v>36310500</v>
      </c>
      <c r="D255" s="15">
        <v>38310500</v>
      </c>
      <c r="E255" s="4">
        <v>5.51</v>
      </c>
      <c r="F255" s="15">
        <v>6676775</v>
      </c>
      <c r="G255" s="15">
        <v>6803634</v>
      </c>
      <c r="H255" s="15"/>
      <c r="I255" s="15"/>
      <c r="J255" s="15"/>
      <c r="K255" s="15"/>
      <c r="L255" s="15"/>
      <c r="M255" s="15"/>
      <c r="N255" s="15">
        <v>6676775</v>
      </c>
      <c r="O255" s="15">
        <v>6803634</v>
      </c>
      <c r="P255" s="4">
        <v>1.9</v>
      </c>
      <c r="Q255" s="15">
        <v>0</v>
      </c>
      <c r="R255" s="15">
        <v>0</v>
      </c>
      <c r="S255" s="15">
        <v>6919146</v>
      </c>
      <c r="T255" s="15">
        <v>6962926</v>
      </c>
      <c r="U255" s="15">
        <v>6676775</v>
      </c>
      <c r="V255" s="15">
        <v>6803634</v>
      </c>
      <c r="W255" s="15">
        <v>242371</v>
      </c>
      <c r="X255" s="15">
        <v>159292</v>
      </c>
      <c r="Y255" s="4">
        <v>1250</v>
      </c>
      <c r="Z255" s="4">
        <v>1240</v>
      </c>
      <c r="AA255" s="4">
        <v>-0.8</v>
      </c>
      <c r="AB255" s="15">
        <v>11771140</v>
      </c>
      <c r="AC255" s="15">
        <v>10500000</v>
      </c>
      <c r="AD255" s="15">
        <v>2881878</v>
      </c>
      <c r="AE255" s="15">
        <v>1611866</v>
      </c>
      <c r="AF255" s="15">
        <v>1574969</v>
      </c>
      <c r="AG255" s="15">
        <v>1530000</v>
      </c>
      <c r="AH255" s="4">
        <v>4.34</v>
      </c>
      <c r="AI255" s="6">
        <v>3.99</v>
      </c>
    </row>
    <row r="256" spans="1:35" x14ac:dyDescent="0.25">
      <c r="A256" s="5" t="str">
        <f>"580406"</f>
        <v>580406</v>
      </c>
      <c r="B256" s="3" t="s">
        <v>531</v>
      </c>
      <c r="C256" s="15">
        <v>90316264</v>
      </c>
      <c r="D256" s="15">
        <v>92895995</v>
      </c>
      <c r="E256" s="4">
        <v>2.86</v>
      </c>
      <c r="F256" s="15">
        <v>69053066</v>
      </c>
      <c r="G256" s="15">
        <v>70626770</v>
      </c>
      <c r="H256" s="15"/>
      <c r="I256" s="15"/>
      <c r="J256" s="15"/>
      <c r="K256" s="15"/>
      <c r="L256" s="15"/>
      <c r="M256" s="15"/>
      <c r="N256" s="15">
        <v>69053066</v>
      </c>
      <c r="O256" s="15">
        <v>70626770</v>
      </c>
      <c r="P256" s="4">
        <v>2.2799999999999998</v>
      </c>
      <c r="Q256" s="15">
        <v>1794408</v>
      </c>
      <c r="R256" s="15">
        <v>1783463</v>
      </c>
      <c r="S256" s="15">
        <v>67258658</v>
      </c>
      <c r="T256" s="15">
        <v>68843307</v>
      </c>
      <c r="U256" s="15">
        <v>67258658</v>
      </c>
      <c r="V256" s="15">
        <v>68843307</v>
      </c>
      <c r="W256" s="15">
        <v>0</v>
      </c>
      <c r="X256" s="15">
        <v>0</v>
      </c>
      <c r="Y256" s="4">
        <v>2818</v>
      </c>
      <c r="Z256" s="4">
        <v>2735</v>
      </c>
      <c r="AA256" s="4">
        <v>-2.95</v>
      </c>
      <c r="AB256" s="15">
        <v>8116945</v>
      </c>
      <c r="AC256" s="15">
        <v>10326433</v>
      </c>
      <c r="AD256" s="15">
        <v>3250000</v>
      </c>
      <c r="AE256" s="15">
        <v>2646443</v>
      </c>
      <c r="AF256" s="15">
        <v>3598406</v>
      </c>
      <c r="AG256" s="15">
        <v>3715840</v>
      </c>
      <c r="AH256" s="4">
        <v>3.98</v>
      </c>
      <c r="AI256" s="6">
        <v>4</v>
      </c>
    </row>
    <row r="257" spans="1:35" x14ac:dyDescent="0.25">
      <c r="A257" s="5" t="str">
        <f>"030501"</f>
        <v>030501</v>
      </c>
      <c r="B257" s="3" t="s">
        <v>26</v>
      </c>
      <c r="C257" s="15">
        <v>21792421</v>
      </c>
      <c r="D257" s="15">
        <v>21878679</v>
      </c>
      <c r="E257" s="4">
        <v>0.4</v>
      </c>
      <c r="F257" s="15">
        <v>4480868</v>
      </c>
      <c r="G257" s="15">
        <v>4589159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4480868</v>
      </c>
      <c r="O257" s="15">
        <v>4589159</v>
      </c>
      <c r="P257" s="4">
        <v>2.42</v>
      </c>
      <c r="Q257" s="15">
        <v>313449</v>
      </c>
      <c r="R257" s="15">
        <v>313874</v>
      </c>
      <c r="S257" s="15">
        <v>4167419</v>
      </c>
      <c r="T257" s="15">
        <v>4275285</v>
      </c>
      <c r="U257" s="15">
        <v>4167419</v>
      </c>
      <c r="V257" s="15">
        <v>4275285</v>
      </c>
      <c r="W257" s="15">
        <v>0</v>
      </c>
      <c r="X257" s="15">
        <v>0</v>
      </c>
      <c r="Y257" s="4">
        <v>627</v>
      </c>
      <c r="Z257" s="4">
        <v>627</v>
      </c>
      <c r="AA257" s="4">
        <v>0</v>
      </c>
      <c r="AB257" s="15">
        <v>4867466</v>
      </c>
      <c r="AC257" s="15">
        <v>6419254</v>
      </c>
      <c r="AD257" s="15">
        <v>500000</v>
      </c>
      <c r="AE257" s="15">
        <v>500000</v>
      </c>
      <c r="AF257" s="15">
        <v>830696</v>
      </c>
      <c r="AG257" s="15">
        <v>834352</v>
      </c>
      <c r="AH257" s="4">
        <v>3.81</v>
      </c>
      <c r="AI257" s="6">
        <v>3.81</v>
      </c>
    </row>
    <row r="258" spans="1:35" x14ac:dyDescent="0.25">
      <c r="A258" s="5" t="str">
        <f>"660501"</f>
        <v>660501</v>
      </c>
      <c r="B258" s="3" t="s">
        <v>640</v>
      </c>
      <c r="C258" s="15">
        <v>125558025</v>
      </c>
      <c r="D258" s="15">
        <v>130311477</v>
      </c>
      <c r="E258" s="4">
        <v>3.79</v>
      </c>
      <c r="F258" s="15">
        <v>113090944</v>
      </c>
      <c r="G258" s="15">
        <v>116318296</v>
      </c>
      <c r="H258" s="15"/>
      <c r="I258" s="15"/>
      <c r="J258" s="15"/>
      <c r="K258" s="15"/>
      <c r="L258" s="15"/>
      <c r="M258" s="15"/>
      <c r="N258" s="15">
        <v>113090944</v>
      </c>
      <c r="O258" s="15">
        <v>116318296</v>
      </c>
      <c r="P258" s="4">
        <v>2.85</v>
      </c>
      <c r="Q258" s="15">
        <v>3888791</v>
      </c>
      <c r="R258" s="15">
        <v>3877257</v>
      </c>
      <c r="S258" s="15">
        <v>109202153</v>
      </c>
      <c r="T258" s="15">
        <v>112441039</v>
      </c>
      <c r="U258" s="15">
        <v>109202153</v>
      </c>
      <c r="V258" s="15">
        <v>112441039</v>
      </c>
      <c r="W258" s="15">
        <v>0</v>
      </c>
      <c r="X258" s="15">
        <v>0</v>
      </c>
      <c r="Y258" s="4">
        <v>3595</v>
      </c>
      <c r="Z258" s="4">
        <v>3615</v>
      </c>
      <c r="AA258" s="4">
        <v>0.56000000000000005</v>
      </c>
      <c r="AB258" s="15">
        <v>24571085</v>
      </c>
      <c r="AC258" s="15">
        <v>21823384</v>
      </c>
      <c r="AD258" s="15">
        <v>3212596</v>
      </c>
      <c r="AE258" s="15">
        <v>5775000</v>
      </c>
      <c r="AF258" s="15">
        <v>5022314</v>
      </c>
      <c r="AG258" s="15">
        <v>5212459</v>
      </c>
      <c r="AH258" s="4">
        <v>4</v>
      </c>
      <c r="AI258" s="6">
        <v>4</v>
      </c>
    </row>
    <row r="259" spans="1:35" x14ac:dyDescent="0.25">
      <c r="A259" s="5" t="str">
        <f>"230301"</f>
        <v>230301</v>
      </c>
      <c r="B259" s="3" t="s">
        <v>220</v>
      </c>
      <c r="C259" s="15">
        <v>11644734</v>
      </c>
      <c r="D259" s="15">
        <v>11321461</v>
      </c>
      <c r="E259" s="4">
        <v>-2.78</v>
      </c>
      <c r="F259" s="15">
        <v>4027212</v>
      </c>
      <c r="G259" s="15">
        <v>4099729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4027212</v>
      </c>
      <c r="O259" s="15">
        <v>4099729</v>
      </c>
      <c r="P259" s="4">
        <v>1.8</v>
      </c>
      <c r="Q259" s="15">
        <v>187350</v>
      </c>
      <c r="R259" s="15">
        <v>150618</v>
      </c>
      <c r="S259" s="15">
        <v>3839862</v>
      </c>
      <c r="T259" s="15">
        <v>3949111</v>
      </c>
      <c r="U259" s="15">
        <v>3839862</v>
      </c>
      <c r="V259" s="15">
        <v>3949111</v>
      </c>
      <c r="W259" s="15">
        <v>0</v>
      </c>
      <c r="X259" s="15">
        <v>0</v>
      </c>
      <c r="Y259" s="4">
        <v>358</v>
      </c>
      <c r="Z259" s="4">
        <v>336</v>
      </c>
      <c r="AA259" s="4">
        <v>-6.15</v>
      </c>
      <c r="AB259" s="15">
        <v>1815453</v>
      </c>
      <c r="AC259" s="15">
        <v>1782537</v>
      </c>
      <c r="AD259" s="15">
        <v>477364</v>
      </c>
      <c r="AE259" s="15">
        <v>497364</v>
      </c>
      <c r="AF259" s="15">
        <v>564516</v>
      </c>
      <c r="AG259" s="15">
        <v>452858</v>
      </c>
      <c r="AH259" s="4">
        <v>4.8499999999999996</v>
      </c>
      <c r="AI259" s="6">
        <v>4</v>
      </c>
    </row>
    <row r="260" spans="1:35" x14ac:dyDescent="0.25">
      <c r="A260" s="5" t="str">
        <f>"641001"</f>
        <v>641001</v>
      </c>
      <c r="B260" s="3" t="s">
        <v>608</v>
      </c>
      <c r="C260" s="15">
        <v>13450000</v>
      </c>
      <c r="D260" s="15">
        <v>13600000</v>
      </c>
      <c r="E260" s="4">
        <v>1.1200000000000001</v>
      </c>
      <c r="F260" s="15">
        <v>3727630</v>
      </c>
      <c r="G260" s="15">
        <v>3779817</v>
      </c>
      <c r="H260" s="15"/>
      <c r="I260" s="15"/>
      <c r="J260" s="15"/>
      <c r="K260" s="15"/>
      <c r="L260" s="15"/>
      <c r="M260" s="15"/>
      <c r="N260" s="15">
        <v>3727630</v>
      </c>
      <c r="O260" s="15">
        <v>3779817</v>
      </c>
      <c r="P260" s="4">
        <v>1.4</v>
      </c>
      <c r="Q260" s="15">
        <v>233875</v>
      </c>
      <c r="R260" s="15">
        <v>236212</v>
      </c>
      <c r="S260" s="15">
        <v>3493795</v>
      </c>
      <c r="T260" s="15">
        <v>3581881</v>
      </c>
      <c r="U260" s="15">
        <v>3493755</v>
      </c>
      <c r="V260" s="15">
        <v>3543605</v>
      </c>
      <c r="W260" s="15">
        <v>40</v>
      </c>
      <c r="X260" s="15">
        <v>38276</v>
      </c>
      <c r="Y260" s="4">
        <v>392</v>
      </c>
      <c r="Z260" s="4">
        <v>368</v>
      </c>
      <c r="AA260" s="4">
        <v>-6.12</v>
      </c>
      <c r="AB260" s="15">
        <v>203328</v>
      </c>
      <c r="AC260" s="15">
        <v>333008</v>
      </c>
      <c r="AD260" s="15">
        <v>800857</v>
      </c>
      <c r="AE260" s="15">
        <v>654858</v>
      </c>
      <c r="AF260" s="15">
        <v>1111650</v>
      </c>
      <c r="AG260" s="15">
        <v>1088000</v>
      </c>
      <c r="AH260" s="4">
        <v>8.27</v>
      </c>
      <c r="AI260" s="6">
        <v>8</v>
      </c>
    </row>
    <row r="261" spans="1:35" x14ac:dyDescent="0.25">
      <c r="A261" s="5" t="str">
        <f>"660404"</f>
        <v>660404</v>
      </c>
      <c r="B261" s="3" t="s">
        <v>635</v>
      </c>
      <c r="C261" s="15">
        <v>52823911</v>
      </c>
      <c r="D261" s="15">
        <v>55821718</v>
      </c>
      <c r="E261" s="4">
        <v>5.68</v>
      </c>
      <c r="F261" s="15">
        <v>44555757</v>
      </c>
      <c r="G261" s="15">
        <v>45938729</v>
      </c>
      <c r="H261" s="15"/>
      <c r="I261" s="15"/>
      <c r="J261" s="15"/>
      <c r="K261" s="15"/>
      <c r="L261" s="15"/>
      <c r="M261" s="15"/>
      <c r="N261" s="15">
        <v>44555757</v>
      </c>
      <c r="O261" s="15">
        <v>45938729</v>
      </c>
      <c r="P261" s="4">
        <v>3.1</v>
      </c>
      <c r="Q261" s="15">
        <v>430865</v>
      </c>
      <c r="R261" s="15">
        <v>1252847</v>
      </c>
      <c r="S261" s="15">
        <v>44124892</v>
      </c>
      <c r="T261" s="15">
        <v>45215645</v>
      </c>
      <c r="U261" s="15">
        <v>44124892</v>
      </c>
      <c r="V261" s="15">
        <v>44685882</v>
      </c>
      <c r="W261" s="15">
        <v>0</v>
      </c>
      <c r="X261" s="15">
        <v>529763</v>
      </c>
      <c r="Y261" s="4">
        <v>1619</v>
      </c>
      <c r="Z261" s="4">
        <v>1650</v>
      </c>
      <c r="AA261" s="4">
        <v>1.91</v>
      </c>
      <c r="AB261" s="15">
        <v>6282719</v>
      </c>
      <c r="AC261" s="15">
        <v>6075523</v>
      </c>
      <c r="AD261" s="15">
        <v>1284843</v>
      </c>
      <c r="AE261" s="15">
        <v>1804843</v>
      </c>
      <c r="AF261" s="15">
        <v>2110319</v>
      </c>
      <c r="AG261" s="15">
        <v>2232868</v>
      </c>
      <c r="AH261" s="4">
        <v>4</v>
      </c>
      <c r="AI261" s="6">
        <v>4</v>
      </c>
    </row>
    <row r="262" spans="1:35" x14ac:dyDescent="0.25">
      <c r="A262" s="5" t="str">
        <f>"580506"</f>
        <v>580506</v>
      </c>
      <c r="B262" s="3" t="s">
        <v>539</v>
      </c>
      <c r="C262" s="15">
        <v>119963719</v>
      </c>
      <c r="D262" s="15">
        <v>123913904</v>
      </c>
      <c r="E262" s="4">
        <v>3.29</v>
      </c>
      <c r="F262" s="15">
        <v>90084876</v>
      </c>
      <c r="G262" s="15">
        <v>91180127</v>
      </c>
      <c r="H262" s="15"/>
      <c r="I262" s="15"/>
      <c r="J262" s="15"/>
      <c r="K262" s="15"/>
      <c r="L262" s="15"/>
      <c r="M262" s="15"/>
      <c r="N262" s="15">
        <v>90084876</v>
      </c>
      <c r="O262" s="15">
        <v>91180127</v>
      </c>
      <c r="P262" s="4">
        <v>1.22</v>
      </c>
      <c r="Q262" s="15">
        <v>1508520</v>
      </c>
      <c r="R262" s="15">
        <v>1164489</v>
      </c>
      <c r="S262" s="15">
        <v>88576356</v>
      </c>
      <c r="T262" s="15">
        <v>90015638</v>
      </c>
      <c r="U262" s="15">
        <v>88576356</v>
      </c>
      <c r="V262" s="15">
        <v>90015638</v>
      </c>
      <c r="W262" s="15">
        <v>0</v>
      </c>
      <c r="X262" s="15">
        <v>0</v>
      </c>
      <c r="Y262" s="4">
        <v>3137</v>
      </c>
      <c r="Z262" s="4">
        <v>3113</v>
      </c>
      <c r="AA262" s="4">
        <v>-0.77</v>
      </c>
      <c r="AB262" s="15">
        <v>25748920</v>
      </c>
      <c r="AC262" s="15">
        <v>27327577</v>
      </c>
      <c r="AD262" s="15">
        <v>3640000</v>
      </c>
      <c r="AE262" s="15">
        <v>3640000</v>
      </c>
      <c r="AF262" s="15">
        <v>4798549</v>
      </c>
      <c r="AG262" s="15">
        <v>4953105</v>
      </c>
      <c r="AH262" s="4">
        <v>4</v>
      </c>
      <c r="AI262" s="6">
        <v>4</v>
      </c>
    </row>
    <row r="263" spans="1:35" x14ac:dyDescent="0.25">
      <c r="A263" s="5" t="str">
        <f>"500201"</f>
        <v>500201</v>
      </c>
      <c r="B263" s="3" t="s">
        <v>432</v>
      </c>
      <c r="C263" s="15">
        <v>239826945</v>
      </c>
      <c r="D263" s="15">
        <v>253025692</v>
      </c>
      <c r="E263" s="4">
        <v>5.5</v>
      </c>
      <c r="F263" s="15">
        <v>151062624</v>
      </c>
      <c r="G263" s="15">
        <v>151062624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151062624</v>
      </c>
      <c r="O263" s="15">
        <v>151062624</v>
      </c>
      <c r="P263" s="4">
        <v>0</v>
      </c>
      <c r="Q263" s="15">
        <v>1906085</v>
      </c>
      <c r="R263" s="15">
        <v>1988204</v>
      </c>
      <c r="S263" s="15">
        <v>154025740</v>
      </c>
      <c r="T263" s="15">
        <v>152286997</v>
      </c>
      <c r="U263" s="15">
        <v>149156539</v>
      </c>
      <c r="V263" s="15">
        <v>149074420</v>
      </c>
      <c r="W263" s="15">
        <v>4869201</v>
      </c>
      <c r="X263" s="15">
        <v>3212577</v>
      </c>
      <c r="Y263" s="4">
        <v>8002</v>
      </c>
      <c r="Z263" s="4">
        <v>7810</v>
      </c>
      <c r="AA263" s="4">
        <v>-2.4</v>
      </c>
      <c r="AB263" s="15">
        <v>73073081</v>
      </c>
      <c r="AC263" s="15">
        <v>59987459</v>
      </c>
      <c r="AD263" s="15">
        <v>7895792</v>
      </c>
      <c r="AE263" s="15">
        <v>7159343</v>
      </c>
      <c r="AF263" s="15">
        <v>5281598</v>
      </c>
      <c r="AG263" s="15">
        <v>4451471</v>
      </c>
      <c r="AH263" s="4">
        <v>2.2000000000000002</v>
      </c>
      <c r="AI263" s="6">
        <v>1.76</v>
      </c>
    </row>
    <row r="264" spans="1:35" x14ac:dyDescent="0.25">
      <c r="A264" s="5" t="str">
        <f>"280201"</f>
        <v>280201</v>
      </c>
      <c r="B264" s="3" t="s">
        <v>265</v>
      </c>
      <c r="C264" s="15">
        <v>247223026</v>
      </c>
      <c r="D264" s="15">
        <v>274709957</v>
      </c>
      <c r="E264" s="4">
        <v>11.12</v>
      </c>
      <c r="F264" s="15">
        <v>75934370</v>
      </c>
      <c r="G264" s="15">
        <v>75934370</v>
      </c>
      <c r="H264" s="15">
        <v>0</v>
      </c>
      <c r="I264" s="15"/>
      <c r="J264" s="15">
        <v>0</v>
      </c>
      <c r="K264" s="15"/>
      <c r="L264" s="15">
        <v>0</v>
      </c>
      <c r="M264" s="15"/>
      <c r="N264" s="15">
        <v>75934370</v>
      </c>
      <c r="O264" s="15">
        <v>75934370</v>
      </c>
      <c r="P264" s="4">
        <v>0</v>
      </c>
      <c r="Q264" s="15">
        <v>1927992</v>
      </c>
      <c r="R264" s="15">
        <v>2357311</v>
      </c>
      <c r="S264" s="15">
        <v>75731890</v>
      </c>
      <c r="T264" s="15">
        <v>75690940</v>
      </c>
      <c r="U264" s="15">
        <v>74006378</v>
      </c>
      <c r="V264" s="15">
        <v>73577059</v>
      </c>
      <c r="W264" s="15">
        <v>1725512</v>
      </c>
      <c r="X264" s="15">
        <v>2113881</v>
      </c>
      <c r="Y264" s="4">
        <v>6109</v>
      </c>
      <c r="Z264" s="4">
        <v>6400</v>
      </c>
      <c r="AA264" s="4">
        <v>4.76</v>
      </c>
      <c r="AB264" s="15">
        <v>3409971</v>
      </c>
      <c r="AC264" s="15">
        <v>1256997</v>
      </c>
      <c r="AD264" s="15">
        <v>2100000</v>
      </c>
      <c r="AE264" s="15">
        <v>6134578</v>
      </c>
      <c r="AF264" s="15">
        <v>16199105</v>
      </c>
      <c r="AG264" s="15">
        <v>10064527</v>
      </c>
      <c r="AH264" s="4">
        <v>6.55</v>
      </c>
      <c r="AI264" s="6">
        <v>3.66</v>
      </c>
    </row>
    <row r="265" spans="1:35" x14ac:dyDescent="0.25">
      <c r="A265" s="5" t="str">
        <f>"660203"</f>
        <v>660203</v>
      </c>
      <c r="B265" s="3" t="s">
        <v>628</v>
      </c>
      <c r="C265" s="15">
        <v>84300766</v>
      </c>
      <c r="D265" s="15">
        <v>86634308</v>
      </c>
      <c r="E265" s="4">
        <v>2.77</v>
      </c>
      <c r="F265" s="15">
        <v>48434519</v>
      </c>
      <c r="G265" s="15">
        <v>50005677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48434519</v>
      </c>
      <c r="O265" s="15">
        <v>50005677</v>
      </c>
      <c r="P265" s="4">
        <v>3.24</v>
      </c>
      <c r="Q265" s="15">
        <v>4250120</v>
      </c>
      <c r="R265" s="15">
        <v>4245582</v>
      </c>
      <c r="S265" s="15">
        <v>49153917</v>
      </c>
      <c r="T265" s="15">
        <v>57484693</v>
      </c>
      <c r="U265" s="15">
        <v>44184399</v>
      </c>
      <c r="V265" s="15">
        <v>45760095</v>
      </c>
      <c r="W265" s="15">
        <v>4969518</v>
      </c>
      <c r="X265" s="15">
        <v>11724598</v>
      </c>
      <c r="Y265" s="4">
        <v>2192</v>
      </c>
      <c r="Z265" s="4">
        <v>2105</v>
      </c>
      <c r="AA265" s="4">
        <v>-3.97</v>
      </c>
      <c r="AB265" s="15">
        <v>1886098</v>
      </c>
      <c r="AC265" s="15">
        <v>1866783</v>
      </c>
      <c r="AD265" s="15">
        <v>3409756</v>
      </c>
      <c r="AE265" s="15">
        <v>3021330</v>
      </c>
      <c r="AF265" s="15">
        <v>10765384</v>
      </c>
      <c r="AG265" s="15">
        <v>15157237</v>
      </c>
      <c r="AH265" s="4">
        <v>12.77</v>
      </c>
      <c r="AI265" s="6">
        <v>17.5</v>
      </c>
    </row>
    <row r="266" spans="1:35" x14ac:dyDescent="0.25">
      <c r="A266" s="5" t="str">
        <f>"210601"</f>
        <v>210601</v>
      </c>
      <c r="B266" s="3" t="s">
        <v>200</v>
      </c>
      <c r="C266" s="15">
        <v>26414000</v>
      </c>
      <c r="D266" s="15">
        <v>28502714</v>
      </c>
      <c r="E266" s="4">
        <v>7.91</v>
      </c>
      <c r="F266" s="15">
        <v>9451000</v>
      </c>
      <c r="G266" s="15">
        <v>9451000</v>
      </c>
      <c r="H266" s="15"/>
      <c r="I266" s="15"/>
      <c r="J266" s="15"/>
      <c r="K266" s="15"/>
      <c r="L266" s="15"/>
      <c r="M266" s="15"/>
      <c r="N266" s="15">
        <v>9451000</v>
      </c>
      <c r="O266" s="15">
        <v>9451000</v>
      </c>
      <c r="P266" s="4">
        <v>0</v>
      </c>
      <c r="Q266" s="15">
        <v>296280</v>
      </c>
      <c r="R266" s="15">
        <v>257419</v>
      </c>
      <c r="S266" s="15">
        <v>8714277</v>
      </c>
      <c r="T266" s="15">
        <v>9346226</v>
      </c>
      <c r="U266" s="15">
        <v>9154720</v>
      </c>
      <c r="V266" s="15">
        <v>9193581</v>
      </c>
      <c r="W266" s="15">
        <v>-440443</v>
      </c>
      <c r="X266" s="15">
        <v>152645</v>
      </c>
      <c r="Y266" s="4">
        <v>1072</v>
      </c>
      <c r="Z266" s="4">
        <v>1080</v>
      </c>
      <c r="AA266" s="4">
        <v>0.75</v>
      </c>
      <c r="AB266" s="15">
        <v>2489359</v>
      </c>
      <c r="AC266" s="15">
        <v>3822754</v>
      </c>
      <c r="AD266" s="15">
        <v>570000</v>
      </c>
      <c r="AE266" s="15">
        <v>230000</v>
      </c>
      <c r="AF266" s="15">
        <v>2113120</v>
      </c>
      <c r="AG266" s="15">
        <v>1140109</v>
      </c>
      <c r="AH266" s="4">
        <v>8</v>
      </c>
      <c r="AI266" s="6">
        <v>4</v>
      </c>
    </row>
    <row r="267" spans="1:35" x14ac:dyDescent="0.25">
      <c r="A267" s="5" t="str">
        <f>"511301"</f>
        <v>511301</v>
      </c>
      <c r="B267" s="3" t="s">
        <v>444</v>
      </c>
      <c r="C267" s="15">
        <v>12876705</v>
      </c>
      <c r="D267" s="15">
        <v>13557125</v>
      </c>
      <c r="E267" s="4">
        <v>5.28</v>
      </c>
      <c r="F267" s="15">
        <v>2614345</v>
      </c>
      <c r="G267" s="15">
        <v>2664018</v>
      </c>
      <c r="H267" s="15"/>
      <c r="I267" s="15"/>
      <c r="J267" s="15"/>
      <c r="K267" s="15"/>
      <c r="L267" s="15"/>
      <c r="M267" s="15"/>
      <c r="N267" s="15">
        <v>2614345</v>
      </c>
      <c r="O267" s="15">
        <v>2664018</v>
      </c>
      <c r="P267" s="4">
        <v>1.9</v>
      </c>
      <c r="Q267" s="15">
        <v>79648</v>
      </c>
      <c r="R267" s="15">
        <v>126954</v>
      </c>
      <c r="S267" s="15">
        <v>2597134</v>
      </c>
      <c r="T267" s="15">
        <v>2603854</v>
      </c>
      <c r="U267" s="15">
        <v>2534697</v>
      </c>
      <c r="V267" s="15">
        <v>2537064</v>
      </c>
      <c r="W267" s="15">
        <v>62437</v>
      </c>
      <c r="X267" s="15">
        <v>66790</v>
      </c>
      <c r="Y267" s="4">
        <v>446</v>
      </c>
      <c r="Z267" s="4">
        <v>414</v>
      </c>
      <c r="AA267" s="4">
        <v>-7.17</v>
      </c>
      <c r="AB267" s="15">
        <v>1140108</v>
      </c>
      <c r="AC267" s="15">
        <v>1432752</v>
      </c>
      <c r="AD267" s="15">
        <v>1536088</v>
      </c>
      <c r="AE267" s="15">
        <v>1347400</v>
      </c>
      <c r="AF267" s="15">
        <v>1027805</v>
      </c>
      <c r="AG267" s="15">
        <v>1133842</v>
      </c>
      <c r="AH267" s="4">
        <v>7.98</v>
      </c>
      <c r="AI267" s="6">
        <v>8.36</v>
      </c>
    </row>
    <row r="268" spans="1:35" x14ac:dyDescent="0.25">
      <c r="A268" s="5" t="str">
        <f>"280409"</f>
        <v>280409</v>
      </c>
      <c r="B268" s="3" t="s">
        <v>303</v>
      </c>
      <c r="C268" s="15">
        <v>122867643</v>
      </c>
      <c r="D268" s="15">
        <v>125315481</v>
      </c>
      <c r="E268" s="4">
        <v>1.99</v>
      </c>
      <c r="F268" s="15">
        <v>102367819</v>
      </c>
      <c r="G268" s="15">
        <v>102879658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102367819</v>
      </c>
      <c r="O268" s="15">
        <v>102879658</v>
      </c>
      <c r="P268" s="4">
        <v>0.5</v>
      </c>
      <c r="Q268" s="15">
        <v>3297574</v>
      </c>
      <c r="R268" s="15">
        <v>2240108</v>
      </c>
      <c r="S268" s="15">
        <v>100175224</v>
      </c>
      <c r="T268" s="15">
        <v>101773789</v>
      </c>
      <c r="U268" s="15">
        <v>99070245</v>
      </c>
      <c r="V268" s="15">
        <v>100639550</v>
      </c>
      <c r="W268" s="15">
        <v>1104979</v>
      </c>
      <c r="X268" s="15">
        <v>1134239</v>
      </c>
      <c r="Y268" s="4">
        <v>4078</v>
      </c>
      <c r="Z268" s="4">
        <v>4146</v>
      </c>
      <c r="AA268" s="4">
        <v>1.67</v>
      </c>
      <c r="AB268" s="15">
        <v>17396620</v>
      </c>
      <c r="AC268" s="15">
        <v>18524807</v>
      </c>
      <c r="AD268" s="15">
        <v>1150000</v>
      </c>
      <c r="AE268" s="15">
        <v>1150000</v>
      </c>
      <c r="AF268" s="15">
        <v>4914705</v>
      </c>
      <c r="AG268" s="15">
        <v>5012619</v>
      </c>
      <c r="AH268" s="4">
        <v>4</v>
      </c>
      <c r="AI268" s="6">
        <v>4</v>
      </c>
    </row>
    <row r="269" spans="1:35" x14ac:dyDescent="0.25">
      <c r="A269" s="5" t="str">
        <f>"512404"</f>
        <v>512404</v>
      </c>
      <c r="B269" s="3" t="s">
        <v>451</v>
      </c>
      <c r="C269" s="15">
        <v>15222247</v>
      </c>
      <c r="D269" s="15">
        <v>15446307</v>
      </c>
      <c r="E269" s="4">
        <v>1.47</v>
      </c>
      <c r="F269" s="15">
        <v>3725351</v>
      </c>
      <c r="G269" s="15">
        <v>3808084</v>
      </c>
      <c r="H269" s="15"/>
      <c r="I269" s="15"/>
      <c r="J269" s="15"/>
      <c r="K269" s="15"/>
      <c r="L269" s="15"/>
      <c r="M269" s="15"/>
      <c r="N269" s="15">
        <v>3725351</v>
      </c>
      <c r="O269" s="15">
        <v>3808084</v>
      </c>
      <c r="P269" s="4">
        <v>2.2200000000000002</v>
      </c>
      <c r="Q269" s="15">
        <v>120915</v>
      </c>
      <c r="R269" s="15">
        <v>103800</v>
      </c>
      <c r="S269" s="15">
        <v>3604436</v>
      </c>
      <c r="T269" s="15">
        <v>3704284</v>
      </c>
      <c r="U269" s="15">
        <v>3604436</v>
      </c>
      <c r="V269" s="15">
        <v>3704284</v>
      </c>
      <c r="W269" s="15">
        <v>0</v>
      </c>
      <c r="X269" s="15">
        <v>0</v>
      </c>
      <c r="Y269" s="4">
        <v>560</v>
      </c>
      <c r="Z269" s="4">
        <v>550</v>
      </c>
      <c r="AA269" s="4">
        <v>-1.79</v>
      </c>
      <c r="AB269" s="15">
        <v>4225394</v>
      </c>
      <c r="AC269" s="15">
        <v>5586610</v>
      </c>
      <c r="AD269" s="15">
        <v>800000</v>
      </c>
      <c r="AE269" s="15">
        <v>835251</v>
      </c>
      <c r="AF269" s="15">
        <v>594833</v>
      </c>
      <c r="AG269" s="15">
        <v>617852</v>
      </c>
      <c r="AH269" s="4">
        <v>3.91</v>
      </c>
      <c r="AI269" s="6">
        <v>4</v>
      </c>
    </row>
    <row r="270" spans="1:35" x14ac:dyDescent="0.25">
      <c r="A270" s="5" t="str">
        <f>"280214"</f>
        <v>280214</v>
      </c>
      <c r="B270" s="3" t="s">
        <v>278</v>
      </c>
      <c r="C270" s="15">
        <v>129358256</v>
      </c>
      <c r="D270" s="15">
        <v>130586214</v>
      </c>
      <c r="E270" s="4">
        <v>0.95</v>
      </c>
      <c r="F270" s="15">
        <v>108031945</v>
      </c>
      <c r="G270" s="15">
        <v>108577500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108031945</v>
      </c>
      <c r="O270" s="15">
        <v>108577500</v>
      </c>
      <c r="P270" s="4">
        <v>0.5</v>
      </c>
      <c r="Q270" s="15">
        <v>6651011</v>
      </c>
      <c r="R270" s="15">
        <v>4994733</v>
      </c>
      <c r="S270" s="15">
        <v>102343790</v>
      </c>
      <c r="T270" s="15">
        <v>104136752</v>
      </c>
      <c r="U270" s="15">
        <v>101380934</v>
      </c>
      <c r="V270" s="15">
        <v>103582767</v>
      </c>
      <c r="W270" s="15">
        <v>962856</v>
      </c>
      <c r="X270" s="15">
        <v>553985</v>
      </c>
      <c r="Y270" s="4">
        <v>2854</v>
      </c>
      <c r="Z270" s="4">
        <v>2813</v>
      </c>
      <c r="AA270" s="4">
        <v>-1.44</v>
      </c>
      <c r="AB270" s="15">
        <v>64913616</v>
      </c>
      <c r="AC270" s="15">
        <v>67612812</v>
      </c>
      <c r="AD270" s="15">
        <v>2378131</v>
      </c>
      <c r="AE270" s="15">
        <v>0</v>
      </c>
      <c r="AF270" s="15">
        <v>5174330</v>
      </c>
      <c r="AG270" s="15">
        <v>5223449</v>
      </c>
      <c r="AH270" s="4">
        <v>4</v>
      </c>
      <c r="AI270" s="6">
        <v>4</v>
      </c>
    </row>
    <row r="271" spans="1:35" x14ac:dyDescent="0.25">
      <c r="A271" s="5" t="str">
        <f>"280517"</f>
        <v>280517</v>
      </c>
      <c r="B271" s="3" t="s">
        <v>312</v>
      </c>
      <c r="C271" s="15">
        <v>145635048</v>
      </c>
      <c r="D271" s="15">
        <v>153187749</v>
      </c>
      <c r="E271" s="4">
        <v>5.19</v>
      </c>
      <c r="F271" s="15">
        <v>107973057</v>
      </c>
      <c r="G271" s="15">
        <v>110023600</v>
      </c>
      <c r="H271" s="15"/>
      <c r="I271" s="15"/>
      <c r="J271" s="15">
        <v>60000</v>
      </c>
      <c r="K271" s="15">
        <v>60000</v>
      </c>
      <c r="L271" s="15"/>
      <c r="M271" s="15"/>
      <c r="N271" s="15">
        <v>108033057</v>
      </c>
      <c r="O271" s="15">
        <v>110083600</v>
      </c>
      <c r="P271" s="4">
        <v>1.9</v>
      </c>
      <c r="Q271" s="15">
        <v>1589660</v>
      </c>
      <c r="R271" s="15">
        <v>910838</v>
      </c>
      <c r="S271" s="15">
        <v>106443397</v>
      </c>
      <c r="T271" s="15">
        <v>109172762</v>
      </c>
      <c r="U271" s="15">
        <v>106443397</v>
      </c>
      <c r="V271" s="15">
        <v>109172762</v>
      </c>
      <c r="W271" s="15">
        <v>0</v>
      </c>
      <c r="X271" s="15">
        <v>0</v>
      </c>
      <c r="Y271" s="4">
        <v>5173</v>
      </c>
      <c r="Z271" s="4">
        <v>5368</v>
      </c>
      <c r="AA271" s="4">
        <v>3.77</v>
      </c>
      <c r="AB271" s="15">
        <v>21100260</v>
      </c>
      <c r="AC271" s="15">
        <v>19004682</v>
      </c>
      <c r="AD271" s="15">
        <v>2800000</v>
      </c>
      <c r="AE271" s="15">
        <v>2800000</v>
      </c>
      <c r="AF271" s="15">
        <v>5825401</v>
      </c>
      <c r="AG271" s="15">
        <v>6127510</v>
      </c>
      <c r="AH271" s="4">
        <v>4</v>
      </c>
      <c r="AI271" s="6">
        <v>4</v>
      </c>
    </row>
    <row r="272" spans="1:35" x14ac:dyDescent="0.25">
      <c r="A272" s="5" t="str">
        <f>"620803"</f>
        <v>620803</v>
      </c>
      <c r="B272" s="3" t="s">
        <v>586</v>
      </c>
      <c r="C272" s="15">
        <v>47133657</v>
      </c>
      <c r="D272" s="15">
        <v>48988581</v>
      </c>
      <c r="E272" s="4">
        <v>3.94</v>
      </c>
      <c r="F272" s="15">
        <v>29903503</v>
      </c>
      <c r="G272" s="15">
        <v>30636752</v>
      </c>
      <c r="H272" s="15"/>
      <c r="I272" s="15"/>
      <c r="J272" s="15"/>
      <c r="K272" s="15"/>
      <c r="L272" s="15"/>
      <c r="M272" s="15"/>
      <c r="N272" s="15">
        <v>29903503</v>
      </c>
      <c r="O272" s="15">
        <v>30636752</v>
      </c>
      <c r="P272" s="4">
        <v>2.4500000000000002</v>
      </c>
      <c r="Q272" s="15">
        <v>1432596</v>
      </c>
      <c r="R272" s="15">
        <v>1347595</v>
      </c>
      <c r="S272" s="15">
        <v>28470907</v>
      </c>
      <c r="T272" s="15">
        <v>29289157</v>
      </c>
      <c r="U272" s="15">
        <v>28470907</v>
      </c>
      <c r="V272" s="15">
        <v>29289157</v>
      </c>
      <c r="W272" s="15">
        <v>0</v>
      </c>
      <c r="X272" s="15">
        <v>0</v>
      </c>
      <c r="Y272" s="4">
        <v>1735</v>
      </c>
      <c r="Z272" s="4">
        <v>1647</v>
      </c>
      <c r="AA272" s="4">
        <v>-5.07</v>
      </c>
      <c r="AB272" s="15">
        <v>3340173</v>
      </c>
      <c r="AC272" s="15">
        <v>3056495</v>
      </c>
      <c r="AD272" s="15">
        <v>2484044</v>
      </c>
      <c r="AE272" s="15">
        <v>2226000</v>
      </c>
      <c r="AF272" s="15">
        <v>1885347</v>
      </c>
      <c r="AG272" s="15">
        <v>1959543</v>
      </c>
      <c r="AH272" s="4">
        <v>4</v>
      </c>
      <c r="AI272" s="6">
        <v>4</v>
      </c>
    </row>
    <row r="273" spans="1:35" x14ac:dyDescent="0.25">
      <c r="A273" s="5" t="str">
        <f>"440901"</f>
        <v>440901</v>
      </c>
      <c r="B273" s="3" t="s">
        <v>373</v>
      </c>
      <c r="C273" s="15">
        <v>34573467</v>
      </c>
      <c r="D273" s="15">
        <v>35953900</v>
      </c>
      <c r="E273" s="4">
        <v>3.99</v>
      </c>
      <c r="F273" s="15">
        <v>11305952</v>
      </c>
      <c r="G273" s="15">
        <v>11305952</v>
      </c>
      <c r="H273" s="15"/>
      <c r="I273" s="15"/>
      <c r="J273" s="15"/>
      <c r="K273" s="15"/>
      <c r="L273" s="15">
        <v>0</v>
      </c>
      <c r="M273" s="15">
        <v>0</v>
      </c>
      <c r="N273" s="15">
        <v>11305952</v>
      </c>
      <c r="O273" s="15">
        <v>11305952</v>
      </c>
      <c r="P273" s="4">
        <v>0</v>
      </c>
      <c r="Q273" s="15">
        <v>745009</v>
      </c>
      <c r="R273" s="15">
        <v>850222</v>
      </c>
      <c r="S273" s="15">
        <v>10560943</v>
      </c>
      <c r="T273" s="15">
        <v>10772162</v>
      </c>
      <c r="U273" s="15">
        <v>10560943</v>
      </c>
      <c r="V273" s="15">
        <v>10455730</v>
      </c>
      <c r="W273" s="15">
        <v>0</v>
      </c>
      <c r="X273" s="15">
        <v>316432</v>
      </c>
      <c r="Y273" s="4">
        <v>975</v>
      </c>
      <c r="Z273" s="4">
        <v>961</v>
      </c>
      <c r="AA273" s="4">
        <v>-1.44</v>
      </c>
      <c r="AB273" s="15">
        <v>8083734</v>
      </c>
      <c r="AC273" s="15">
        <v>8250000</v>
      </c>
      <c r="AD273" s="15">
        <v>0</v>
      </c>
      <c r="AE273" s="15">
        <v>0</v>
      </c>
      <c r="AF273" s="15">
        <v>7830760</v>
      </c>
      <c r="AG273" s="15">
        <v>8000000</v>
      </c>
      <c r="AH273" s="4">
        <v>22.65</v>
      </c>
      <c r="AI273" s="6">
        <v>22.25</v>
      </c>
    </row>
    <row r="274" spans="1:35" x14ac:dyDescent="0.25">
      <c r="A274" s="5" t="str">
        <f>"261101"</f>
        <v>261101</v>
      </c>
      <c r="B274" s="3" t="s">
        <v>249</v>
      </c>
      <c r="C274" s="15">
        <v>87378298</v>
      </c>
      <c r="D274" s="15">
        <v>91986886</v>
      </c>
      <c r="E274" s="4">
        <v>5.27</v>
      </c>
      <c r="F274" s="15">
        <v>41667602</v>
      </c>
      <c r="G274" s="15">
        <v>42655065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41667602</v>
      </c>
      <c r="O274" s="15">
        <v>42655065</v>
      </c>
      <c r="P274" s="4">
        <v>2.37</v>
      </c>
      <c r="Q274" s="15">
        <v>835146</v>
      </c>
      <c r="R274" s="15">
        <v>839381</v>
      </c>
      <c r="S274" s="15">
        <v>40832456</v>
      </c>
      <c r="T274" s="15">
        <v>42183039</v>
      </c>
      <c r="U274" s="15">
        <v>40832456</v>
      </c>
      <c r="V274" s="15">
        <v>41815684</v>
      </c>
      <c r="W274" s="15">
        <v>0</v>
      </c>
      <c r="X274" s="15">
        <v>367355</v>
      </c>
      <c r="Y274" s="4">
        <v>4127</v>
      </c>
      <c r="Z274" s="4">
        <v>4095</v>
      </c>
      <c r="AA274" s="4">
        <v>-0.78</v>
      </c>
      <c r="AB274" s="15">
        <v>13145668</v>
      </c>
      <c r="AC274" s="15">
        <v>13146818</v>
      </c>
      <c r="AD274" s="15">
        <v>557108</v>
      </c>
      <c r="AE274" s="15">
        <v>281834</v>
      </c>
      <c r="AF274" s="15">
        <v>3495132</v>
      </c>
      <c r="AG274" s="15">
        <v>3679475</v>
      </c>
      <c r="AH274" s="4">
        <v>4</v>
      </c>
      <c r="AI274" s="6">
        <v>4</v>
      </c>
    </row>
    <row r="275" spans="1:35" x14ac:dyDescent="0.25">
      <c r="A275" s="5" t="str">
        <f>"041401"</f>
        <v>041401</v>
      </c>
      <c r="B275" s="3" t="s">
        <v>40</v>
      </c>
      <c r="C275" s="15">
        <v>10957800</v>
      </c>
      <c r="D275" s="15">
        <v>11263400</v>
      </c>
      <c r="E275" s="4">
        <v>2.79</v>
      </c>
      <c r="F275" s="15">
        <v>2134769</v>
      </c>
      <c r="G275" s="15">
        <v>2174204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2134769</v>
      </c>
      <c r="O275" s="15">
        <v>2174204</v>
      </c>
      <c r="P275" s="4">
        <v>1.85</v>
      </c>
      <c r="Q275" s="15">
        <v>2134769</v>
      </c>
      <c r="R275" s="15">
        <v>2174204</v>
      </c>
      <c r="S275" s="15">
        <v>54487</v>
      </c>
      <c r="T275" s="15">
        <v>48651</v>
      </c>
      <c r="U275" s="15">
        <v>0</v>
      </c>
      <c r="V275" s="15">
        <v>0</v>
      </c>
      <c r="W275" s="15">
        <v>54487</v>
      </c>
      <c r="X275" s="15">
        <v>48651</v>
      </c>
      <c r="Y275" s="4">
        <v>391</v>
      </c>
      <c r="Z275" s="4">
        <v>376</v>
      </c>
      <c r="AA275" s="4">
        <v>-3.84</v>
      </c>
      <c r="AB275" s="15">
        <v>1119818</v>
      </c>
      <c r="AC275" s="15">
        <v>1292586</v>
      </c>
      <c r="AD275" s="15">
        <v>500000</v>
      </c>
      <c r="AE275" s="15">
        <v>748000</v>
      </c>
      <c r="AF275" s="15">
        <v>2245669</v>
      </c>
      <c r="AG275" s="15">
        <v>1797669</v>
      </c>
      <c r="AH275" s="4">
        <v>20.49</v>
      </c>
      <c r="AI275" s="6">
        <v>15.96</v>
      </c>
    </row>
    <row r="276" spans="1:35" x14ac:dyDescent="0.25">
      <c r="A276" s="5" t="str">
        <f>"141701"</f>
        <v>141701</v>
      </c>
      <c r="B276" s="3" t="s">
        <v>146</v>
      </c>
      <c r="C276" s="15">
        <v>21298700</v>
      </c>
      <c r="D276" s="15">
        <v>21506806</v>
      </c>
      <c r="E276" s="4">
        <v>0.98</v>
      </c>
      <c r="F276" s="15">
        <v>7935126</v>
      </c>
      <c r="G276" s="15">
        <v>8172386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7935126</v>
      </c>
      <c r="O276" s="15">
        <v>8172386</v>
      </c>
      <c r="P276" s="4">
        <v>2.99</v>
      </c>
      <c r="Q276" s="15">
        <v>113049</v>
      </c>
      <c r="R276" s="15">
        <v>219962</v>
      </c>
      <c r="S276" s="15">
        <v>7822077</v>
      </c>
      <c r="T276" s="15">
        <v>8248662</v>
      </c>
      <c r="U276" s="15">
        <v>7822077</v>
      </c>
      <c r="V276" s="15">
        <v>7952424</v>
      </c>
      <c r="W276" s="15">
        <v>0</v>
      </c>
      <c r="X276" s="15">
        <v>296238</v>
      </c>
      <c r="Y276" s="4">
        <v>787</v>
      </c>
      <c r="Z276" s="4">
        <v>766</v>
      </c>
      <c r="AA276" s="4">
        <v>-2.67</v>
      </c>
      <c r="AB276" s="15">
        <v>2666600</v>
      </c>
      <c r="AC276" s="15">
        <v>2866600</v>
      </c>
      <c r="AD276" s="15">
        <v>628703</v>
      </c>
      <c r="AE276" s="15">
        <v>500000</v>
      </c>
      <c r="AF276" s="15">
        <v>884462</v>
      </c>
      <c r="AG276" s="15">
        <v>860272</v>
      </c>
      <c r="AH276" s="4">
        <v>4.1500000000000004</v>
      </c>
      <c r="AI276" s="6">
        <v>4</v>
      </c>
    </row>
    <row r="277" spans="1:35" x14ac:dyDescent="0.25">
      <c r="A277" s="5" t="str">
        <f>"412201"</f>
        <v>412201</v>
      </c>
      <c r="B277" s="3" t="s">
        <v>337</v>
      </c>
      <c r="C277" s="15">
        <v>36816639</v>
      </c>
      <c r="D277" s="15">
        <v>37990863</v>
      </c>
      <c r="E277" s="4">
        <v>3.19</v>
      </c>
      <c r="F277" s="15">
        <v>13482885</v>
      </c>
      <c r="G277" s="15">
        <v>13779637</v>
      </c>
      <c r="H277" s="15">
        <v>30000</v>
      </c>
      <c r="I277" s="15">
        <v>30000</v>
      </c>
      <c r="J277" s="15">
        <v>0</v>
      </c>
      <c r="K277" s="15">
        <v>0</v>
      </c>
      <c r="L277" s="15">
        <v>0</v>
      </c>
      <c r="M277" s="15">
        <v>0</v>
      </c>
      <c r="N277" s="15">
        <v>13512885</v>
      </c>
      <c r="O277" s="15">
        <v>13809637</v>
      </c>
      <c r="P277" s="4">
        <v>2.2000000000000002</v>
      </c>
      <c r="Q277" s="15">
        <v>574278</v>
      </c>
      <c r="R277" s="15">
        <v>539731</v>
      </c>
      <c r="S277" s="15">
        <v>12908607</v>
      </c>
      <c r="T277" s="15">
        <v>13239906</v>
      </c>
      <c r="U277" s="15">
        <v>12908607</v>
      </c>
      <c r="V277" s="15">
        <v>13239906</v>
      </c>
      <c r="W277" s="15">
        <v>0</v>
      </c>
      <c r="X277" s="15">
        <v>0</v>
      </c>
      <c r="Y277" s="4">
        <v>1239</v>
      </c>
      <c r="Z277" s="4">
        <v>1232</v>
      </c>
      <c r="AA277" s="4">
        <v>-0.56000000000000005</v>
      </c>
      <c r="AB277" s="15">
        <v>12954255</v>
      </c>
      <c r="AC277" s="15">
        <v>11854255</v>
      </c>
      <c r="AD277" s="15">
        <v>2000000</v>
      </c>
      <c r="AE277" s="15">
        <v>2000000</v>
      </c>
      <c r="AF277" s="15">
        <v>3335635</v>
      </c>
      <c r="AG277" s="15">
        <v>1519635</v>
      </c>
      <c r="AH277" s="4">
        <v>9.06</v>
      </c>
      <c r="AI277" s="6">
        <v>4</v>
      </c>
    </row>
    <row r="278" spans="1:35" x14ac:dyDescent="0.25">
      <c r="A278" s="5" t="str">
        <f>"450704"</f>
        <v>450704</v>
      </c>
      <c r="B278" s="3" t="s">
        <v>387</v>
      </c>
      <c r="C278" s="15">
        <v>26150000</v>
      </c>
      <c r="D278" s="15">
        <v>26982000</v>
      </c>
      <c r="E278" s="4">
        <v>3.18</v>
      </c>
      <c r="F278" s="15">
        <v>7572763</v>
      </c>
      <c r="G278" s="15">
        <v>7720432</v>
      </c>
      <c r="H278" s="15"/>
      <c r="I278" s="15"/>
      <c r="J278" s="15"/>
      <c r="K278" s="15"/>
      <c r="L278" s="15"/>
      <c r="M278" s="15"/>
      <c r="N278" s="15">
        <v>7572763</v>
      </c>
      <c r="O278" s="15">
        <v>7720432</v>
      </c>
      <c r="P278" s="4">
        <v>1.95</v>
      </c>
      <c r="Q278" s="15">
        <v>0</v>
      </c>
      <c r="R278" s="15">
        <v>0</v>
      </c>
      <c r="S278" s="15">
        <v>7572763</v>
      </c>
      <c r="T278" s="15">
        <v>7720432</v>
      </c>
      <c r="U278" s="15">
        <v>7572763</v>
      </c>
      <c r="V278" s="15">
        <v>7720432</v>
      </c>
      <c r="W278" s="15">
        <v>0</v>
      </c>
      <c r="X278" s="15">
        <v>0</v>
      </c>
      <c r="Y278" s="4">
        <v>971</v>
      </c>
      <c r="Z278" s="4">
        <v>971</v>
      </c>
      <c r="AA278" s="4">
        <v>0</v>
      </c>
      <c r="AB278" s="15">
        <v>6693480</v>
      </c>
      <c r="AC278" s="15">
        <v>7200000</v>
      </c>
      <c r="AD278" s="15">
        <v>950000</v>
      </c>
      <c r="AE278" s="15">
        <v>500000</v>
      </c>
      <c r="AF278" s="15">
        <v>1079280</v>
      </c>
      <c r="AG278" s="15">
        <v>1100000</v>
      </c>
      <c r="AH278" s="4">
        <v>4.13</v>
      </c>
      <c r="AI278" s="6">
        <v>4.08</v>
      </c>
    </row>
    <row r="279" spans="1:35" x14ac:dyDescent="0.25">
      <c r="A279" s="5" t="str">
        <f>"110701"</f>
        <v>110701</v>
      </c>
      <c r="B279" s="3" t="s">
        <v>101</v>
      </c>
      <c r="C279" s="15">
        <v>44266152</v>
      </c>
      <c r="D279" s="15">
        <v>44387420</v>
      </c>
      <c r="E279" s="4">
        <v>0.27</v>
      </c>
      <c r="F279" s="15">
        <v>17027266</v>
      </c>
      <c r="G279" s="15">
        <v>17027266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17027266</v>
      </c>
      <c r="O279" s="15">
        <v>17027266</v>
      </c>
      <c r="P279" s="4">
        <v>0</v>
      </c>
      <c r="Q279" s="15">
        <v>0</v>
      </c>
      <c r="R279" s="15">
        <v>0</v>
      </c>
      <c r="S279" s="15">
        <v>17395874</v>
      </c>
      <c r="T279" s="15">
        <v>17679744</v>
      </c>
      <c r="U279" s="15">
        <v>17027266</v>
      </c>
      <c r="V279" s="15">
        <v>17027266</v>
      </c>
      <c r="W279" s="15">
        <v>368608</v>
      </c>
      <c r="X279" s="15">
        <v>652478</v>
      </c>
      <c r="Y279" s="4">
        <v>1856</v>
      </c>
      <c r="Z279" s="4">
        <v>1838</v>
      </c>
      <c r="AA279" s="4">
        <v>-0.97</v>
      </c>
      <c r="AB279" s="15">
        <v>4821940</v>
      </c>
      <c r="AC279" s="15">
        <v>4721940</v>
      </c>
      <c r="AD279" s="15">
        <v>680000</v>
      </c>
      <c r="AE279" s="15">
        <v>680000</v>
      </c>
      <c r="AF279" s="15">
        <v>1770646</v>
      </c>
      <c r="AG279" s="15">
        <v>1775497</v>
      </c>
      <c r="AH279" s="4">
        <v>4</v>
      </c>
      <c r="AI279" s="6">
        <v>4</v>
      </c>
    </row>
    <row r="280" spans="1:35" x14ac:dyDescent="0.25">
      <c r="A280" s="5" t="str">
        <f>"431401"</f>
        <v>431401</v>
      </c>
      <c r="B280" s="3" t="s">
        <v>366</v>
      </c>
      <c r="C280" s="15">
        <v>18556436</v>
      </c>
      <c r="D280" s="15">
        <v>18881815</v>
      </c>
      <c r="E280" s="4">
        <v>1.75</v>
      </c>
      <c r="F280" s="15">
        <v>9539312</v>
      </c>
      <c r="G280" s="15">
        <v>9863649</v>
      </c>
      <c r="H280" s="15"/>
      <c r="I280" s="15"/>
      <c r="J280" s="15"/>
      <c r="K280" s="15"/>
      <c r="L280" s="15"/>
      <c r="M280" s="15"/>
      <c r="N280" s="15">
        <v>9539312</v>
      </c>
      <c r="O280" s="15">
        <v>9863649</v>
      </c>
      <c r="P280" s="4">
        <v>3.4</v>
      </c>
      <c r="Q280" s="15">
        <v>54539</v>
      </c>
      <c r="R280" s="15">
        <v>11548</v>
      </c>
      <c r="S280" s="15">
        <v>9744666</v>
      </c>
      <c r="T280" s="15">
        <v>9901316</v>
      </c>
      <c r="U280" s="15">
        <v>9484773</v>
      </c>
      <c r="V280" s="15">
        <v>9852101</v>
      </c>
      <c r="W280" s="15">
        <v>259893</v>
      </c>
      <c r="X280" s="15">
        <v>49215</v>
      </c>
      <c r="Y280" s="4">
        <v>564</v>
      </c>
      <c r="Z280" s="4">
        <v>574</v>
      </c>
      <c r="AA280" s="4">
        <v>1.77</v>
      </c>
      <c r="AB280" s="15">
        <v>6704350</v>
      </c>
      <c r="AC280" s="15">
        <v>7722202</v>
      </c>
      <c r="AD280" s="15">
        <v>462230</v>
      </c>
      <c r="AE280" s="15">
        <v>365331</v>
      </c>
      <c r="AF280" s="15">
        <v>742257</v>
      </c>
      <c r="AG280" s="15">
        <v>755273</v>
      </c>
      <c r="AH280" s="4">
        <v>4</v>
      </c>
      <c r="AI280" s="6">
        <v>4</v>
      </c>
    </row>
    <row r="281" spans="1:35" x14ac:dyDescent="0.25">
      <c r="A281" s="5" t="str">
        <f>"260901"</f>
        <v>260901</v>
      </c>
      <c r="B281" s="3" t="s">
        <v>247</v>
      </c>
      <c r="C281" s="15">
        <v>55489110</v>
      </c>
      <c r="D281" s="15">
        <v>57224420</v>
      </c>
      <c r="E281" s="4">
        <v>3.13</v>
      </c>
      <c r="F281" s="15">
        <v>30899655</v>
      </c>
      <c r="G281" s="15">
        <v>31507000</v>
      </c>
      <c r="H281" s="15"/>
      <c r="I281" s="15"/>
      <c r="J281" s="15"/>
      <c r="K281" s="15"/>
      <c r="L281" s="15"/>
      <c r="M281" s="15"/>
      <c r="N281" s="15">
        <v>30899655</v>
      </c>
      <c r="O281" s="15">
        <v>31507000</v>
      </c>
      <c r="P281" s="4">
        <v>1.97</v>
      </c>
      <c r="Q281" s="15">
        <v>265052</v>
      </c>
      <c r="R281" s="15">
        <v>156228</v>
      </c>
      <c r="S281" s="15">
        <v>30634679</v>
      </c>
      <c r="T281" s="15">
        <v>31350773</v>
      </c>
      <c r="U281" s="15">
        <v>30634603</v>
      </c>
      <c r="V281" s="15">
        <v>31350772</v>
      </c>
      <c r="W281" s="15">
        <v>76</v>
      </c>
      <c r="X281" s="15">
        <v>1</v>
      </c>
      <c r="Y281" s="4">
        <v>2070</v>
      </c>
      <c r="Z281" s="4">
        <v>2042</v>
      </c>
      <c r="AA281" s="4">
        <v>-1.35</v>
      </c>
      <c r="AB281" s="15">
        <v>10764916</v>
      </c>
      <c r="AC281" s="15">
        <v>12862389</v>
      </c>
      <c r="AD281" s="15">
        <v>1317364</v>
      </c>
      <c r="AE281" s="15">
        <v>840000</v>
      </c>
      <c r="AF281" s="15">
        <v>2219564</v>
      </c>
      <c r="AG281" s="15">
        <v>2288977</v>
      </c>
      <c r="AH281" s="4">
        <v>4</v>
      </c>
      <c r="AI281" s="6">
        <v>4</v>
      </c>
    </row>
    <row r="282" spans="1:35" x14ac:dyDescent="0.25">
      <c r="A282" s="5" t="str">
        <f>"491401"</f>
        <v>491401</v>
      </c>
      <c r="B282" s="3" t="s">
        <v>427</v>
      </c>
      <c r="C282" s="15">
        <v>22581184</v>
      </c>
      <c r="D282" s="15">
        <v>23569226</v>
      </c>
      <c r="E282" s="4">
        <v>4.38</v>
      </c>
      <c r="F282" s="15">
        <v>8486463</v>
      </c>
      <c r="G282" s="15">
        <v>8739360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8486463</v>
      </c>
      <c r="O282" s="15">
        <v>8739360</v>
      </c>
      <c r="P282" s="4">
        <v>2.98</v>
      </c>
      <c r="Q282" s="15">
        <v>0</v>
      </c>
      <c r="R282" s="15">
        <v>0</v>
      </c>
      <c r="S282" s="15">
        <v>8685906</v>
      </c>
      <c r="T282" s="15">
        <v>8832211</v>
      </c>
      <c r="U282" s="15">
        <v>8486463</v>
      </c>
      <c r="V282" s="15">
        <v>8739360</v>
      </c>
      <c r="W282" s="15">
        <v>199443</v>
      </c>
      <c r="X282" s="15">
        <v>92851</v>
      </c>
      <c r="Y282" s="4">
        <v>911</v>
      </c>
      <c r="Z282" s="4">
        <v>907</v>
      </c>
      <c r="AA282" s="4">
        <v>-0.44</v>
      </c>
      <c r="AB282" s="15">
        <v>8129901</v>
      </c>
      <c r="AC282" s="15">
        <v>8130431</v>
      </c>
      <c r="AD282" s="15">
        <v>642005</v>
      </c>
      <c r="AE282" s="15">
        <v>995808</v>
      </c>
      <c r="AF282" s="15">
        <v>1248697</v>
      </c>
      <c r="AG282" s="15">
        <v>821580</v>
      </c>
      <c r="AH282" s="4">
        <v>5.53</v>
      </c>
      <c r="AI282" s="6">
        <v>3.49</v>
      </c>
    </row>
    <row r="283" spans="1:35" x14ac:dyDescent="0.25">
      <c r="A283" s="5" t="str">
        <f>"490501"</f>
        <v>490501</v>
      </c>
      <c r="B283" s="3" t="s">
        <v>421</v>
      </c>
      <c r="C283" s="15">
        <v>24061805</v>
      </c>
      <c r="D283" s="15">
        <v>25348933</v>
      </c>
      <c r="E283" s="4">
        <v>5.35</v>
      </c>
      <c r="F283" s="15">
        <v>9785711</v>
      </c>
      <c r="G283" s="15">
        <v>9977511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9785711</v>
      </c>
      <c r="O283" s="15">
        <v>9977511</v>
      </c>
      <c r="P283" s="4">
        <v>1.96</v>
      </c>
      <c r="Q283" s="15">
        <v>122655</v>
      </c>
      <c r="R283" s="15">
        <v>159382</v>
      </c>
      <c r="S283" s="15">
        <v>9663056</v>
      </c>
      <c r="T283" s="15">
        <v>9818129</v>
      </c>
      <c r="U283" s="15">
        <v>9663056</v>
      </c>
      <c r="V283" s="15">
        <v>9818129</v>
      </c>
      <c r="W283" s="15">
        <v>0</v>
      </c>
      <c r="X283" s="15">
        <v>0</v>
      </c>
      <c r="Y283" s="4">
        <v>1046</v>
      </c>
      <c r="Z283" s="4">
        <v>1041</v>
      </c>
      <c r="AA283" s="4">
        <v>-0.48</v>
      </c>
      <c r="AB283" s="15">
        <v>6473290</v>
      </c>
      <c r="AC283" s="15">
        <v>6440304</v>
      </c>
      <c r="AD283" s="15">
        <v>1618728</v>
      </c>
      <c r="AE283" s="15">
        <v>1465160</v>
      </c>
      <c r="AF283" s="15">
        <v>958925</v>
      </c>
      <c r="AG283" s="15">
        <v>991911</v>
      </c>
      <c r="AH283" s="4">
        <v>3.99</v>
      </c>
      <c r="AI283" s="6">
        <v>3.91</v>
      </c>
    </row>
    <row r="284" spans="1:35" x14ac:dyDescent="0.25">
      <c r="A284" s="5" t="str">
        <f>"571800"</f>
        <v>571800</v>
      </c>
      <c r="B284" s="3" t="s">
        <v>492</v>
      </c>
      <c r="C284" s="15">
        <v>39843578</v>
      </c>
      <c r="D284" s="15">
        <v>40039187</v>
      </c>
      <c r="E284" s="4">
        <v>0.49</v>
      </c>
      <c r="F284" s="15">
        <v>7279976</v>
      </c>
      <c r="G284" s="15">
        <v>7377393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7279976</v>
      </c>
      <c r="O284" s="15">
        <v>7377393</v>
      </c>
      <c r="P284" s="4">
        <v>1.34</v>
      </c>
      <c r="Q284" s="15">
        <v>0</v>
      </c>
      <c r="R284" s="15">
        <v>0</v>
      </c>
      <c r="S284" s="15">
        <v>7284083</v>
      </c>
      <c r="T284" s="15">
        <v>7379272</v>
      </c>
      <c r="U284" s="15">
        <v>7279976</v>
      </c>
      <c r="V284" s="15">
        <v>7377393</v>
      </c>
      <c r="W284" s="15">
        <v>4107</v>
      </c>
      <c r="X284" s="15">
        <v>1879</v>
      </c>
      <c r="Y284" s="4">
        <v>1493</v>
      </c>
      <c r="Z284" s="4">
        <v>1457</v>
      </c>
      <c r="AA284" s="4">
        <v>-2.41</v>
      </c>
      <c r="AB284" s="15">
        <v>18274432</v>
      </c>
      <c r="AC284" s="15">
        <v>19921432</v>
      </c>
      <c r="AD284" s="15">
        <v>328173</v>
      </c>
      <c r="AE284" s="15">
        <v>300000</v>
      </c>
      <c r="AF284" s="15">
        <v>3861807</v>
      </c>
      <c r="AG284" s="15">
        <v>1601567</v>
      </c>
      <c r="AH284" s="4">
        <v>9.69</v>
      </c>
      <c r="AI284" s="6">
        <v>4</v>
      </c>
    </row>
    <row r="285" spans="1:35" x14ac:dyDescent="0.25">
      <c r="A285" s="5" t="str">
        <f>"070901"</f>
        <v>070901</v>
      </c>
      <c r="B285" s="3" t="s">
        <v>74</v>
      </c>
      <c r="C285" s="15">
        <v>85642743</v>
      </c>
      <c r="D285" s="15">
        <v>88470543</v>
      </c>
      <c r="E285" s="4">
        <v>3.3</v>
      </c>
      <c r="F285" s="15">
        <v>40576771</v>
      </c>
      <c r="G285" s="15">
        <v>41781717</v>
      </c>
      <c r="H285" s="15"/>
      <c r="I285" s="15"/>
      <c r="J285" s="15"/>
      <c r="K285" s="15"/>
      <c r="L285" s="15"/>
      <c r="M285" s="15"/>
      <c r="N285" s="15">
        <v>40576771</v>
      </c>
      <c r="O285" s="15">
        <v>41781717</v>
      </c>
      <c r="P285" s="4">
        <v>2.97</v>
      </c>
      <c r="Q285" s="15">
        <v>0</v>
      </c>
      <c r="R285" s="15">
        <v>0</v>
      </c>
      <c r="S285" s="15">
        <v>40576771</v>
      </c>
      <c r="T285" s="15">
        <v>41781717</v>
      </c>
      <c r="U285" s="15">
        <v>40576771</v>
      </c>
      <c r="V285" s="15">
        <v>41781717</v>
      </c>
      <c r="W285" s="15">
        <v>0</v>
      </c>
      <c r="X285" s="15">
        <v>0</v>
      </c>
      <c r="Y285" s="4">
        <v>3583</v>
      </c>
      <c r="Z285" s="4">
        <v>3543</v>
      </c>
      <c r="AA285" s="4">
        <v>-1.1200000000000001</v>
      </c>
      <c r="AB285" s="15">
        <v>15609577</v>
      </c>
      <c r="AC285" s="15">
        <v>7010410</v>
      </c>
      <c r="AD285" s="15">
        <v>1000000</v>
      </c>
      <c r="AE285" s="15">
        <v>1000000</v>
      </c>
      <c r="AF285" s="15">
        <v>3425710</v>
      </c>
      <c r="AG285" s="15">
        <v>3538822</v>
      </c>
      <c r="AH285" s="4">
        <v>4</v>
      </c>
      <c r="AI285" s="6">
        <v>4</v>
      </c>
    </row>
    <row r="286" spans="1:35" x14ac:dyDescent="0.25">
      <c r="A286" s="5" t="str">
        <f>"101300"</f>
        <v>101300</v>
      </c>
      <c r="B286" s="3" t="s">
        <v>95</v>
      </c>
      <c r="C286" s="15">
        <v>52244404</v>
      </c>
      <c r="D286" s="15">
        <v>54124931</v>
      </c>
      <c r="E286" s="4">
        <v>3.6</v>
      </c>
      <c r="F286" s="15">
        <v>24469462</v>
      </c>
      <c r="G286" s="15">
        <v>24958851</v>
      </c>
      <c r="H286" s="15"/>
      <c r="I286" s="15"/>
      <c r="J286" s="15"/>
      <c r="K286" s="15"/>
      <c r="L286" s="15"/>
      <c r="M286" s="15"/>
      <c r="N286" s="15">
        <v>24469462</v>
      </c>
      <c r="O286" s="15">
        <v>24958851</v>
      </c>
      <c r="P286" s="4">
        <v>2</v>
      </c>
      <c r="Q286" s="15">
        <v>547961</v>
      </c>
      <c r="R286" s="15">
        <v>935259</v>
      </c>
      <c r="S286" s="15">
        <v>24469462</v>
      </c>
      <c r="T286" s="15">
        <v>24651505</v>
      </c>
      <c r="U286" s="15">
        <v>23921501</v>
      </c>
      <c r="V286" s="15">
        <v>24023592</v>
      </c>
      <c r="W286" s="15">
        <v>547961</v>
      </c>
      <c r="X286" s="15">
        <v>627913</v>
      </c>
      <c r="Y286" s="4">
        <v>1670</v>
      </c>
      <c r="Z286" s="4">
        <v>1651</v>
      </c>
      <c r="AA286" s="4">
        <v>-1.1399999999999999</v>
      </c>
      <c r="AB286" s="15">
        <v>6758657</v>
      </c>
      <c r="AC286" s="15">
        <v>6800000</v>
      </c>
      <c r="AD286" s="15">
        <v>1397404</v>
      </c>
      <c r="AE286" s="15">
        <v>1350000</v>
      </c>
      <c r="AF286" s="15">
        <v>2089776</v>
      </c>
      <c r="AG286" s="15">
        <v>2164997</v>
      </c>
      <c r="AH286" s="4">
        <v>4</v>
      </c>
      <c r="AI286" s="6">
        <v>4</v>
      </c>
    </row>
    <row r="287" spans="1:35" x14ac:dyDescent="0.25">
      <c r="A287" s="5" t="str">
        <f>"641301"</f>
        <v>641301</v>
      </c>
      <c r="B287" s="3" t="s">
        <v>609</v>
      </c>
      <c r="C287" s="15">
        <v>46327727</v>
      </c>
      <c r="D287" s="15">
        <v>49274802</v>
      </c>
      <c r="E287" s="4">
        <v>6.36</v>
      </c>
      <c r="F287" s="15">
        <v>12703410</v>
      </c>
      <c r="G287" s="15">
        <v>12703410</v>
      </c>
      <c r="H287" s="15"/>
      <c r="I287" s="15"/>
      <c r="J287" s="15"/>
      <c r="K287" s="15"/>
      <c r="L287" s="15"/>
      <c r="M287" s="15"/>
      <c r="N287" s="15">
        <v>12703410</v>
      </c>
      <c r="O287" s="15">
        <v>12703410</v>
      </c>
      <c r="P287" s="4">
        <v>0</v>
      </c>
      <c r="Q287" s="15">
        <v>0</v>
      </c>
      <c r="R287" s="15">
        <v>0</v>
      </c>
      <c r="S287" s="15">
        <v>13109578</v>
      </c>
      <c r="T287" s="15">
        <v>13183785</v>
      </c>
      <c r="U287" s="15">
        <v>12703410</v>
      </c>
      <c r="V287" s="15">
        <v>12703410</v>
      </c>
      <c r="W287" s="15">
        <v>406168</v>
      </c>
      <c r="X287" s="15">
        <v>480375</v>
      </c>
      <c r="Y287" s="4">
        <v>2298</v>
      </c>
      <c r="Z287" s="4">
        <v>2330</v>
      </c>
      <c r="AA287" s="4">
        <v>1.39</v>
      </c>
      <c r="AB287" s="15">
        <v>1414564</v>
      </c>
      <c r="AC287" s="15">
        <v>1580000</v>
      </c>
      <c r="AD287" s="15">
        <v>485952</v>
      </c>
      <c r="AE287" s="15">
        <v>350000</v>
      </c>
      <c r="AF287" s="15">
        <v>3235079</v>
      </c>
      <c r="AG287" s="15">
        <v>3335000</v>
      </c>
      <c r="AH287" s="4">
        <v>6.98</v>
      </c>
      <c r="AI287" s="6">
        <v>6.77</v>
      </c>
    </row>
    <row r="288" spans="1:35" x14ac:dyDescent="0.25">
      <c r="A288" s="5" t="str">
        <f>"190901"</f>
        <v>190901</v>
      </c>
      <c r="B288" s="3" t="s">
        <v>190</v>
      </c>
      <c r="C288" s="15">
        <v>14707960</v>
      </c>
      <c r="D288" s="15">
        <v>14723745</v>
      </c>
      <c r="E288" s="4">
        <v>0.11</v>
      </c>
      <c r="F288" s="15">
        <v>11596182</v>
      </c>
      <c r="G288" s="15">
        <v>11869852</v>
      </c>
      <c r="H288" s="15"/>
      <c r="I288" s="15"/>
      <c r="J288" s="15"/>
      <c r="K288" s="15"/>
      <c r="L288" s="15"/>
      <c r="M288" s="15"/>
      <c r="N288" s="15">
        <v>11596182</v>
      </c>
      <c r="O288" s="15">
        <v>11869852</v>
      </c>
      <c r="P288" s="4">
        <v>2.36</v>
      </c>
      <c r="Q288" s="15">
        <v>1144417</v>
      </c>
      <c r="R288" s="15">
        <v>677534</v>
      </c>
      <c r="S288" s="15">
        <v>10451765</v>
      </c>
      <c r="T288" s="15">
        <v>11192318</v>
      </c>
      <c r="U288" s="15">
        <v>10451765</v>
      </c>
      <c r="V288" s="15">
        <v>11192318</v>
      </c>
      <c r="W288" s="15">
        <v>0</v>
      </c>
      <c r="X288" s="15">
        <v>0</v>
      </c>
      <c r="Y288" s="4">
        <v>343</v>
      </c>
      <c r="Z288" s="4">
        <v>346</v>
      </c>
      <c r="AA288" s="4">
        <v>0.87</v>
      </c>
      <c r="AB288" s="15">
        <v>7005997</v>
      </c>
      <c r="AC288" s="15">
        <v>8720627</v>
      </c>
      <c r="AD288" s="15">
        <v>301102</v>
      </c>
      <c r="AE288" s="15">
        <v>0</v>
      </c>
      <c r="AF288" s="15">
        <v>1961265</v>
      </c>
      <c r="AG288" s="15">
        <v>1765955</v>
      </c>
      <c r="AH288" s="4">
        <v>13.33</v>
      </c>
      <c r="AI288" s="6">
        <v>11.99</v>
      </c>
    </row>
    <row r="289" spans="1:35" x14ac:dyDescent="0.25">
      <c r="A289" s="5" t="str">
        <f>"580403"</f>
        <v>580403</v>
      </c>
      <c r="B289" s="3" t="s">
        <v>528</v>
      </c>
      <c r="C289" s="15">
        <v>139315854</v>
      </c>
      <c r="D289" s="15">
        <v>142968343</v>
      </c>
      <c r="E289" s="4">
        <v>2.62</v>
      </c>
      <c r="F289" s="15">
        <v>112718438</v>
      </c>
      <c r="G289" s="15">
        <v>112718438</v>
      </c>
      <c r="H289" s="15"/>
      <c r="I289" s="15"/>
      <c r="J289" s="15"/>
      <c r="K289" s="15"/>
      <c r="L289" s="15"/>
      <c r="M289" s="15"/>
      <c r="N289" s="15">
        <v>112718438</v>
      </c>
      <c r="O289" s="15">
        <v>112718438</v>
      </c>
      <c r="P289" s="4">
        <v>0</v>
      </c>
      <c r="Q289" s="15">
        <v>92810</v>
      </c>
      <c r="R289" s="15">
        <v>90131</v>
      </c>
      <c r="S289" s="15">
        <v>114341028</v>
      </c>
      <c r="T289" s="15">
        <v>116874398</v>
      </c>
      <c r="U289" s="15">
        <v>112625628</v>
      </c>
      <c r="V289" s="15">
        <v>112628307</v>
      </c>
      <c r="W289" s="15">
        <v>1715400</v>
      </c>
      <c r="X289" s="15">
        <v>4246091</v>
      </c>
      <c r="Y289" s="4">
        <v>4840</v>
      </c>
      <c r="Z289" s="4">
        <v>4834</v>
      </c>
      <c r="AA289" s="4">
        <v>-0.12</v>
      </c>
      <c r="AB289" s="15">
        <v>27032840</v>
      </c>
      <c r="AC289" s="15">
        <v>33303199</v>
      </c>
      <c r="AD289" s="15">
        <v>1600000</v>
      </c>
      <c r="AE289" s="15">
        <v>1000000</v>
      </c>
      <c r="AF289" s="15">
        <v>5572634</v>
      </c>
      <c r="AG289" s="15">
        <v>5718734</v>
      </c>
      <c r="AH289" s="4">
        <v>4</v>
      </c>
      <c r="AI289" s="6">
        <v>4</v>
      </c>
    </row>
    <row r="290" spans="1:35" x14ac:dyDescent="0.25">
      <c r="A290" s="5" t="str">
        <f>"130801"</f>
        <v>130801</v>
      </c>
      <c r="B290" s="3" t="s">
        <v>117</v>
      </c>
      <c r="C290" s="15">
        <v>104489507</v>
      </c>
      <c r="D290" s="15">
        <v>105773963</v>
      </c>
      <c r="E290" s="4">
        <v>1.23</v>
      </c>
      <c r="F290" s="15">
        <v>64099936</v>
      </c>
      <c r="G290" s="15">
        <v>65932726</v>
      </c>
      <c r="H290" s="15"/>
      <c r="I290" s="15"/>
      <c r="J290" s="15"/>
      <c r="K290" s="15"/>
      <c r="L290" s="15"/>
      <c r="M290" s="15"/>
      <c r="N290" s="15">
        <v>64099936</v>
      </c>
      <c r="O290" s="15">
        <v>65932726</v>
      </c>
      <c r="P290" s="4">
        <v>2.86</v>
      </c>
      <c r="Q290" s="15">
        <v>2022999</v>
      </c>
      <c r="R290" s="15">
        <v>2038889</v>
      </c>
      <c r="S290" s="15">
        <v>62076937</v>
      </c>
      <c r="T290" s="15">
        <v>63893837</v>
      </c>
      <c r="U290" s="15">
        <v>62076937</v>
      </c>
      <c r="V290" s="15">
        <v>63893837</v>
      </c>
      <c r="W290" s="15">
        <v>0</v>
      </c>
      <c r="X290" s="15">
        <v>0</v>
      </c>
      <c r="Y290" s="4">
        <v>3449</v>
      </c>
      <c r="Z290" s="4">
        <v>3316</v>
      </c>
      <c r="AA290" s="4">
        <v>-3.86</v>
      </c>
      <c r="AB290" s="15">
        <v>15831311</v>
      </c>
      <c r="AC290" s="15">
        <v>17239190</v>
      </c>
      <c r="AD290" s="15">
        <v>3625188</v>
      </c>
      <c r="AE290" s="15">
        <v>2733653</v>
      </c>
      <c r="AF290" s="15">
        <v>4884012</v>
      </c>
      <c r="AG290" s="15">
        <v>3588359</v>
      </c>
      <c r="AH290" s="4">
        <v>4.67</v>
      </c>
      <c r="AI290" s="6">
        <v>3.39</v>
      </c>
    </row>
    <row r="291" spans="1:35" x14ac:dyDescent="0.25">
      <c r="A291" s="5" t="str">
        <f>"200401"</f>
        <v>200401</v>
      </c>
      <c r="B291" s="3" t="s">
        <v>193</v>
      </c>
      <c r="C291" s="15">
        <v>7144763</v>
      </c>
      <c r="D291" s="15">
        <v>7351311</v>
      </c>
      <c r="E291" s="4">
        <v>2.89</v>
      </c>
      <c r="F291" s="15">
        <v>5323763</v>
      </c>
      <c r="G291" s="15">
        <v>5530311</v>
      </c>
      <c r="H291" s="15"/>
      <c r="I291" s="15"/>
      <c r="J291" s="15"/>
      <c r="K291" s="15"/>
      <c r="L291" s="15"/>
      <c r="M291" s="15"/>
      <c r="N291" s="15">
        <v>5323763</v>
      </c>
      <c r="O291" s="15">
        <v>5530311</v>
      </c>
      <c r="P291" s="4">
        <v>3.88</v>
      </c>
      <c r="Q291" s="15">
        <v>362917</v>
      </c>
      <c r="R291" s="15">
        <v>425509</v>
      </c>
      <c r="S291" s="15">
        <v>4960982</v>
      </c>
      <c r="T291" s="15">
        <v>5105134</v>
      </c>
      <c r="U291" s="15">
        <v>4960846</v>
      </c>
      <c r="V291" s="15">
        <v>5104802</v>
      </c>
      <c r="W291" s="15">
        <v>136</v>
      </c>
      <c r="X291" s="15">
        <v>332</v>
      </c>
      <c r="Y291" s="4">
        <v>115</v>
      </c>
      <c r="Z291" s="4">
        <v>118</v>
      </c>
      <c r="AA291" s="4">
        <v>2.61</v>
      </c>
      <c r="AB291" s="15">
        <v>884857</v>
      </c>
      <c r="AC291" s="15">
        <v>964903</v>
      </c>
      <c r="AD291" s="15">
        <v>900000</v>
      </c>
      <c r="AE291" s="15">
        <v>2200000</v>
      </c>
      <c r="AF291" s="15">
        <v>2111046</v>
      </c>
      <c r="AG291" s="15">
        <v>831046</v>
      </c>
      <c r="AH291" s="4">
        <v>29.55</v>
      </c>
      <c r="AI291" s="6">
        <v>11.3</v>
      </c>
    </row>
    <row r="292" spans="1:35" x14ac:dyDescent="0.25">
      <c r="A292" s="5" t="str">
        <f>"220301"</f>
        <v>220301</v>
      </c>
      <c r="B292" s="3" t="s">
        <v>210</v>
      </c>
      <c r="C292" s="15">
        <v>89921500</v>
      </c>
      <c r="D292" s="15">
        <v>92039518</v>
      </c>
      <c r="E292" s="4">
        <v>2.36</v>
      </c>
      <c r="F292" s="15">
        <v>2583574</v>
      </c>
      <c r="G292" s="15">
        <v>2615900</v>
      </c>
      <c r="H292" s="15"/>
      <c r="I292" s="15"/>
      <c r="J292" s="15"/>
      <c r="K292" s="15"/>
      <c r="L292" s="15"/>
      <c r="M292" s="15"/>
      <c r="N292" s="15">
        <v>2583574</v>
      </c>
      <c r="O292" s="15">
        <v>2615900</v>
      </c>
      <c r="P292" s="4">
        <v>1.25</v>
      </c>
      <c r="Q292" s="15">
        <v>1176223</v>
      </c>
      <c r="R292" s="15">
        <v>1223558</v>
      </c>
      <c r="S292" s="15">
        <v>1680156</v>
      </c>
      <c r="T292" s="15">
        <v>1419404</v>
      </c>
      <c r="U292" s="15">
        <v>1407351</v>
      </c>
      <c r="V292" s="15">
        <v>1392342</v>
      </c>
      <c r="W292" s="15">
        <v>272805</v>
      </c>
      <c r="X292" s="15">
        <v>27062</v>
      </c>
      <c r="Y292" s="4">
        <v>3528</v>
      </c>
      <c r="Z292" s="4">
        <v>3699</v>
      </c>
      <c r="AA292" s="4">
        <v>4.8499999999999996</v>
      </c>
      <c r="AB292" s="15">
        <v>18988913</v>
      </c>
      <c r="AC292" s="15">
        <v>29835830</v>
      </c>
      <c r="AD292" s="15">
        <v>18508054</v>
      </c>
      <c r="AE292" s="15">
        <v>6863776</v>
      </c>
      <c r="AF292" s="15">
        <v>9249066</v>
      </c>
      <c r="AG292" s="15">
        <v>8125943</v>
      </c>
      <c r="AH292" s="4">
        <v>10.29</v>
      </c>
      <c r="AI292" s="6">
        <v>8.83</v>
      </c>
    </row>
    <row r="293" spans="1:35" x14ac:dyDescent="0.25">
      <c r="A293" s="5" t="str">
        <f>"141301"</f>
        <v>141301</v>
      </c>
      <c r="B293" s="3" t="s">
        <v>141</v>
      </c>
      <c r="C293" s="15">
        <v>53807898</v>
      </c>
      <c r="D293" s="15">
        <v>54987552</v>
      </c>
      <c r="E293" s="4">
        <v>2.19</v>
      </c>
      <c r="F293" s="15">
        <v>31689268</v>
      </c>
      <c r="G293" s="15">
        <v>32483370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31689268</v>
      </c>
      <c r="O293" s="15">
        <v>32483370</v>
      </c>
      <c r="P293" s="4">
        <v>2.5099999999999998</v>
      </c>
      <c r="Q293" s="15">
        <v>37557</v>
      </c>
      <c r="R293" s="15">
        <v>0</v>
      </c>
      <c r="S293" s="15">
        <v>31651711</v>
      </c>
      <c r="T293" s="15">
        <v>32483370</v>
      </c>
      <c r="U293" s="15">
        <v>31651711</v>
      </c>
      <c r="V293" s="15">
        <v>32483370</v>
      </c>
      <c r="W293" s="15">
        <v>0</v>
      </c>
      <c r="X293" s="15">
        <v>0</v>
      </c>
      <c r="Y293" s="4">
        <v>2059</v>
      </c>
      <c r="Z293" s="4">
        <v>2071</v>
      </c>
      <c r="AA293" s="4">
        <v>0.57999999999999996</v>
      </c>
      <c r="AB293" s="15">
        <v>4614070</v>
      </c>
      <c r="AC293" s="15">
        <v>5624470</v>
      </c>
      <c r="AD293" s="15">
        <v>1773612</v>
      </c>
      <c r="AE293" s="15">
        <v>1773612</v>
      </c>
      <c r="AF293" s="15">
        <v>2156376</v>
      </c>
      <c r="AG293" s="15">
        <v>2199382</v>
      </c>
      <c r="AH293" s="4">
        <v>4.01</v>
      </c>
      <c r="AI293" s="6">
        <v>4</v>
      </c>
    </row>
    <row r="294" spans="1:35" x14ac:dyDescent="0.25">
      <c r="A294" s="5" t="str">
        <f>"660402"</f>
        <v>660402</v>
      </c>
      <c r="B294" s="3" t="s">
        <v>633</v>
      </c>
      <c r="C294" s="15">
        <v>66361700</v>
      </c>
      <c r="D294" s="15">
        <v>68475000</v>
      </c>
      <c r="E294" s="4">
        <v>3.18</v>
      </c>
      <c r="F294" s="15">
        <v>59949970</v>
      </c>
      <c r="G294" s="15">
        <v>61027484</v>
      </c>
      <c r="H294" s="15"/>
      <c r="I294" s="15"/>
      <c r="J294" s="15"/>
      <c r="K294" s="15"/>
      <c r="L294" s="15" t="s">
        <v>415</v>
      </c>
      <c r="M294" s="15" t="s">
        <v>415</v>
      </c>
      <c r="N294" s="15">
        <v>59949970</v>
      </c>
      <c r="O294" s="15">
        <v>61027484</v>
      </c>
      <c r="P294" s="4">
        <v>1.8</v>
      </c>
      <c r="Q294" s="15">
        <v>2892408</v>
      </c>
      <c r="R294" s="15">
        <v>2761507</v>
      </c>
      <c r="S294" s="15">
        <v>57057562</v>
      </c>
      <c r="T294" s="15">
        <v>58265977</v>
      </c>
      <c r="U294" s="15">
        <v>57057562</v>
      </c>
      <c r="V294" s="15">
        <v>58265977</v>
      </c>
      <c r="W294" s="15">
        <v>0</v>
      </c>
      <c r="X294" s="15">
        <v>0</v>
      </c>
      <c r="Y294" s="4">
        <v>1780</v>
      </c>
      <c r="Z294" s="4">
        <v>1744</v>
      </c>
      <c r="AA294" s="4">
        <v>-2.02</v>
      </c>
      <c r="AB294" s="15">
        <v>5908174</v>
      </c>
      <c r="AC294" s="15">
        <v>6105000</v>
      </c>
      <c r="AD294" s="15">
        <v>636805</v>
      </c>
      <c r="AE294" s="15">
        <v>625000</v>
      </c>
      <c r="AF294" s="15">
        <v>2654469</v>
      </c>
      <c r="AG294" s="15">
        <v>2739000</v>
      </c>
      <c r="AH294" s="4">
        <v>4</v>
      </c>
      <c r="AI294" s="6">
        <v>4</v>
      </c>
    </row>
    <row r="295" spans="1:35" x14ac:dyDescent="0.25">
      <c r="A295" s="5" t="str">
        <f>"280231"</f>
        <v>280231</v>
      </c>
      <c r="B295" s="3" t="s">
        <v>292</v>
      </c>
      <c r="C295" s="15">
        <v>40893784</v>
      </c>
      <c r="D295" s="15">
        <v>42023670</v>
      </c>
      <c r="E295" s="4">
        <v>2.76</v>
      </c>
      <c r="F295" s="15">
        <v>33344198</v>
      </c>
      <c r="G295" s="15">
        <v>34003729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33344198</v>
      </c>
      <c r="O295" s="15">
        <v>34003729</v>
      </c>
      <c r="P295" s="4">
        <v>1.98</v>
      </c>
      <c r="Q295" s="15">
        <v>1570877</v>
      </c>
      <c r="R295" s="15">
        <v>1426442</v>
      </c>
      <c r="S295" s="15">
        <v>33344198</v>
      </c>
      <c r="T295" s="15">
        <v>34003729</v>
      </c>
      <c r="U295" s="15">
        <v>31773321</v>
      </c>
      <c r="V295" s="15">
        <v>32577287</v>
      </c>
      <c r="W295" s="15">
        <v>1570877</v>
      </c>
      <c r="X295" s="15">
        <v>1426442</v>
      </c>
      <c r="Y295" s="4">
        <v>1042</v>
      </c>
      <c r="Z295" s="4">
        <v>1013</v>
      </c>
      <c r="AA295" s="4">
        <v>-2.78</v>
      </c>
      <c r="AB295" s="15">
        <v>9870334</v>
      </c>
      <c r="AC295" s="15">
        <v>9870334</v>
      </c>
      <c r="AD295" s="15">
        <v>2932994</v>
      </c>
      <c r="AE295" s="15">
        <v>327986</v>
      </c>
      <c r="AF295" s="15">
        <v>3430540</v>
      </c>
      <c r="AG295" s="15">
        <v>3088548</v>
      </c>
      <c r="AH295" s="4">
        <v>8.39</v>
      </c>
      <c r="AI295" s="6">
        <v>7.35</v>
      </c>
    </row>
    <row r="296" spans="1:35" x14ac:dyDescent="0.25">
      <c r="A296" s="5" t="str">
        <f>"280226"</f>
        <v>280226</v>
      </c>
      <c r="B296" s="3" t="s">
        <v>289</v>
      </c>
      <c r="C296" s="15">
        <v>71060219</v>
      </c>
      <c r="D296" s="15">
        <v>73117645</v>
      </c>
      <c r="E296" s="4">
        <v>2.9</v>
      </c>
      <c r="F296" s="15">
        <v>46623124</v>
      </c>
      <c r="G296" s="15">
        <v>47718052</v>
      </c>
      <c r="H296" s="15"/>
      <c r="I296" s="15"/>
      <c r="J296" s="15"/>
      <c r="K296" s="15"/>
      <c r="L296" s="15"/>
      <c r="M296" s="15"/>
      <c r="N296" s="15">
        <v>46623124</v>
      </c>
      <c r="O296" s="15">
        <v>47718052</v>
      </c>
      <c r="P296" s="4">
        <v>2.35</v>
      </c>
      <c r="Q296" s="15">
        <v>2910976</v>
      </c>
      <c r="R296" s="15">
        <v>3041305</v>
      </c>
      <c r="S296" s="15">
        <v>43712148</v>
      </c>
      <c r="T296" s="15">
        <v>44676747</v>
      </c>
      <c r="U296" s="15">
        <v>43712148</v>
      </c>
      <c r="V296" s="15">
        <v>44676747</v>
      </c>
      <c r="W296" s="15">
        <v>0</v>
      </c>
      <c r="X296" s="15">
        <v>0</v>
      </c>
      <c r="Y296" s="4">
        <v>2151</v>
      </c>
      <c r="Z296" s="4">
        <v>2232</v>
      </c>
      <c r="AA296" s="4">
        <v>3.77</v>
      </c>
      <c r="AB296" s="15">
        <v>8335778</v>
      </c>
      <c r="AC296" s="15">
        <v>8619564</v>
      </c>
      <c r="AD296" s="15">
        <v>2690087</v>
      </c>
      <c r="AE296" s="15">
        <v>2550000</v>
      </c>
      <c r="AF296" s="15">
        <v>2819104</v>
      </c>
      <c r="AG296" s="15">
        <v>2924705</v>
      </c>
      <c r="AH296" s="4">
        <v>3.97</v>
      </c>
      <c r="AI296" s="6">
        <v>4</v>
      </c>
    </row>
    <row r="297" spans="1:35" x14ac:dyDescent="0.25">
      <c r="A297" s="5" t="str">
        <f>"580502"</f>
        <v>580502</v>
      </c>
      <c r="B297" s="3" t="s">
        <v>535</v>
      </c>
      <c r="C297" s="15">
        <v>88712247</v>
      </c>
      <c r="D297" s="15">
        <v>91439213</v>
      </c>
      <c r="E297" s="4">
        <v>3.07</v>
      </c>
      <c r="F297" s="15">
        <v>63097003</v>
      </c>
      <c r="G297" s="15">
        <v>64352633</v>
      </c>
      <c r="H297" s="15"/>
      <c r="I297" s="15"/>
      <c r="J297" s="15"/>
      <c r="K297" s="15"/>
      <c r="L297" s="15"/>
      <c r="M297" s="15"/>
      <c r="N297" s="15">
        <v>63097003</v>
      </c>
      <c r="O297" s="15">
        <v>64352633</v>
      </c>
      <c r="P297" s="4">
        <v>1.99</v>
      </c>
      <c r="Q297" s="15">
        <v>1692496</v>
      </c>
      <c r="R297" s="15">
        <v>1780693</v>
      </c>
      <c r="S297" s="15">
        <v>58723514</v>
      </c>
      <c r="T297" s="15">
        <v>62655265</v>
      </c>
      <c r="U297" s="15">
        <v>61404507</v>
      </c>
      <c r="V297" s="15">
        <v>62571940</v>
      </c>
      <c r="W297" s="15">
        <v>-2680993</v>
      </c>
      <c r="X297" s="15">
        <v>83325</v>
      </c>
      <c r="Y297" s="4">
        <v>2686</v>
      </c>
      <c r="Z297" s="4">
        <v>2690</v>
      </c>
      <c r="AA297" s="4">
        <v>0.15</v>
      </c>
      <c r="AB297" s="15">
        <v>9383881</v>
      </c>
      <c r="AC297" s="15">
        <v>9383400</v>
      </c>
      <c r="AD297" s="15">
        <v>1000000</v>
      </c>
      <c r="AE297" s="15">
        <v>1000000</v>
      </c>
      <c r="AF297" s="15">
        <v>3548490</v>
      </c>
      <c r="AG297" s="15">
        <v>3648424</v>
      </c>
      <c r="AH297" s="4">
        <v>4</v>
      </c>
      <c r="AI297" s="6">
        <v>3.99</v>
      </c>
    </row>
    <row r="298" spans="1:35" x14ac:dyDescent="0.25">
      <c r="A298" s="5" t="str">
        <f>"610600"</f>
        <v>610600</v>
      </c>
      <c r="B298" s="3" t="s">
        <v>581</v>
      </c>
      <c r="C298" s="15">
        <v>145179885</v>
      </c>
      <c r="D298" s="15">
        <v>148944098</v>
      </c>
      <c r="E298" s="4">
        <v>2.59</v>
      </c>
      <c r="F298" s="15">
        <v>95525492</v>
      </c>
      <c r="G298" s="15">
        <v>102416874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95525492</v>
      </c>
      <c r="O298" s="15">
        <v>102416874</v>
      </c>
      <c r="P298" s="4">
        <v>7.21</v>
      </c>
      <c r="Q298" s="15">
        <v>5263748</v>
      </c>
      <c r="R298" s="15">
        <v>5386998</v>
      </c>
      <c r="S298" s="15">
        <v>90261744</v>
      </c>
      <c r="T298" s="15">
        <v>92733960</v>
      </c>
      <c r="U298" s="15">
        <v>90261744</v>
      </c>
      <c r="V298" s="15">
        <v>97029876</v>
      </c>
      <c r="W298" s="15">
        <v>0</v>
      </c>
      <c r="X298" s="15">
        <v>-4295916</v>
      </c>
      <c r="Y298" s="4">
        <v>5318</v>
      </c>
      <c r="Z298" s="4">
        <v>5535</v>
      </c>
      <c r="AA298" s="4">
        <v>4.08</v>
      </c>
      <c r="AB298" s="15">
        <v>12203851</v>
      </c>
      <c r="AC298" s="15">
        <v>12014140</v>
      </c>
      <c r="AD298" s="15">
        <v>5117704</v>
      </c>
      <c r="AE298" s="15">
        <v>7515464</v>
      </c>
      <c r="AF298" s="15">
        <v>5318140</v>
      </c>
      <c r="AG298" s="15">
        <v>5347062</v>
      </c>
      <c r="AH298" s="4">
        <v>3.66</v>
      </c>
      <c r="AI298" s="6">
        <v>3.59</v>
      </c>
    </row>
    <row r="299" spans="1:35" x14ac:dyDescent="0.25">
      <c r="A299" s="5" t="str">
        <f>"061700"</f>
        <v>061700</v>
      </c>
      <c r="B299" s="3" t="s">
        <v>67</v>
      </c>
      <c r="C299" s="15">
        <v>89879178</v>
      </c>
      <c r="D299" s="15">
        <v>93893354</v>
      </c>
      <c r="E299" s="4">
        <v>4.47</v>
      </c>
      <c r="F299" s="15">
        <v>14641567</v>
      </c>
      <c r="G299" s="15">
        <v>14641567</v>
      </c>
      <c r="H299" s="15">
        <v>350000</v>
      </c>
      <c r="I299" s="15">
        <v>350000</v>
      </c>
      <c r="J299" s="15">
        <v>0</v>
      </c>
      <c r="K299" s="15">
        <v>0</v>
      </c>
      <c r="L299" s="15">
        <v>0</v>
      </c>
      <c r="M299" s="15">
        <v>0</v>
      </c>
      <c r="N299" s="15">
        <v>14991567</v>
      </c>
      <c r="O299" s="15">
        <v>14991567</v>
      </c>
      <c r="P299" s="4">
        <v>0</v>
      </c>
      <c r="Q299" s="15">
        <v>140576</v>
      </c>
      <c r="R299" s="15">
        <v>225827</v>
      </c>
      <c r="S299" s="15">
        <v>14638466</v>
      </c>
      <c r="T299" s="15">
        <v>14960802</v>
      </c>
      <c r="U299" s="15">
        <v>14500991</v>
      </c>
      <c r="V299" s="15">
        <v>14415740</v>
      </c>
      <c r="W299" s="15">
        <v>137475</v>
      </c>
      <c r="X299" s="15">
        <v>545062</v>
      </c>
      <c r="Y299" s="4">
        <v>4440</v>
      </c>
      <c r="Z299" s="4">
        <v>4500</v>
      </c>
      <c r="AA299" s="4">
        <v>1.35</v>
      </c>
      <c r="AB299" s="15">
        <v>9721361</v>
      </c>
      <c r="AC299" s="15">
        <v>20321361</v>
      </c>
      <c r="AD299" s="15">
        <v>2000000</v>
      </c>
      <c r="AE299" s="15">
        <v>800000</v>
      </c>
      <c r="AF299" s="15">
        <v>9848693</v>
      </c>
      <c r="AG299" s="15">
        <v>6522618</v>
      </c>
      <c r="AH299" s="4">
        <v>10.96</v>
      </c>
      <c r="AI299" s="6">
        <v>6.95</v>
      </c>
    </row>
    <row r="300" spans="1:35" x14ac:dyDescent="0.25">
      <c r="A300" s="5" t="str">
        <f>"420411"</f>
        <v>420411</v>
      </c>
      <c r="B300" s="3" t="s">
        <v>345</v>
      </c>
      <c r="C300" s="15">
        <v>60179653</v>
      </c>
      <c r="D300" s="15">
        <v>63733991</v>
      </c>
      <c r="E300" s="4">
        <v>5.91</v>
      </c>
      <c r="F300" s="15">
        <v>42178539</v>
      </c>
      <c r="G300" s="15">
        <v>43271142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42178539</v>
      </c>
      <c r="O300" s="15">
        <v>43271142</v>
      </c>
      <c r="P300" s="4">
        <v>2.59</v>
      </c>
      <c r="Q300" s="15">
        <v>1445574</v>
      </c>
      <c r="R300" s="15">
        <v>1802068</v>
      </c>
      <c r="S300" s="15">
        <v>40732965</v>
      </c>
      <c r="T300" s="15">
        <v>41469074</v>
      </c>
      <c r="U300" s="15">
        <v>40732965</v>
      </c>
      <c r="V300" s="15">
        <v>41469074</v>
      </c>
      <c r="W300" s="15">
        <v>0</v>
      </c>
      <c r="X300" s="15">
        <v>0</v>
      </c>
      <c r="Y300" s="4">
        <v>2552</v>
      </c>
      <c r="Z300" s="4">
        <v>2588</v>
      </c>
      <c r="AA300" s="4">
        <v>1.41</v>
      </c>
      <c r="AB300" s="15">
        <v>1319965</v>
      </c>
      <c r="AC300" s="15">
        <v>142000</v>
      </c>
      <c r="AD300" s="15">
        <v>896619</v>
      </c>
      <c r="AE300" s="15">
        <v>796619</v>
      </c>
      <c r="AF300" s="15">
        <v>2407186</v>
      </c>
      <c r="AG300" s="15">
        <v>2549360</v>
      </c>
      <c r="AH300" s="4">
        <v>4</v>
      </c>
      <c r="AI300" s="6">
        <v>4</v>
      </c>
    </row>
    <row r="301" spans="1:35" x14ac:dyDescent="0.25">
      <c r="A301" s="5" t="str">
        <f>"572702"</f>
        <v>572702</v>
      </c>
      <c r="B301" s="3" t="s">
        <v>495</v>
      </c>
      <c r="C301" s="15">
        <v>12815771</v>
      </c>
      <c r="D301" s="15">
        <v>13092331</v>
      </c>
      <c r="E301" s="4">
        <v>2.16</v>
      </c>
      <c r="F301" s="15">
        <v>2763059</v>
      </c>
      <c r="G301" s="15">
        <v>2763059</v>
      </c>
      <c r="H301" s="15"/>
      <c r="I301" s="15"/>
      <c r="J301" s="15"/>
      <c r="K301" s="15"/>
      <c r="L301" s="15"/>
      <c r="M301" s="15"/>
      <c r="N301" s="15">
        <v>2763059</v>
      </c>
      <c r="O301" s="15">
        <v>2763059</v>
      </c>
      <c r="P301" s="4">
        <v>0</v>
      </c>
      <c r="Q301" s="15">
        <v>15645</v>
      </c>
      <c r="R301" s="15">
        <v>12693</v>
      </c>
      <c r="S301" s="15">
        <v>2842741</v>
      </c>
      <c r="T301" s="15">
        <v>2871122</v>
      </c>
      <c r="U301" s="15">
        <v>2747414</v>
      </c>
      <c r="V301" s="15">
        <v>2750366</v>
      </c>
      <c r="W301" s="15">
        <v>95327</v>
      </c>
      <c r="X301" s="15">
        <v>120756</v>
      </c>
      <c r="Y301" s="4">
        <v>421</v>
      </c>
      <c r="Z301" s="4">
        <v>417</v>
      </c>
      <c r="AA301" s="4">
        <v>-0.95</v>
      </c>
      <c r="AB301" s="15">
        <v>2758299</v>
      </c>
      <c r="AC301" s="15">
        <v>4067925</v>
      </c>
      <c r="AD301" s="15">
        <v>492206</v>
      </c>
      <c r="AE301" s="15">
        <v>470332</v>
      </c>
      <c r="AF301" s="15">
        <v>1489694</v>
      </c>
      <c r="AG301" s="15">
        <v>1495140</v>
      </c>
      <c r="AH301" s="4">
        <v>11.62</v>
      </c>
      <c r="AI301" s="6">
        <v>11.42</v>
      </c>
    </row>
    <row r="302" spans="1:35" x14ac:dyDescent="0.25">
      <c r="A302" s="5" t="str">
        <f>"540901"</f>
        <v>540901</v>
      </c>
      <c r="B302" s="3" t="s">
        <v>474</v>
      </c>
      <c r="C302" s="15">
        <v>7202325</v>
      </c>
      <c r="D302" s="15">
        <v>7507393</v>
      </c>
      <c r="E302" s="4">
        <v>4.24</v>
      </c>
      <c r="F302" s="15">
        <v>2965447</v>
      </c>
      <c r="G302" s="15">
        <v>3020549</v>
      </c>
      <c r="H302" s="15">
        <v>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2965447</v>
      </c>
      <c r="O302" s="15">
        <v>3020549</v>
      </c>
      <c r="P302" s="4">
        <v>1.86</v>
      </c>
      <c r="Q302" s="15">
        <v>194022</v>
      </c>
      <c r="R302" s="15">
        <v>175244</v>
      </c>
      <c r="S302" s="15">
        <v>2771425</v>
      </c>
      <c r="T302" s="15">
        <v>2845305</v>
      </c>
      <c r="U302" s="15">
        <v>2771425</v>
      </c>
      <c r="V302" s="15">
        <v>2845305</v>
      </c>
      <c r="W302" s="15">
        <v>0</v>
      </c>
      <c r="X302" s="15">
        <v>0</v>
      </c>
      <c r="Y302" s="4">
        <v>179</v>
      </c>
      <c r="Z302" s="4">
        <v>159</v>
      </c>
      <c r="AA302" s="4">
        <v>-11.17</v>
      </c>
      <c r="AB302" s="15">
        <v>1324759</v>
      </c>
      <c r="AC302" s="15">
        <v>2112710</v>
      </c>
      <c r="AD302" s="15">
        <v>332746</v>
      </c>
      <c r="AE302" s="15">
        <v>368051</v>
      </c>
      <c r="AF302" s="15">
        <v>841894</v>
      </c>
      <c r="AG302" s="15">
        <v>766080</v>
      </c>
      <c r="AH302" s="4">
        <v>11.69</v>
      </c>
      <c r="AI302" s="6">
        <v>10.199999999999999</v>
      </c>
    </row>
    <row r="303" spans="1:35" x14ac:dyDescent="0.25">
      <c r="A303" s="5" t="str">
        <f>"280515"</f>
        <v>280515</v>
      </c>
      <c r="B303" s="3" t="s">
        <v>311</v>
      </c>
      <c r="C303" s="15">
        <v>127997101</v>
      </c>
      <c r="D303" s="15">
        <v>130073339</v>
      </c>
      <c r="E303" s="4">
        <v>1.62</v>
      </c>
      <c r="F303" s="15">
        <v>108811962</v>
      </c>
      <c r="G303" s="15">
        <v>110933795</v>
      </c>
      <c r="H303" s="15"/>
      <c r="I303" s="15"/>
      <c r="J303" s="15"/>
      <c r="K303" s="15"/>
      <c r="L303" s="15"/>
      <c r="M303" s="15"/>
      <c r="N303" s="15">
        <v>108811962</v>
      </c>
      <c r="O303" s="15">
        <v>110933795</v>
      </c>
      <c r="P303" s="4">
        <v>1.95</v>
      </c>
      <c r="Q303" s="15">
        <v>800032</v>
      </c>
      <c r="R303" s="15">
        <v>640249</v>
      </c>
      <c r="S303" s="15">
        <v>110761442</v>
      </c>
      <c r="T303" s="15">
        <v>112228817</v>
      </c>
      <c r="U303" s="15">
        <v>108011930</v>
      </c>
      <c r="V303" s="15">
        <v>110293546</v>
      </c>
      <c r="W303" s="15">
        <v>2749512</v>
      </c>
      <c r="X303" s="15">
        <v>1935271</v>
      </c>
      <c r="Y303" s="4">
        <v>3177</v>
      </c>
      <c r="Z303" s="4">
        <v>3220</v>
      </c>
      <c r="AA303" s="4">
        <v>1.35</v>
      </c>
      <c r="AB303" s="15">
        <v>45834851</v>
      </c>
      <c r="AC303" s="15">
        <v>44887460</v>
      </c>
      <c r="AD303" s="15">
        <v>5721833</v>
      </c>
      <c r="AE303" s="15">
        <v>4300000</v>
      </c>
      <c r="AF303" s="15">
        <v>5119885</v>
      </c>
      <c r="AG303" s="15">
        <v>5202934</v>
      </c>
      <c r="AH303" s="4">
        <v>4</v>
      </c>
      <c r="AI303" s="6">
        <v>4</v>
      </c>
    </row>
    <row r="304" spans="1:35" x14ac:dyDescent="0.25">
      <c r="A304" s="5" t="str">
        <f>"630601"</f>
        <v>630601</v>
      </c>
      <c r="B304" s="3" t="s">
        <v>597</v>
      </c>
      <c r="C304" s="15">
        <v>11858510</v>
      </c>
      <c r="D304" s="15">
        <v>12010638</v>
      </c>
      <c r="E304" s="4">
        <v>1.28</v>
      </c>
      <c r="F304" s="15">
        <v>6212992</v>
      </c>
      <c r="G304" s="15">
        <v>6212992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6212992</v>
      </c>
      <c r="O304" s="15">
        <v>6212992</v>
      </c>
      <c r="P304" s="4">
        <v>0</v>
      </c>
      <c r="Q304" s="15">
        <v>0</v>
      </c>
      <c r="R304" s="15">
        <v>0</v>
      </c>
      <c r="S304" s="15">
        <v>6212992</v>
      </c>
      <c r="T304" s="15">
        <v>6212992</v>
      </c>
      <c r="U304" s="15">
        <v>6212992</v>
      </c>
      <c r="V304" s="15">
        <v>6212992</v>
      </c>
      <c r="W304" s="15">
        <v>0</v>
      </c>
      <c r="X304" s="15">
        <v>0</v>
      </c>
      <c r="Y304" s="4">
        <v>345</v>
      </c>
      <c r="Z304" s="4">
        <v>350</v>
      </c>
      <c r="AA304" s="4">
        <v>1.45</v>
      </c>
      <c r="AB304" s="15">
        <v>1184538</v>
      </c>
      <c r="AC304" s="15">
        <v>1156974</v>
      </c>
      <c r="AD304" s="15">
        <v>1790311</v>
      </c>
      <c r="AE304" s="15">
        <v>1677978</v>
      </c>
      <c r="AF304" s="15">
        <v>516941</v>
      </c>
      <c r="AG304" s="15">
        <v>480426</v>
      </c>
      <c r="AH304" s="4">
        <v>4.3600000000000003</v>
      </c>
      <c r="AI304" s="6">
        <v>4</v>
      </c>
    </row>
    <row r="305" spans="1:35" x14ac:dyDescent="0.25">
      <c r="A305" s="5" t="str">
        <f>"031502"</f>
        <v>031502</v>
      </c>
      <c r="B305" s="3" t="s">
        <v>33</v>
      </c>
      <c r="C305" s="15">
        <v>59473623</v>
      </c>
      <c r="D305" s="15">
        <v>62842360</v>
      </c>
      <c r="E305" s="4">
        <v>5.66</v>
      </c>
      <c r="F305" s="15">
        <v>27045514</v>
      </c>
      <c r="G305" s="15">
        <v>27045514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27045514</v>
      </c>
      <c r="O305" s="15">
        <v>27045514</v>
      </c>
      <c r="P305" s="4">
        <v>0</v>
      </c>
      <c r="Q305" s="15">
        <v>1055579</v>
      </c>
      <c r="R305" s="15">
        <v>1052037</v>
      </c>
      <c r="S305" s="15">
        <v>26442364</v>
      </c>
      <c r="T305" s="15">
        <v>26151473</v>
      </c>
      <c r="U305" s="15">
        <v>25989935</v>
      </c>
      <c r="V305" s="15">
        <v>25993477</v>
      </c>
      <c r="W305" s="15">
        <v>452429</v>
      </c>
      <c r="X305" s="15">
        <v>157996</v>
      </c>
      <c r="Y305" s="4">
        <v>2255</v>
      </c>
      <c r="Z305" s="4">
        <v>2255</v>
      </c>
      <c r="AA305" s="4">
        <v>0</v>
      </c>
      <c r="AB305" s="15">
        <v>9892747</v>
      </c>
      <c r="AC305" s="15">
        <v>9805035</v>
      </c>
      <c r="AD305" s="15">
        <v>750000</v>
      </c>
      <c r="AE305" s="15">
        <v>750000</v>
      </c>
      <c r="AF305" s="15">
        <v>2334058</v>
      </c>
      <c r="AG305" s="15">
        <v>2277628</v>
      </c>
      <c r="AH305" s="4">
        <v>3.92</v>
      </c>
      <c r="AI305" s="6">
        <v>3.62</v>
      </c>
    </row>
    <row r="306" spans="1:35" x14ac:dyDescent="0.25">
      <c r="A306" s="5" t="str">
        <f>"170600"</f>
        <v>170600</v>
      </c>
      <c r="B306" s="3" t="s">
        <v>174</v>
      </c>
      <c r="C306" s="15">
        <v>39967989</v>
      </c>
      <c r="D306" s="15">
        <v>41021071</v>
      </c>
      <c r="E306" s="4">
        <v>2.63</v>
      </c>
      <c r="F306" s="15">
        <v>10741843</v>
      </c>
      <c r="G306" s="15">
        <v>11261290</v>
      </c>
      <c r="H306" s="15"/>
      <c r="I306" s="15"/>
      <c r="J306" s="15"/>
      <c r="K306" s="15"/>
      <c r="L306" s="15"/>
      <c r="M306" s="15"/>
      <c r="N306" s="15">
        <v>10741843</v>
      </c>
      <c r="O306" s="15">
        <v>11261290</v>
      </c>
      <c r="P306" s="4">
        <v>4.84</v>
      </c>
      <c r="Q306" s="15">
        <v>791757</v>
      </c>
      <c r="R306" s="15">
        <v>977623</v>
      </c>
      <c r="S306" s="15">
        <v>9951391</v>
      </c>
      <c r="T306" s="15">
        <v>10283667</v>
      </c>
      <c r="U306" s="15">
        <v>9950086</v>
      </c>
      <c r="V306" s="15">
        <v>10283667</v>
      </c>
      <c r="W306" s="15">
        <v>1305</v>
      </c>
      <c r="X306" s="15">
        <v>0</v>
      </c>
      <c r="Y306" s="4">
        <v>1567</v>
      </c>
      <c r="Z306" s="4">
        <v>1577</v>
      </c>
      <c r="AA306" s="4">
        <v>0.64</v>
      </c>
      <c r="AB306" s="15">
        <v>10962060</v>
      </c>
      <c r="AC306" s="15">
        <v>10509024</v>
      </c>
      <c r="AD306" s="15">
        <v>2519558</v>
      </c>
      <c r="AE306" s="15">
        <v>3307638</v>
      </c>
      <c r="AF306" s="15">
        <v>3774206</v>
      </c>
      <c r="AG306" s="15">
        <v>1640843</v>
      </c>
      <c r="AH306" s="4">
        <v>9.44</v>
      </c>
      <c r="AI306" s="6">
        <v>4</v>
      </c>
    </row>
    <row r="307" spans="1:35" x14ac:dyDescent="0.25">
      <c r="A307" s="5" t="str">
        <f>"420501"</f>
        <v>420501</v>
      </c>
      <c r="B307" s="3" t="s">
        <v>346</v>
      </c>
      <c r="C307" s="15">
        <v>33812000</v>
      </c>
      <c r="D307" s="15">
        <v>34978500</v>
      </c>
      <c r="E307" s="4">
        <v>3.45</v>
      </c>
      <c r="F307" s="15">
        <v>12497287</v>
      </c>
      <c r="G307" s="15">
        <v>12847000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12497287</v>
      </c>
      <c r="O307" s="15">
        <v>12847000</v>
      </c>
      <c r="P307" s="4">
        <v>2.8</v>
      </c>
      <c r="Q307" s="15">
        <v>104866</v>
      </c>
      <c r="R307" s="15">
        <v>112062</v>
      </c>
      <c r="S307" s="15">
        <v>12571250</v>
      </c>
      <c r="T307" s="15">
        <v>12803116</v>
      </c>
      <c r="U307" s="15">
        <v>12392421</v>
      </c>
      <c r="V307" s="15">
        <v>12734938</v>
      </c>
      <c r="W307" s="15">
        <v>178829</v>
      </c>
      <c r="X307" s="15">
        <v>68178</v>
      </c>
      <c r="Y307" s="4">
        <v>1093</v>
      </c>
      <c r="Z307" s="4">
        <v>1106</v>
      </c>
      <c r="AA307" s="4">
        <v>1.19</v>
      </c>
      <c r="AB307" s="15">
        <v>6181314</v>
      </c>
      <c r="AC307" s="15">
        <v>5891872</v>
      </c>
      <c r="AD307" s="15">
        <v>3000000</v>
      </c>
      <c r="AE307" s="15">
        <v>3000000</v>
      </c>
      <c r="AF307" s="15">
        <v>1352480</v>
      </c>
      <c r="AG307" s="15">
        <v>1685776</v>
      </c>
      <c r="AH307" s="4">
        <v>4</v>
      </c>
      <c r="AI307" s="6">
        <v>4.82</v>
      </c>
    </row>
    <row r="308" spans="1:35" x14ac:dyDescent="0.25">
      <c r="A308" s="5" t="str">
        <f>"660101"</f>
        <v>660101</v>
      </c>
      <c r="B308" s="3" t="s">
        <v>625</v>
      </c>
      <c r="C308" s="15">
        <v>113242880</v>
      </c>
      <c r="D308" s="15">
        <v>115778990</v>
      </c>
      <c r="E308" s="4">
        <v>2.2400000000000002</v>
      </c>
      <c r="F308" s="15">
        <v>99700394</v>
      </c>
      <c r="G308" s="15">
        <v>100949190</v>
      </c>
      <c r="H308" s="15"/>
      <c r="I308" s="15"/>
      <c r="J308" s="15"/>
      <c r="K308" s="15"/>
      <c r="L308" s="15"/>
      <c r="M308" s="15"/>
      <c r="N308" s="15">
        <v>99700394</v>
      </c>
      <c r="O308" s="15">
        <v>100949190</v>
      </c>
      <c r="P308" s="4">
        <v>1.25</v>
      </c>
      <c r="Q308" s="15">
        <v>1966535</v>
      </c>
      <c r="R308" s="15">
        <v>1755506</v>
      </c>
      <c r="S308" s="15">
        <v>98360207</v>
      </c>
      <c r="T308" s="15">
        <v>100359720</v>
      </c>
      <c r="U308" s="15">
        <v>97733859</v>
      </c>
      <c r="V308" s="15">
        <v>99193684</v>
      </c>
      <c r="W308" s="15">
        <v>626348</v>
      </c>
      <c r="X308" s="15">
        <v>1166036</v>
      </c>
      <c r="Y308" s="4">
        <v>2893</v>
      </c>
      <c r="Z308" s="4">
        <v>2846</v>
      </c>
      <c r="AA308" s="4">
        <v>-1.62</v>
      </c>
      <c r="AB308" s="15">
        <v>12662019</v>
      </c>
      <c r="AC308" s="15">
        <v>13640473</v>
      </c>
      <c r="AD308" s="15">
        <v>7464950</v>
      </c>
      <c r="AE308" s="15">
        <v>5700000</v>
      </c>
      <c r="AF308" s="15">
        <v>4262076</v>
      </c>
      <c r="AG308" s="15">
        <v>4464350</v>
      </c>
      <c r="AH308" s="4">
        <v>3.76</v>
      </c>
      <c r="AI308" s="6">
        <v>3.86</v>
      </c>
    </row>
    <row r="309" spans="1:35" x14ac:dyDescent="0.25">
      <c r="A309" s="5" t="str">
        <f>"150601"</f>
        <v>150601</v>
      </c>
      <c r="B309" s="3" t="s">
        <v>156</v>
      </c>
      <c r="C309" s="15">
        <v>6785500</v>
      </c>
      <c r="D309" s="15">
        <v>7682051</v>
      </c>
      <c r="E309" s="4">
        <v>13.21</v>
      </c>
      <c r="F309" s="15">
        <v>5695040</v>
      </c>
      <c r="G309" s="15">
        <v>6151543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5695040</v>
      </c>
      <c r="O309" s="15">
        <v>6151543</v>
      </c>
      <c r="P309" s="4">
        <v>8.02</v>
      </c>
      <c r="Q309" s="15">
        <v>379434</v>
      </c>
      <c r="R309" s="15">
        <v>700000</v>
      </c>
      <c r="S309" s="15">
        <v>5315606</v>
      </c>
      <c r="T309" s="15">
        <v>5451543</v>
      </c>
      <c r="U309" s="15">
        <v>5315606</v>
      </c>
      <c r="V309" s="15">
        <v>5451543</v>
      </c>
      <c r="W309" s="15">
        <v>0</v>
      </c>
      <c r="X309" s="15">
        <v>0</v>
      </c>
      <c r="Y309" s="4">
        <v>160</v>
      </c>
      <c r="Z309" s="4">
        <v>172</v>
      </c>
      <c r="AA309" s="4">
        <v>7.5</v>
      </c>
      <c r="AB309" s="15">
        <v>695400</v>
      </c>
      <c r="AC309" s="15">
        <v>747085</v>
      </c>
      <c r="AD309" s="15">
        <v>265000</v>
      </c>
      <c r="AE309" s="15">
        <v>577765</v>
      </c>
      <c r="AF309" s="15">
        <v>275000</v>
      </c>
      <c r="AG309" s="15">
        <v>462589</v>
      </c>
      <c r="AH309" s="4">
        <v>4.05</v>
      </c>
      <c r="AI309" s="6">
        <v>6.02</v>
      </c>
    </row>
    <row r="310" spans="1:35" x14ac:dyDescent="0.25">
      <c r="A310" s="5" t="str">
        <f>"450607"</f>
        <v>450607</v>
      </c>
      <c r="B310" s="3" t="s">
        <v>386</v>
      </c>
      <c r="C310" s="15">
        <v>19980729</v>
      </c>
      <c r="D310" s="15">
        <v>19822921</v>
      </c>
      <c r="E310" s="4">
        <v>-0.79</v>
      </c>
      <c r="F310" s="15">
        <v>4964656</v>
      </c>
      <c r="G310" s="15">
        <v>4964656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4964656</v>
      </c>
      <c r="O310" s="15">
        <v>4964656</v>
      </c>
      <c r="P310" s="4">
        <v>0</v>
      </c>
      <c r="Q310" s="15">
        <v>0</v>
      </c>
      <c r="R310" s="15">
        <v>15574</v>
      </c>
      <c r="S310" s="15">
        <v>5075463</v>
      </c>
      <c r="T310" s="15">
        <v>5138269</v>
      </c>
      <c r="U310" s="15">
        <v>4964656</v>
      </c>
      <c r="V310" s="15">
        <v>4949082</v>
      </c>
      <c r="W310" s="15">
        <v>110807</v>
      </c>
      <c r="X310" s="15">
        <v>189187</v>
      </c>
      <c r="Y310" s="4">
        <v>704</v>
      </c>
      <c r="Z310" s="4">
        <v>704</v>
      </c>
      <c r="AA310" s="4">
        <v>0</v>
      </c>
      <c r="AB310" s="15">
        <v>13251203</v>
      </c>
      <c r="AC310" s="15">
        <v>14951203</v>
      </c>
      <c r="AD310" s="15">
        <v>0</v>
      </c>
      <c r="AE310" s="15">
        <v>0</v>
      </c>
      <c r="AF310" s="15">
        <v>799229</v>
      </c>
      <c r="AG310" s="15">
        <v>792917</v>
      </c>
      <c r="AH310" s="4">
        <v>4</v>
      </c>
      <c r="AI310" s="6">
        <v>4</v>
      </c>
    </row>
    <row r="311" spans="1:35" x14ac:dyDescent="0.25">
      <c r="A311" s="5" t="str">
        <f>"142601"</f>
        <v>142601</v>
      </c>
      <c r="B311" s="3" t="s">
        <v>153</v>
      </c>
      <c r="C311" s="15">
        <v>172426830</v>
      </c>
      <c r="D311" s="15">
        <v>176494282</v>
      </c>
      <c r="E311" s="4">
        <v>2.36</v>
      </c>
      <c r="F311" s="15">
        <v>89998791</v>
      </c>
      <c r="G311" s="15">
        <v>90898779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89998791</v>
      </c>
      <c r="O311" s="15">
        <v>90898779</v>
      </c>
      <c r="P311" s="4">
        <v>1</v>
      </c>
      <c r="Q311" s="15">
        <v>927824</v>
      </c>
      <c r="R311" s="15">
        <v>975115</v>
      </c>
      <c r="S311" s="15">
        <v>89070967</v>
      </c>
      <c r="T311" s="15">
        <v>89923664</v>
      </c>
      <c r="U311" s="15">
        <v>89070967</v>
      </c>
      <c r="V311" s="15">
        <v>89923664</v>
      </c>
      <c r="W311" s="15">
        <v>0</v>
      </c>
      <c r="X311" s="15">
        <v>0</v>
      </c>
      <c r="Y311" s="4">
        <v>6750</v>
      </c>
      <c r="Z311" s="4">
        <v>6450</v>
      </c>
      <c r="AA311" s="4">
        <v>-4.4400000000000004</v>
      </c>
      <c r="AB311" s="15">
        <v>28744804</v>
      </c>
      <c r="AC311" s="15">
        <v>27485000</v>
      </c>
      <c r="AD311" s="15">
        <v>5800000</v>
      </c>
      <c r="AE311" s="15">
        <v>5550000</v>
      </c>
      <c r="AF311" s="15">
        <v>6897073</v>
      </c>
      <c r="AG311" s="15">
        <v>7059771</v>
      </c>
      <c r="AH311" s="4">
        <v>4</v>
      </c>
      <c r="AI311" s="6">
        <v>4</v>
      </c>
    </row>
    <row r="312" spans="1:35" x14ac:dyDescent="0.25">
      <c r="A312" s="5" t="str">
        <f>"101401"</f>
        <v>101401</v>
      </c>
      <c r="B312" s="3" t="s">
        <v>96</v>
      </c>
      <c r="C312" s="15">
        <v>43878924</v>
      </c>
      <c r="D312" s="15">
        <v>46693075</v>
      </c>
      <c r="E312" s="4">
        <v>6.41</v>
      </c>
      <c r="F312" s="15">
        <v>25344601</v>
      </c>
      <c r="G312" s="15">
        <v>25927527</v>
      </c>
      <c r="H312" s="15">
        <v>0</v>
      </c>
      <c r="I312" s="15">
        <v>0</v>
      </c>
      <c r="J312" s="15"/>
      <c r="K312" s="15"/>
      <c r="L312" s="15">
        <v>0</v>
      </c>
      <c r="M312" s="15">
        <v>0</v>
      </c>
      <c r="N312" s="15">
        <v>25344601</v>
      </c>
      <c r="O312" s="15">
        <v>25927527</v>
      </c>
      <c r="P312" s="4">
        <v>2.2999999999999998</v>
      </c>
      <c r="Q312" s="15">
        <v>877998</v>
      </c>
      <c r="R312" s="15">
        <v>1010195</v>
      </c>
      <c r="S312" s="15">
        <v>24466603</v>
      </c>
      <c r="T312" s="15">
        <v>25208560</v>
      </c>
      <c r="U312" s="15">
        <v>24466603</v>
      </c>
      <c r="V312" s="15">
        <v>24917332</v>
      </c>
      <c r="W312" s="15">
        <v>0</v>
      </c>
      <c r="X312" s="15">
        <v>291228</v>
      </c>
      <c r="Y312" s="4">
        <v>1660</v>
      </c>
      <c r="Z312" s="4">
        <v>1696</v>
      </c>
      <c r="AA312" s="4">
        <v>2.17</v>
      </c>
      <c r="AB312" s="15">
        <v>1819197</v>
      </c>
      <c r="AC312" s="15">
        <v>1902500</v>
      </c>
      <c r="AD312" s="15">
        <v>500000</v>
      </c>
      <c r="AE312" s="15">
        <v>500000</v>
      </c>
      <c r="AF312" s="15">
        <v>1755156</v>
      </c>
      <c r="AG312" s="15">
        <v>1867054</v>
      </c>
      <c r="AH312" s="4">
        <v>4</v>
      </c>
      <c r="AI312" s="6">
        <v>4</v>
      </c>
    </row>
    <row r="313" spans="1:35" x14ac:dyDescent="0.25">
      <c r="A313" s="5" t="str">
        <f>"580805"</f>
        <v>580805</v>
      </c>
      <c r="B313" s="3" t="s">
        <v>549</v>
      </c>
      <c r="C313" s="15">
        <v>98054941</v>
      </c>
      <c r="D313" s="15">
        <v>102244458</v>
      </c>
      <c r="E313" s="4">
        <v>4.2699999999999996</v>
      </c>
      <c r="F313" s="15">
        <v>75179355</v>
      </c>
      <c r="G313" s="15">
        <v>77430655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75179355</v>
      </c>
      <c r="O313" s="15">
        <v>77430655</v>
      </c>
      <c r="P313" s="4">
        <v>2.99</v>
      </c>
      <c r="Q313" s="15">
        <v>3294560</v>
      </c>
      <c r="R313" s="15">
        <v>3985472</v>
      </c>
      <c r="S313" s="15">
        <v>71884796</v>
      </c>
      <c r="T313" s="15">
        <v>73445184</v>
      </c>
      <c r="U313" s="15">
        <v>71884795</v>
      </c>
      <c r="V313" s="15">
        <v>73445183</v>
      </c>
      <c r="W313" s="15">
        <v>1</v>
      </c>
      <c r="X313" s="15">
        <v>1</v>
      </c>
      <c r="Y313" s="4">
        <v>2773</v>
      </c>
      <c r="Z313" s="4">
        <v>2770</v>
      </c>
      <c r="AA313" s="4">
        <v>-0.11</v>
      </c>
      <c r="AB313" s="15">
        <v>18307347</v>
      </c>
      <c r="AC313" s="15">
        <v>19957397</v>
      </c>
      <c r="AD313" s="15">
        <v>2293455</v>
      </c>
      <c r="AE313" s="15">
        <v>4425407</v>
      </c>
      <c r="AF313" s="15">
        <v>3838440</v>
      </c>
      <c r="AG313" s="15">
        <v>4089778</v>
      </c>
      <c r="AH313" s="4">
        <v>3.91</v>
      </c>
      <c r="AI313" s="6">
        <v>4</v>
      </c>
    </row>
    <row r="314" spans="1:35" x14ac:dyDescent="0.25">
      <c r="A314" s="5" t="str">
        <f>"620600"</f>
        <v>620600</v>
      </c>
      <c r="B314" s="3" t="s">
        <v>585</v>
      </c>
      <c r="C314" s="15">
        <v>195984949</v>
      </c>
      <c r="D314" s="15">
        <v>203123508</v>
      </c>
      <c r="E314" s="4">
        <v>3.64</v>
      </c>
      <c r="F314" s="15">
        <v>107419898</v>
      </c>
      <c r="G314" s="15">
        <v>110619512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107419898</v>
      </c>
      <c r="O314" s="15">
        <v>110619512</v>
      </c>
      <c r="P314" s="4">
        <v>2.98</v>
      </c>
      <c r="Q314" s="15">
        <v>1732270</v>
      </c>
      <c r="R314" s="15">
        <v>2537646</v>
      </c>
      <c r="S314" s="15">
        <v>107095742</v>
      </c>
      <c r="T314" s="15">
        <v>108788840</v>
      </c>
      <c r="U314" s="15">
        <v>105687628</v>
      </c>
      <c r="V314" s="15">
        <v>108081866</v>
      </c>
      <c r="W314" s="15">
        <v>1408114</v>
      </c>
      <c r="X314" s="15">
        <v>706974</v>
      </c>
      <c r="Y314" s="4">
        <v>6586</v>
      </c>
      <c r="Z314" s="4">
        <v>6373</v>
      </c>
      <c r="AA314" s="4">
        <v>-3.23</v>
      </c>
      <c r="AB314" s="15">
        <v>28925447</v>
      </c>
      <c r="AC314" s="15">
        <v>28757749</v>
      </c>
      <c r="AD314" s="15">
        <v>4000000</v>
      </c>
      <c r="AE314" s="15">
        <v>4220000</v>
      </c>
      <c r="AF314" s="15">
        <v>7839398</v>
      </c>
      <c r="AG314" s="15">
        <v>8124940</v>
      </c>
      <c r="AH314" s="4">
        <v>4</v>
      </c>
      <c r="AI314" s="6">
        <v>4</v>
      </c>
    </row>
    <row r="315" spans="1:35" x14ac:dyDescent="0.25">
      <c r="A315" s="5" t="str">
        <f>"441202"</f>
        <v>441202</v>
      </c>
      <c r="B315" s="3" t="s">
        <v>377</v>
      </c>
      <c r="C315" s="15">
        <v>29396473</v>
      </c>
      <c r="D315" s="15">
        <v>29396473</v>
      </c>
      <c r="E315" s="4">
        <v>0</v>
      </c>
      <c r="F315" s="15">
        <v>10420664</v>
      </c>
      <c r="G315" s="15">
        <v>10420664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10420664</v>
      </c>
      <c r="O315" s="15">
        <v>10420664</v>
      </c>
      <c r="P315" s="4">
        <v>0</v>
      </c>
      <c r="Q315" s="15">
        <v>1398826</v>
      </c>
      <c r="R315" s="15">
        <v>4343</v>
      </c>
      <c r="S315" s="15">
        <v>9759927</v>
      </c>
      <c r="T315" s="15">
        <v>9570041</v>
      </c>
      <c r="U315" s="15">
        <v>9021838</v>
      </c>
      <c r="V315" s="15">
        <v>10416321</v>
      </c>
      <c r="W315" s="15">
        <v>738089</v>
      </c>
      <c r="X315" s="15">
        <v>-846280</v>
      </c>
      <c r="Y315" s="4">
        <v>163</v>
      </c>
      <c r="Z315" s="4">
        <v>169</v>
      </c>
      <c r="AA315" s="4">
        <v>3.68</v>
      </c>
      <c r="AB315" s="15">
        <v>8889371</v>
      </c>
      <c r="AC315" s="15">
        <v>9257877</v>
      </c>
      <c r="AD315" s="15">
        <v>2009129</v>
      </c>
      <c r="AE315" s="15">
        <v>2906307</v>
      </c>
      <c r="AF315" s="15">
        <v>1937355</v>
      </c>
      <c r="AG315" s="15">
        <v>1854452</v>
      </c>
      <c r="AH315" s="4">
        <v>6.59</v>
      </c>
      <c r="AI315" s="6">
        <v>6.31</v>
      </c>
    </row>
    <row r="316" spans="1:35" x14ac:dyDescent="0.25">
      <c r="A316" s="5" t="str">
        <f>"221401"</f>
        <v>221401</v>
      </c>
      <c r="B316" s="3" t="s">
        <v>216</v>
      </c>
      <c r="C316" s="15">
        <v>11900000</v>
      </c>
      <c r="D316" s="15">
        <v>12038948</v>
      </c>
      <c r="E316" s="4">
        <v>1.17</v>
      </c>
      <c r="F316" s="15">
        <v>4160120</v>
      </c>
      <c r="G316" s="15">
        <v>4281600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4160120</v>
      </c>
      <c r="O316" s="15">
        <v>4281600</v>
      </c>
      <c r="P316" s="4">
        <v>2.92</v>
      </c>
      <c r="Q316" s="15">
        <v>323249</v>
      </c>
      <c r="R316" s="15">
        <v>315436</v>
      </c>
      <c r="S316" s="15">
        <v>3836871</v>
      </c>
      <c r="T316" s="15">
        <v>3966166</v>
      </c>
      <c r="U316" s="15">
        <v>3836871</v>
      </c>
      <c r="V316" s="15">
        <v>3966164</v>
      </c>
      <c r="W316" s="15">
        <v>0</v>
      </c>
      <c r="X316" s="15">
        <v>2</v>
      </c>
      <c r="Y316" s="4">
        <v>504</v>
      </c>
      <c r="Z316" s="4">
        <v>504</v>
      </c>
      <c r="AA316" s="4">
        <v>0</v>
      </c>
      <c r="AB316" s="15">
        <v>3875258</v>
      </c>
      <c r="AC316" s="15">
        <v>4464075</v>
      </c>
      <c r="AD316" s="15">
        <v>733795</v>
      </c>
      <c r="AE316" s="15">
        <v>730000</v>
      </c>
      <c r="AF316" s="15">
        <v>470936</v>
      </c>
      <c r="AG316" s="15">
        <v>481558</v>
      </c>
      <c r="AH316" s="4">
        <v>3.96</v>
      </c>
      <c r="AI316" s="6">
        <v>4</v>
      </c>
    </row>
    <row r="317" spans="1:35" x14ac:dyDescent="0.25">
      <c r="A317" s="5" t="str">
        <f>"141800"</f>
        <v>141800</v>
      </c>
      <c r="B317" s="3" t="s">
        <v>147</v>
      </c>
      <c r="C317" s="15">
        <v>61509816</v>
      </c>
      <c r="D317" s="15">
        <v>65218905</v>
      </c>
      <c r="E317" s="4">
        <v>6.03</v>
      </c>
      <c r="F317" s="15">
        <v>9748197</v>
      </c>
      <c r="G317" s="15">
        <v>9748197</v>
      </c>
      <c r="H317" s="15"/>
      <c r="I317" s="15"/>
      <c r="J317" s="15"/>
      <c r="K317" s="15"/>
      <c r="L317" s="15"/>
      <c r="M317" s="15"/>
      <c r="N317" s="15">
        <v>9748197</v>
      </c>
      <c r="O317" s="15">
        <v>9748197</v>
      </c>
      <c r="P317" s="4">
        <v>0</v>
      </c>
      <c r="Q317" s="15">
        <v>0</v>
      </c>
      <c r="R317" s="15">
        <v>0</v>
      </c>
      <c r="S317" s="15">
        <v>9954729</v>
      </c>
      <c r="T317" s="15">
        <v>9946192</v>
      </c>
      <c r="U317" s="15">
        <v>9748197</v>
      </c>
      <c r="V317" s="15">
        <v>9748197</v>
      </c>
      <c r="W317" s="15">
        <v>206532</v>
      </c>
      <c r="X317" s="15">
        <v>197995</v>
      </c>
      <c r="Y317" s="4">
        <v>2696</v>
      </c>
      <c r="Z317" s="4">
        <v>2626</v>
      </c>
      <c r="AA317" s="4">
        <v>-2.6</v>
      </c>
      <c r="AB317" s="15">
        <v>300000</v>
      </c>
      <c r="AC317" s="15">
        <v>300000</v>
      </c>
      <c r="AD317" s="15">
        <v>3031003</v>
      </c>
      <c r="AE317" s="15">
        <v>2891908</v>
      </c>
      <c r="AF317" s="15">
        <v>10462550</v>
      </c>
      <c r="AG317" s="15">
        <v>12101645</v>
      </c>
      <c r="AH317" s="4">
        <v>17.010000000000002</v>
      </c>
      <c r="AI317" s="6">
        <v>18.559999999999999</v>
      </c>
    </row>
    <row r="318" spans="1:35" x14ac:dyDescent="0.25">
      <c r="A318" s="5" t="str">
        <f>"420807"</f>
        <v>420807</v>
      </c>
      <c r="B318" s="3" t="s">
        <v>350</v>
      </c>
      <c r="C318" s="15">
        <v>20631885</v>
      </c>
      <c r="D318" s="15">
        <v>21389579</v>
      </c>
      <c r="E318" s="4">
        <v>3.67</v>
      </c>
      <c r="F318" s="15">
        <v>6466481</v>
      </c>
      <c r="G318" s="15">
        <v>6595164</v>
      </c>
      <c r="H318" s="15"/>
      <c r="I318" s="15"/>
      <c r="J318" s="15"/>
      <c r="K318" s="15"/>
      <c r="L318" s="15"/>
      <c r="M318" s="15"/>
      <c r="N318" s="15">
        <v>6466481</v>
      </c>
      <c r="O318" s="15">
        <v>6595164</v>
      </c>
      <c r="P318" s="4">
        <v>1.99</v>
      </c>
      <c r="Q318" s="15">
        <v>376919</v>
      </c>
      <c r="R318" s="15">
        <v>386513</v>
      </c>
      <c r="S318" s="15">
        <v>6090704</v>
      </c>
      <c r="T318" s="15">
        <v>6210072</v>
      </c>
      <c r="U318" s="15">
        <v>6089562</v>
      </c>
      <c r="V318" s="15">
        <v>6208651</v>
      </c>
      <c r="W318" s="15">
        <v>1142</v>
      </c>
      <c r="X318" s="15">
        <v>1421</v>
      </c>
      <c r="Y318" s="4">
        <v>798</v>
      </c>
      <c r="Z318" s="4">
        <v>792</v>
      </c>
      <c r="AA318" s="4">
        <v>-0.75</v>
      </c>
      <c r="AB318" s="15">
        <v>5499656</v>
      </c>
      <c r="AC318" s="15">
        <v>5499656</v>
      </c>
      <c r="AD318" s="15">
        <v>554328</v>
      </c>
      <c r="AE318" s="15">
        <v>838873</v>
      </c>
      <c r="AF318" s="15">
        <v>825275</v>
      </c>
      <c r="AG318" s="15">
        <v>855583</v>
      </c>
      <c r="AH318" s="4">
        <v>4</v>
      </c>
      <c r="AI318" s="6">
        <v>4</v>
      </c>
    </row>
    <row r="319" spans="1:35" x14ac:dyDescent="0.25">
      <c r="A319" s="5" t="str">
        <f>"630701"</f>
        <v>630701</v>
      </c>
      <c r="B319" s="3" t="s">
        <v>598</v>
      </c>
      <c r="C319" s="15">
        <v>23909749</v>
      </c>
      <c r="D319" s="15">
        <v>24367652</v>
      </c>
      <c r="E319" s="4">
        <v>1.92</v>
      </c>
      <c r="F319" s="15">
        <v>20457142</v>
      </c>
      <c r="G319" s="15">
        <v>20972000</v>
      </c>
      <c r="H319" s="15"/>
      <c r="I319" s="15"/>
      <c r="J319" s="15"/>
      <c r="K319" s="15"/>
      <c r="L319" s="15"/>
      <c r="M319" s="15"/>
      <c r="N319" s="15">
        <v>20457142</v>
      </c>
      <c r="O319" s="15">
        <v>20972000</v>
      </c>
      <c r="P319" s="4">
        <v>2.52</v>
      </c>
      <c r="Q319" s="15">
        <v>918189</v>
      </c>
      <c r="R319" s="15">
        <v>996911</v>
      </c>
      <c r="S319" s="15">
        <v>19538953</v>
      </c>
      <c r="T319" s="15">
        <v>19975887</v>
      </c>
      <c r="U319" s="15">
        <v>19538953</v>
      </c>
      <c r="V319" s="15">
        <v>19975089</v>
      </c>
      <c r="W319" s="15">
        <v>0</v>
      </c>
      <c r="X319" s="15">
        <v>798</v>
      </c>
      <c r="Y319" s="4">
        <v>665</v>
      </c>
      <c r="Z319" s="4">
        <v>645</v>
      </c>
      <c r="AA319" s="4">
        <v>-3.01</v>
      </c>
      <c r="AB319" s="15">
        <v>3934043</v>
      </c>
      <c r="AC319" s="15">
        <v>3900000</v>
      </c>
      <c r="AD319" s="15">
        <v>825854</v>
      </c>
      <c r="AE319" s="15">
        <v>835831</v>
      </c>
      <c r="AF319" s="15">
        <v>956390</v>
      </c>
      <c r="AG319" s="15">
        <v>974706</v>
      </c>
      <c r="AH319" s="4">
        <v>4</v>
      </c>
      <c r="AI319" s="6">
        <v>4</v>
      </c>
    </row>
    <row r="320" spans="1:35" x14ac:dyDescent="0.25">
      <c r="A320" s="5" t="str">
        <f>"151102"</f>
        <v>151102</v>
      </c>
      <c r="B320" s="3" t="s">
        <v>160</v>
      </c>
      <c r="C320" s="15">
        <v>20731143</v>
      </c>
      <c r="D320" s="15">
        <v>20911744</v>
      </c>
      <c r="E320" s="4">
        <v>0.87</v>
      </c>
      <c r="F320" s="15">
        <v>16710000</v>
      </c>
      <c r="G320" s="15">
        <v>16675694</v>
      </c>
      <c r="H320" s="15"/>
      <c r="I320" s="15"/>
      <c r="J320" s="15"/>
      <c r="K320" s="15"/>
      <c r="L320" s="15"/>
      <c r="M320" s="15"/>
      <c r="N320" s="15">
        <v>16710000</v>
      </c>
      <c r="O320" s="15">
        <v>16675694</v>
      </c>
      <c r="P320" s="4">
        <v>-0.21</v>
      </c>
      <c r="Q320" s="15">
        <v>1560611</v>
      </c>
      <c r="R320" s="15">
        <v>1141708</v>
      </c>
      <c r="S320" s="15">
        <v>15430947</v>
      </c>
      <c r="T320" s="15">
        <v>15533986</v>
      </c>
      <c r="U320" s="15">
        <v>15149389</v>
      </c>
      <c r="V320" s="15">
        <v>15533986</v>
      </c>
      <c r="W320" s="15">
        <v>281558</v>
      </c>
      <c r="X320" s="15">
        <v>0</v>
      </c>
      <c r="Y320" s="4">
        <v>605</v>
      </c>
      <c r="Z320" s="4">
        <v>554</v>
      </c>
      <c r="AA320" s="4">
        <v>-8.43</v>
      </c>
      <c r="AB320" s="15">
        <v>2661985</v>
      </c>
      <c r="AC320" s="15">
        <v>2661985</v>
      </c>
      <c r="AD320" s="15">
        <v>488570</v>
      </c>
      <c r="AE320" s="15">
        <v>669662</v>
      </c>
      <c r="AF320" s="15">
        <v>3292716</v>
      </c>
      <c r="AG320" s="15">
        <v>3292716</v>
      </c>
      <c r="AH320" s="4">
        <v>15.88</v>
      </c>
      <c r="AI320" s="6">
        <v>15.75</v>
      </c>
    </row>
    <row r="321" spans="1:35" x14ac:dyDescent="0.25">
      <c r="A321" s="5" t="str">
        <f>"200601"</f>
        <v>200601</v>
      </c>
      <c r="B321" s="3" t="s">
        <v>194</v>
      </c>
      <c r="C321" s="15">
        <v>5246588</v>
      </c>
      <c r="D321" s="15">
        <v>5317801</v>
      </c>
      <c r="E321" s="4">
        <v>1.36</v>
      </c>
      <c r="F321" s="15">
        <v>3889716</v>
      </c>
      <c r="G321" s="15">
        <v>3936858</v>
      </c>
      <c r="H321" s="15"/>
      <c r="I321" s="15"/>
      <c r="J321" s="15"/>
      <c r="K321" s="15"/>
      <c r="L321" s="15"/>
      <c r="M321" s="15"/>
      <c r="N321" s="15">
        <v>3889716</v>
      </c>
      <c r="O321" s="15">
        <v>3936858</v>
      </c>
      <c r="P321" s="4">
        <v>1.21</v>
      </c>
      <c r="Q321" s="15">
        <v>347388</v>
      </c>
      <c r="R321" s="15">
        <v>346205</v>
      </c>
      <c r="S321" s="15">
        <v>3542328</v>
      </c>
      <c r="T321" s="15">
        <v>3630632</v>
      </c>
      <c r="U321" s="15">
        <v>3542328</v>
      </c>
      <c r="V321" s="15">
        <v>3590653</v>
      </c>
      <c r="W321" s="15">
        <v>0</v>
      </c>
      <c r="X321" s="15">
        <v>39979</v>
      </c>
      <c r="Y321" s="4">
        <v>74</v>
      </c>
      <c r="Z321" s="4">
        <v>72</v>
      </c>
      <c r="AA321" s="4">
        <v>-2.7</v>
      </c>
      <c r="AB321" s="15">
        <v>2220417</v>
      </c>
      <c r="AC321" s="15">
        <v>2252300</v>
      </c>
      <c r="AD321" s="15">
        <v>575886</v>
      </c>
      <c r="AE321" s="15">
        <v>586406</v>
      </c>
      <c r="AF321" s="15">
        <v>208064</v>
      </c>
      <c r="AG321" s="15">
        <v>212712</v>
      </c>
      <c r="AH321" s="4">
        <v>3.97</v>
      </c>
      <c r="AI321" s="6">
        <v>4</v>
      </c>
    </row>
    <row r="322" spans="1:35" x14ac:dyDescent="0.25">
      <c r="A322" s="5" t="str">
        <f>"662401"</f>
        <v>662401</v>
      </c>
      <c r="B322" s="3" t="s">
        <v>662</v>
      </c>
      <c r="C322" s="15">
        <v>168255026</v>
      </c>
      <c r="D322" s="15">
        <v>175669662</v>
      </c>
      <c r="E322" s="4">
        <v>4.41</v>
      </c>
      <c r="F322" s="15">
        <v>116683323</v>
      </c>
      <c r="G322" s="15">
        <v>119005322</v>
      </c>
      <c r="H322" s="15"/>
      <c r="I322" s="15"/>
      <c r="J322" s="15"/>
      <c r="K322" s="15"/>
      <c r="L322" s="15"/>
      <c r="M322" s="15"/>
      <c r="N322" s="15">
        <v>116683323</v>
      </c>
      <c r="O322" s="15">
        <v>119005322</v>
      </c>
      <c r="P322" s="4">
        <v>1.99</v>
      </c>
      <c r="Q322" s="15">
        <v>0</v>
      </c>
      <c r="R322" s="15">
        <v>0</v>
      </c>
      <c r="S322" s="15">
        <v>117945946</v>
      </c>
      <c r="T322" s="15">
        <v>120755799</v>
      </c>
      <c r="U322" s="15">
        <v>116683323</v>
      </c>
      <c r="V322" s="15">
        <v>119005322</v>
      </c>
      <c r="W322" s="15">
        <v>1262623</v>
      </c>
      <c r="X322" s="15">
        <v>1750477</v>
      </c>
      <c r="Y322" s="4">
        <v>5532</v>
      </c>
      <c r="Z322" s="4">
        <v>5424</v>
      </c>
      <c r="AA322" s="4">
        <v>-1.95</v>
      </c>
      <c r="AB322" s="15">
        <v>42510748</v>
      </c>
      <c r="AC322" s="15">
        <v>42175025</v>
      </c>
      <c r="AD322" s="15">
        <v>6010862</v>
      </c>
      <c r="AE322" s="15">
        <v>5450000</v>
      </c>
      <c r="AF322" s="15">
        <v>6730201</v>
      </c>
      <c r="AG322" s="15">
        <v>7026786</v>
      </c>
      <c r="AH322" s="4">
        <v>4</v>
      </c>
      <c r="AI322" s="6">
        <v>4</v>
      </c>
    </row>
    <row r="323" spans="1:35" x14ac:dyDescent="0.25">
      <c r="A323" s="5" t="str">
        <f>"141901"</f>
        <v>141901</v>
      </c>
      <c r="B323" s="3" t="s">
        <v>148</v>
      </c>
      <c r="C323" s="15">
        <v>117920921</v>
      </c>
      <c r="D323" s="15">
        <v>122268735</v>
      </c>
      <c r="E323" s="4">
        <v>3.69</v>
      </c>
      <c r="F323" s="15">
        <v>57777319</v>
      </c>
      <c r="G323" s="15">
        <v>59269225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57777319</v>
      </c>
      <c r="O323" s="15">
        <v>59269225</v>
      </c>
      <c r="P323" s="4">
        <v>2.58</v>
      </c>
      <c r="Q323" s="15">
        <v>0</v>
      </c>
      <c r="R323" s="15">
        <v>0</v>
      </c>
      <c r="S323" s="15">
        <v>58391996</v>
      </c>
      <c r="T323" s="15">
        <v>60171383</v>
      </c>
      <c r="U323" s="15">
        <v>57777319</v>
      </c>
      <c r="V323" s="15">
        <v>59269225</v>
      </c>
      <c r="W323" s="15">
        <v>614677</v>
      </c>
      <c r="X323" s="15">
        <v>902158</v>
      </c>
      <c r="Y323" s="4">
        <v>5447</v>
      </c>
      <c r="Z323" s="4">
        <v>5453</v>
      </c>
      <c r="AA323" s="4">
        <v>0.11</v>
      </c>
      <c r="AB323" s="15">
        <v>43336506</v>
      </c>
      <c r="AC323" s="15">
        <v>37432909</v>
      </c>
      <c r="AD323" s="15">
        <v>3455083</v>
      </c>
      <c r="AE323" s="15">
        <v>3682679</v>
      </c>
      <c r="AF323" s="15">
        <v>4681081</v>
      </c>
      <c r="AG323" s="15">
        <v>4890749</v>
      </c>
      <c r="AH323" s="4">
        <v>3.97</v>
      </c>
      <c r="AI323" s="6">
        <v>4</v>
      </c>
    </row>
    <row r="324" spans="1:35" x14ac:dyDescent="0.25">
      <c r="A324" s="5" t="str">
        <f>"610801"</f>
        <v>610801</v>
      </c>
      <c r="B324" s="3" t="s">
        <v>582</v>
      </c>
      <c r="C324" s="15">
        <v>32408881</v>
      </c>
      <c r="D324" s="15">
        <v>34048725</v>
      </c>
      <c r="E324" s="4">
        <v>5.0599999999999996</v>
      </c>
      <c r="F324" s="15">
        <v>21247374</v>
      </c>
      <c r="G324" s="15">
        <v>22233595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21247374</v>
      </c>
      <c r="O324" s="15">
        <v>22233595</v>
      </c>
      <c r="P324" s="4">
        <v>4.6399999999999997</v>
      </c>
      <c r="Q324" s="15">
        <v>1097510</v>
      </c>
      <c r="R324" s="15">
        <v>1035499</v>
      </c>
      <c r="S324" s="15">
        <v>20005573</v>
      </c>
      <c r="T324" s="15">
        <v>21051131</v>
      </c>
      <c r="U324" s="15">
        <v>20149864</v>
      </c>
      <c r="V324" s="15">
        <v>21198096</v>
      </c>
      <c r="W324" s="15">
        <v>-144291</v>
      </c>
      <c r="X324" s="15">
        <v>-146965</v>
      </c>
      <c r="Y324" s="4">
        <v>1186</v>
      </c>
      <c r="Z324" s="4">
        <v>1198</v>
      </c>
      <c r="AA324" s="4">
        <v>1.01</v>
      </c>
      <c r="AB324" s="15">
        <v>1634172</v>
      </c>
      <c r="AC324" s="15">
        <v>2586245</v>
      </c>
      <c r="AD324" s="15">
        <v>175000</v>
      </c>
      <c r="AE324" s="15">
        <v>250000</v>
      </c>
      <c r="AF324" s="15">
        <v>1163257</v>
      </c>
      <c r="AG324" s="15">
        <v>1282698</v>
      </c>
      <c r="AH324" s="4">
        <v>3.59</v>
      </c>
      <c r="AI324" s="6">
        <v>3.77</v>
      </c>
    </row>
    <row r="325" spans="1:35" x14ac:dyDescent="0.25">
      <c r="A325" s="5" t="str">
        <f>"490601"</f>
        <v>490601</v>
      </c>
      <c r="B325" s="3" t="s">
        <v>422</v>
      </c>
      <c r="C325" s="15">
        <v>54749178</v>
      </c>
      <c r="D325" s="15">
        <v>57383864</v>
      </c>
      <c r="E325" s="4">
        <v>4.8099999999999996</v>
      </c>
      <c r="F325" s="15">
        <v>16148318</v>
      </c>
      <c r="G325" s="15">
        <v>16438990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16148318</v>
      </c>
      <c r="O325" s="15">
        <v>16438990</v>
      </c>
      <c r="P325" s="4">
        <v>1.8</v>
      </c>
      <c r="Q325" s="15">
        <v>544879</v>
      </c>
      <c r="R325" s="15">
        <v>571480</v>
      </c>
      <c r="S325" s="15">
        <v>15603439</v>
      </c>
      <c r="T325" s="15">
        <v>15867510</v>
      </c>
      <c r="U325" s="15">
        <v>15603439</v>
      </c>
      <c r="V325" s="15">
        <v>15867510</v>
      </c>
      <c r="W325" s="15">
        <v>0</v>
      </c>
      <c r="X325" s="15">
        <v>0</v>
      </c>
      <c r="Y325" s="4">
        <v>2300</v>
      </c>
      <c r="Z325" s="4">
        <v>2200</v>
      </c>
      <c r="AA325" s="4">
        <v>-4.3499999999999996</v>
      </c>
      <c r="AB325" s="15">
        <v>3305219</v>
      </c>
      <c r="AC325" s="15">
        <v>3617381</v>
      </c>
      <c r="AD325" s="15">
        <v>750000</v>
      </c>
      <c r="AE325" s="15">
        <v>750000</v>
      </c>
      <c r="AF325" s="15">
        <v>3354048</v>
      </c>
      <c r="AG325" s="15">
        <v>2295354</v>
      </c>
      <c r="AH325" s="4">
        <v>6.13</v>
      </c>
      <c r="AI325" s="6">
        <v>4</v>
      </c>
    </row>
    <row r="326" spans="1:35" x14ac:dyDescent="0.25">
      <c r="A326" s="5" t="str">
        <f>"470801"</f>
        <v>470801</v>
      </c>
      <c r="B326" s="3" t="s">
        <v>401</v>
      </c>
      <c r="C326" s="15">
        <v>10242847</v>
      </c>
      <c r="D326" s="15">
        <v>10288927</v>
      </c>
      <c r="E326" s="4">
        <v>0.45</v>
      </c>
      <c r="F326" s="15">
        <v>2836202</v>
      </c>
      <c r="G326" s="15">
        <v>2892926</v>
      </c>
      <c r="H326" s="15">
        <v>0</v>
      </c>
      <c r="I326" s="15">
        <v>0</v>
      </c>
      <c r="J326" s="15">
        <v>0</v>
      </c>
      <c r="K326" s="15">
        <v>0</v>
      </c>
      <c r="L326" s="15">
        <v>0</v>
      </c>
      <c r="M326" s="15">
        <v>0</v>
      </c>
      <c r="N326" s="15">
        <v>2836202</v>
      </c>
      <c r="O326" s="15">
        <v>2892926</v>
      </c>
      <c r="P326" s="4">
        <v>2</v>
      </c>
      <c r="Q326" s="15">
        <v>111931</v>
      </c>
      <c r="R326" s="15">
        <v>110409</v>
      </c>
      <c r="S326" s="15">
        <v>2724271</v>
      </c>
      <c r="T326" s="15">
        <v>2801900</v>
      </c>
      <c r="U326" s="15">
        <v>2724271</v>
      </c>
      <c r="V326" s="15">
        <v>2782517</v>
      </c>
      <c r="W326" s="15">
        <v>0</v>
      </c>
      <c r="X326" s="15">
        <v>19383</v>
      </c>
      <c r="Y326" s="4">
        <v>315</v>
      </c>
      <c r="Z326" s="4">
        <v>300</v>
      </c>
      <c r="AA326" s="4">
        <v>-4.76</v>
      </c>
      <c r="AB326" s="15">
        <v>2973455</v>
      </c>
      <c r="AC326" s="15">
        <v>2703848</v>
      </c>
      <c r="AD326" s="15">
        <v>288382</v>
      </c>
      <c r="AE326" s="15">
        <v>231479</v>
      </c>
      <c r="AF326" s="15">
        <v>409714</v>
      </c>
      <c r="AG326" s="15">
        <v>411557</v>
      </c>
      <c r="AH326" s="4">
        <v>4</v>
      </c>
      <c r="AI326" s="6">
        <v>4</v>
      </c>
    </row>
    <row r="327" spans="1:35" x14ac:dyDescent="0.25">
      <c r="A327" s="5" t="str">
        <f>"280215"</f>
        <v>280215</v>
      </c>
      <c r="B327" s="3" t="s">
        <v>279</v>
      </c>
      <c r="C327" s="15">
        <v>102490053</v>
      </c>
      <c r="D327" s="15">
        <v>102490053</v>
      </c>
      <c r="E327" s="4">
        <v>0</v>
      </c>
      <c r="F327" s="15">
        <v>85954300</v>
      </c>
      <c r="G327" s="15">
        <v>85954300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85954300</v>
      </c>
      <c r="O327" s="15">
        <v>85954300</v>
      </c>
      <c r="P327" s="4">
        <v>0</v>
      </c>
      <c r="Q327" s="15">
        <v>0</v>
      </c>
      <c r="R327" s="15">
        <v>0</v>
      </c>
      <c r="S327" s="15">
        <v>87144763</v>
      </c>
      <c r="T327" s="15">
        <v>88021710</v>
      </c>
      <c r="U327" s="15">
        <v>85954300</v>
      </c>
      <c r="V327" s="15">
        <v>85954300</v>
      </c>
      <c r="W327" s="15">
        <v>1190463</v>
      </c>
      <c r="X327" s="15">
        <v>2067410</v>
      </c>
      <c r="Y327" s="4">
        <v>2392</v>
      </c>
      <c r="Z327" s="4">
        <v>2366</v>
      </c>
      <c r="AA327" s="4">
        <v>-1.0900000000000001</v>
      </c>
      <c r="AB327" s="15">
        <v>4415976</v>
      </c>
      <c r="AC327" s="15">
        <v>4415976</v>
      </c>
      <c r="AD327" s="15">
        <v>0</v>
      </c>
      <c r="AE327" s="15">
        <v>0</v>
      </c>
      <c r="AF327" s="15">
        <v>6957709</v>
      </c>
      <c r="AG327" s="15">
        <v>4099602</v>
      </c>
      <c r="AH327" s="4">
        <v>6.79</v>
      </c>
      <c r="AI327" s="6">
        <v>4</v>
      </c>
    </row>
    <row r="328" spans="1:35" x14ac:dyDescent="0.25">
      <c r="A328" s="5" t="str">
        <f>"181001"</f>
        <v>181001</v>
      </c>
      <c r="B328" s="3" t="s">
        <v>182</v>
      </c>
      <c r="C328" s="15">
        <v>26869288</v>
      </c>
      <c r="D328" s="15">
        <v>27708988</v>
      </c>
      <c r="E328" s="4">
        <v>3.13</v>
      </c>
      <c r="F328" s="15">
        <v>10597025</v>
      </c>
      <c r="G328" s="15">
        <v>10808965</v>
      </c>
      <c r="H328" s="15"/>
      <c r="I328" s="15"/>
      <c r="J328" s="15"/>
      <c r="K328" s="15"/>
      <c r="L328" s="15"/>
      <c r="M328" s="15"/>
      <c r="N328" s="15">
        <v>10597025</v>
      </c>
      <c r="O328" s="15">
        <v>10808965</v>
      </c>
      <c r="P328" s="4">
        <v>2</v>
      </c>
      <c r="Q328" s="15">
        <v>340314</v>
      </c>
      <c r="R328" s="15">
        <v>358201</v>
      </c>
      <c r="S328" s="15">
        <v>10634026</v>
      </c>
      <c r="T328" s="15">
        <v>10849926</v>
      </c>
      <c r="U328" s="15">
        <v>10256711</v>
      </c>
      <c r="V328" s="15">
        <v>10450764</v>
      </c>
      <c r="W328" s="15">
        <v>377315</v>
      </c>
      <c r="X328" s="15">
        <v>399162</v>
      </c>
      <c r="Y328" s="4">
        <v>1150</v>
      </c>
      <c r="Z328" s="4">
        <v>1155</v>
      </c>
      <c r="AA328" s="4">
        <v>0.43</v>
      </c>
      <c r="AB328" s="15">
        <v>1980714</v>
      </c>
      <c r="AC328" s="15">
        <v>2545600</v>
      </c>
      <c r="AD328" s="15">
        <v>575000</v>
      </c>
      <c r="AE328" s="15">
        <v>575000</v>
      </c>
      <c r="AF328" s="15">
        <v>1074731</v>
      </c>
      <c r="AG328" s="15">
        <v>1108360</v>
      </c>
      <c r="AH328" s="4">
        <v>4</v>
      </c>
      <c r="AI328" s="6">
        <v>4</v>
      </c>
    </row>
    <row r="329" spans="1:35" x14ac:dyDescent="0.25">
      <c r="A329" s="5" t="str">
        <f>"670401"</f>
        <v>670401</v>
      </c>
      <c r="B329" s="3" t="s">
        <v>665</v>
      </c>
      <c r="C329" s="15">
        <v>21715217</v>
      </c>
      <c r="D329" s="15">
        <v>22483944</v>
      </c>
      <c r="E329" s="4">
        <v>3.54</v>
      </c>
      <c r="F329" s="15">
        <v>4583021</v>
      </c>
      <c r="G329" s="15">
        <v>4670098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4583021</v>
      </c>
      <c r="O329" s="15">
        <v>4670098</v>
      </c>
      <c r="P329" s="4">
        <v>1.9</v>
      </c>
      <c r="Q329" s="15">
        <v>0</v>
      </c>
      <c r="R329" s="15">
        <v>0</v>
      </c>
      <c r="S329" s="15">
        <v>4744474</v>
      </c>
      <c r="T329" s="15">
        <v>4742485</v>
      </c>
      <c r="U329" s="15">
        <v>4583021</v>
      </c>
      <c r="V329" s="15">
        <v>4670098</v>
      </c>
      <c r="W329" s="15">
        <v>161453</v>
      </c>
      <c r="X329" s="15">
        <v>72387</v>
      </c>
      <c r="Y329" s="4">
        <v>853</v>
      </c>
      <c r="Z329" s="4">
        <v>856</v>
      </c>
      <c r="AA329" s="4">
        <v>0.35</v>
      </c>
      <c r="AB329" s="15">
        <v>5506279</v>
      </c>
      <c r="AC329" s="15">
        <v>6622430</v>
      </c>
      <c r="AD329" s="15">
        <v>768495</v>
      </c>
      <c r="AE329" s="15">
        <v>300000</v>
      </c>
      <c r="AF329" s="15">
        <v>868609</v>
      </c>
      <c r="AG329" s="15">
        <v>899358</v>
      </c>
      <c r="AH329" s="4">
        <v>4</v>
      </c>
      <c r="AI329" s="6">
        <v>4</v>
      </c>
    </row>
    <row r="330" spans="1:35" x14ac:dyDescent="0.25">
      <c r="A330" s="5" t="str">
        <f>"280205"</f>
        <v>280205</v>
      </c>
      <c r="B330" s="3" t="s">
        <v>269</v>
      </c>
      <c r="C330" s="15">
        <v>232482693</v>
      </c>
      <c r="D330" s="15">
        <v>239351011</v>
      </c>
      <c r="E330" s="4">
        <v>2.95</v>
      </c>
      <c r="F330" s="15">
        <v>149140845</v>
      </c>
      <c r="G330" s="15">
        <v>152756232</v>
      </c>
      <c r="H330" s="15">
        <v>0</v>
      </c>
      <c r="I330" s="15"/>
      <c r="J330" s="15">
        <v>0</v>
      </c>
      <c r="K330" s="15"/>
      <c r="L330" s="15">
        <v>0</v>
      </c>
      <c r="M330" s="15"/>
      <c r="N330" s="15">
        <v>149140845</v>
      </c>
      <c r="O330" s="15">
        <v>152756232</v>
      </c>
      <c r="P330" s="4">
        <v>2.42</v>
      </c>
      <c r="Q330" s="15">
        <v>2158164</v>
      </c>
      <c r="R330" s="15">
        <v>2572914</v>
      </c>
      <c r="S330" s="15">
        <v>146982681</v>
      </c>
      <c r="T330" s="15">
        <v>150183318</v>
      </c>
      <c r="U330" s="15">
        <v>146982681</v>
      </c>
      <c r="V330" s="15">
        <v>150183318</v>
      </c>
      <c r="W330" s="15">
        <v>0</v>
      </c>
      <c r="X330" s="15">
        <v>0</v>
      </c>
      <c r="Y330" s="4">
        <v>7043</v>
      </c>
      <c r="Z330" s="4">
        <v>7040</v>
      </c>
      <c r="AA330" s="4">
        <v>-0.04</v>
      </c>
      <c r="AB330" s="15">
        <v>30718594</v>
      </c>
      <c r="AC330" s="15">
        <v>27767292</v>
      </c>
      <c r="AD330" s="15">
        <v>11000000</v>
      </c>
      <c r="AE330" s="15">
        <v>10000000</v>
      </c>
      <c r="AF330" s="15">
        <v>9299308</v>
      </c>
      <c r="AG330" s="15">
        <v>9574040</v>
      </c>
      <c r="AH330" s="4">
        <v>4</v>
      </c>
      <c r="AI330" s="6">
        <v>4</v>
      </c>
    </row>
    <row r="331" spans="1:35" x14ac:dyDescent="0.25">
      <c r="A331" s="5" t="str">
        <f>"400301"</f>
        <v>400301</v>
      </c>
      <c r="B331" s="3" t="s">
        <v>317</v>
      </c>
      <c r="C331" s="15">
        <v>51195913</v>
      </c>
      <c r="D331" s="15">
        <v>53117598</v>
      </c>
      <c r="E331" s="4">
        <v>3.75</v>
      </c>
      <c r="F331" s="15">
        <v>28085639</v>
      </c>
      <c r="G331" s="15">
        <v>28843951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28085639</v>
      </c>
      <c r="O331" s="15">
        <v>28843951</v>
      </c>
      <c r="P331" s="4">
        <v>2.7</v>
      </c>
      <c r="Q331" s="15">
        <v>1268890</v>
      </c>
      <c r="R331" s="15">
        <v>1279963</v>
      </c>
      <c r="S331" s="15">
        <v>27196765</v>
      </c>
      <c r="T331" s="15">
        <v>27568487</v>
      </c>
      <c r="U331" s="15">
        <v>26816749</v>
      </c>
      <c r="V331" s="15">
        <v>27563988</v>
      </c>
      <c r="W331" s="15">
        <v>380016</v>
      </c>
      <c r="X331" s="15">
        <v>4499</v>
      </c>
      <c r="Y331" s="4">
        <v>1854</v>
      </c>
      <c r="Z331" s="4">
        <v>1939</v>
      </c>
      <c r="AA331" s="4">
        <v>4.58</v>
      </c>
      <c r="AB331" s="15">
        <v>1855473</v>
      </c>
      <c r="AC331" s="15">
        <v>365000</v>
      </c>
      <c r="AD331" s="15">
        <v>2250000</v>
      </c>
      <c r="AE331" s="15">
        <v>2500000</v>
      </c>
      <c r="AF331" s="15">
        <v>2155099</v>
      </c>
      <c r="AG331" s="15">
        <v>1948714</v>
      </c>
      <c r="AH331" s="4">
        <v>4.21</v>
      </c>
      <c r="AI331" s="6">
        <v>3.67</v>
      </c>
    </row>
    <row r="332" spans="1:35" x14ac:dyDescent="0.25">
      <c r="A332" s="5" t="str">
        <f>"590901"</f>
        <v>590901</v>
      </c>
      <c r="B332" s="3" t="s">
        <v>567</v>
      </c>
      <c r="C332" s="15">
        <v>53962992</v>
      </c>
      <c r="D332" s="15">
        <v>57543257</v>
      </c>
      <c r="E332" s="4">
        <v>6.63</v>
      </c>
      <c r="F332" s="15">
        <v>18760162</v>
      </c>
      <c r="G332" s="15">
        <v>18760162</v>
      </c>
      <c r="H332" s="15">
        <v>152200</v>
      </c>
      <c r="I332" s="15">
        <v>154200</v>
      </c>
      <c r="J332" s="15">
        <v>0</v>
      </c>
      <c r="K332" s="15">
        <v>0</v>
      </c>
      <c r="L332" s="15">
        <v>0</v>
      </c>
      <c r="M332" s="15">
        <v>0</v>
      </c>
      <c r="N332" s="15">
        <v>18912362</v>
      </c>
      <c r="O332" s="15">
        <v>18914362</v>
      </c>
      <c r="P332" s="4">
        <v>0.01</v>
      </c>
      <c r="Q332" s="15">
        <v>0</v>
      </c>
      <c r="R332" s="15">
        <v>0</v>
      </c>
      <c r="S332" s="15">
        <v>19243804</v>
      </c>
      <c r="T332" s="15">
        <v>19869859</v>
      </c>
      <c r="U332" s="15">
        <v>18760162</v>
      </c>
      <c r="V332" s="15">
        <v>18760162</v>
      </c>
      <c r="W332" s="15">
        <v>483642</v>
      </c>
      <c r="X332" s="15">
        <v>1109697</v>
      </c>
      <c r="Y332" s="4">
        <v>1775</v>
      </c>
      <c r="Z332" s="4">
        <v>1800</v>
      </c>
      <c r="AA332" s="4">
        <v>1.41</v>
      </c>
      <c r="AB332" s="15">
        <v>5488606</v>
      </c>
      <c r="AC332" s="15">
        <v>11380047</v>
      </c>
      <c r="AD332" s="15">
        <v>2451531</v>
      </c>
      <c r="AE332" s="15">
        <v>1500000</v>
      </c>
      <c r="AF332" s="15">
        <v>4819656</v>
      </c>
      <c r="AG332" s="15">
        <v>1749183</v>
      </c>
      <c r="AH332" s="4">
        <v>8.93</v>
      </c>
      <c r="AI332" s="6">
        <v>3.04</v>
      </c>
    </row>
    <row r="333" spans="1:35" x14ac:dyDescent="0.25">
      <c r="A333" s="5" t="str">
        <f>"580104"</f>
        <v>580104</v>
      </c>
      <c r="B333" s="3" t="s">
        <v>501</v>
      </c>
      <c r="C333" s="15">
        <v>173107128</v>
      </c>
      <c r="D333" s="15">
        <v>177638786</v>
      </c>
      <c r="E333" s="4">
        <v>2.62</v>
      </c>
      <c r="F333" s="15">
        <v>105864508</v>
      </c>
      <c r="G333" s="15">
        <v>107823001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105864508</v>
      </c>
      <c r="O333" s="15">
        <v>107823001</v>
      </c>
      <c r="P333" s="4">
        <v>1.85</v>
      </c>
      <c r="Q333" s="15">
        <v>3729594</v>
      </c>
      <c r="R333" s="15">
        <v>4165803</v>
      </c>
      <c r="S333" s="15">
        <v>102134914</v>
      </c>
      <c r="T333" s="15">
        <v>103657198</v>
      </c>
      <c r="U333" s="15">
        <v>102134914</v>
      </c>
      <c r="V333" s="15">
        <v>103657198</v>
      </c>
      <c r="W333" s="15">
        <v>0</v>
      </c>
      <c r="X333" s="15">
        <v>0</v>
      </c>
      <c r="Y333" s="4">
        <v>5540</v>
      </c>
      <c r="Z333" s="4">
        <v>5629</v>
      </c>
      <c r="AA333" s="4">
        <v>1.61</v>
      </c>
      <c r="AB333" s="15">
        <v>26667681</v>
      </c>
      <c r="AC333" s="15">
        <v>26912877</v>
      </c>
      <c r="AD333" s="15">
        <v>1000000</v>
      </c>
      <c r="AE333" s="15">
        <v>2167489</v>
      </c>
      <c r="AF333" s="15">
        <v>6924285</v>
      </c>
      <c r="AG333" s="15">
        <v>7097641</v>
      </c>
      <c r="AH333" s="4">
        <v>4</v>
      </c>
      <c r="AI333" s="6">
        <v>4</v>
      </c>
    </row>
    <row r="334" spans="1:35" x14ac:dyDescent="0.25">
      <c r="A334" s="5" t="str">
        <f>"511602"</f>
        <v>511602</v>
      </c>
      <c r="B334" s="3" t="s">
        <v>445</v>
      </c>
      <c r="C334" s="15">
        <v>15890213</v>
      </c>
      <c r="D334" s="15">
        <v>16013511</v>
      </c>
      <c r="E334" s="4">
        <v>0.78</v>
      </c>
      <c r="F334" s="15">
        <v>3830411</v>
      </c>
      <c r="G334" s="15">
        <v>3907019</v>
      </c>
      <c r="H334" s="15"/>
      <c r="I334" s="15"/>
      <c r="J334" s="15"/>
      <c r="K334" s="15"/>
      <c r="L334" s="15"/>
      <c r="M334" s="15"/>
      <c r="N334" s="15">
        <v>3830411</v>
      </c>
      <c r="O334" s="15">
        <v>3907019</v>
      </c>
      <c r="P334" s="4">
        <v>2</v>
      </c>
      <c r="Q334" s="15">
        <v>77943</v>
      </c>
      <c r="R334" s="15">
        <v>83678</v>
      </c>
      <c r="S334" s="15">
        <v>3752468</v>
      </c>
      <c r="T334" s="15">
        <v>3867381</v>
      </c>
      <c r="U334" s="15">
        <v>3752468</v>
      </c>
      <c r="V334" s="15">
        <v>3823341</v>
      </c>
      <c r="W334" s="15">
        <v>0</v>
      </c>
      <c r="X334" s="15">
        <v>44040</v>
      </c>
      <c r="Y334" s="4">
        <v>585</v>
      </c>
      <c r="Z334" s="4">
        <v>590</v>
      </c>
      <c r="AA334" s="4">
        <v>0.85</v>
      </c>
      <c r="AB334" s="15">
        <v>1931241</v>
      </c>
      <c r="AC334" s="15">
        <v>2163507</v>
      </c>
      <c r="AD334" s="15">
        <v>1497309</v>
      </c>
      <c r="AE334" s="15">
        <v>1532248</v>
      </c>
      <c r="AF334" s="15">
        <v>433932</v>
      </c>
      <c r="AG334" s="15">
        <v>631259</v>
      </c>
      <c r="AH334" s="4">
        <v>2.73</v>
      </c>
      <c r="AI334" s="6">
        <v>3.94</v>
      </c>
    </row>
    <row r="335" spans="1:35" x14ac:dyDescent="0.25">
      <c r="A335" s="5" t="str">
        <f>"210800"</f>
        <v>210800</v>
      </c>
      <c r="B335" s="3" t="s">
        <v>201</v>
      </c>
      <c r="C335" s="15">
        <v>26188901</v>
      </c>
      <c r="D335" s="15">
        <v>27766583</v>
      </c>
      <c r="E335" s="4">
        <v>6.02</v>
      </c>
      <c r="F335" s="15">
        <v>9046364</v>
      </c>
      <c r="G335" s="15">
        <v>9119159</v>
      </c>
      <c r="H335" s="15"/>
      <c r="I335" s="15"/>
      <c r="J335" s="15"/>
      <c r="K335" s="15"/>
      <c r="L335" s="15"/>
      <c r="M335" s="15"/>
      <c r="N335" s="15">
        <v>9046364</v>
      </c>
      <c r="O335" s="15">
        <v>9119159</v>
      </c>
      <c r="P335" s="4">
        <v>0.8</v>
      </c>
      <c r="Q335" s="15">
        <v>144426</v>
      </c>
      <c r="R335" s="15">
        <v>145158</v>
      </c>
      <c r="S335" s="15">
        <v>9310490</v>
      </c>
      <c r="T335" s="15">
        <v>9382366</v>
      </c>
      <c r="U335" s="15">
        <v>8901938</v>
      </c>
      <c r="V335" s="15">
        <v>8974001</v>
      </c>
      <c r="W335" s="15">
        <v>408552</v>
      </c>
      <c r="X335" s="15">
        <v>408365</v>
      </c>
      <c r="Y335" s="4">
        <v>1093</v>
      </c>
      <c r="Z335" s="4">
        <v>1100</v>
      </c>
      <c r="AA335" s="4">
        <v>0.64</v>
      </c>
      <c r="AB335" s="15">
        <v>555641</v>
      </c>
      <c r="AC335" s="15">
        <v>572310</v>
      </c>
      <c r="AD335" s="15">
        <v>0</v>
      </c>
      <c r="AE335" s="15">
        <v>0</v>
      </c>
      <c r="AF335" s="15">
        <v>4206443</v>
      </c>
      <c r="AG335" s="15">
        <v>4206443</v>
      </c>
      <c r="AH335" s="4">
        <v>16.059999999999999</v>
      </c>
      <c r="AI335" s="6">
        <v>15.15</v>
      </c>
    </row>
    <row r="336" spans="1:35" x14ac:dyDescent="0.25">
      <c r="A336" s="5" t="str">
        <f>"421501"</f>
        <v>421501</v>
      </c>
      <c r="B336" s="3" t="s">
        <v>355</v>
      </c>
      <c r="C336" s="15">
        <v>168363709</v>
      </c>
      <c r="D336" s="15">
        <v>173451163</v>
      </c>
      <c r="E336" s="4">
        <v>3.02</v>
      </c>
      <c r="F336" s="15">
        <v>90640892</v>
      </c>
      <c r="G336" s="15">
        <v>92454745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90640892</v>
      </c>
      <c r="O336" s="15">
        <v>92454745</v>
      </c>
      <c r="P336" s="4">
        <v>2</v>
      </c>
      <c r="Q336" s="15">
        <v>3828873</v>
      </c>
      <c r="R336" s="15">
        <v>3511566</v>
      </c>
      <c r="S336" s="15">
        <v>86812019</v>
      </c>
      <c r="T336" s="15">
        <v>88943179</v>
      </c>
      <c r="U336" s="15">
        <v>86812019</v>
      </c>
      <c r="V336" s="15">
        <v>88943179</v>
      </c>
      <c r="W336" s="15">
        <v>0</v>
      </c>
      <c r="X336" s="15">
        <v>0</v>
      </c>
      <c r="Y336" s="4">
        <v>6889</v>
      </c>
      <c r="Z336" s="4">
        <v>6878</v>
      </c>
      <c r="AA336" s="4">
        <v>-0.16</v>
      </c>
      <c r="AB336" s="15">
        <v>16595272</v>
      </c>
      <c r="AC336" s="15">
        <v>23135940</v>
      </c>
      <c r="AD336" s="15">
        <v>4143324</v>
      </c>
      <c r="AE336" s="15">
        <v>4460950</v>
      </c>
      <c r="AF336" s="15">
        <v>6734548</v>
      </c>
      <c r="AG336" s="15">
        <v>6938046</v>
      </c>
      <c r="AH336" s="4">
        <v>4</v>
      </c>
      <c r="AI336" s="6">
        <v>4</v>
      </c>
    </row>
    <row r="337" spans="1:35" x14ac:dyDescent="0.25">
      <c r="A337" s="5" t="str">
        <f>"591302"</f>
        <v>591302</v>
      </c>
      <c r="B337" s="3" t="s">
        <v>570</v>
      </c>
      <c r="C337" s="15">
        <v>18134957</v>
      </c>
      <c r="D337" s="15">
        <v>18791973</v>
      </c>
      <c r="E337" s="4">
        <v>3.62</v>
      </c>
      <c r="F337" s="15">
        <v>8986480</v>
      </c>
      <c r="G337" s="15">
        <v>9227503</v>
      </c>
      <c r="H337" s="15"/>
      <c r="I337" s="15"/>
      <c r="J337" s="15"/>
      <c r="K337" s="15"/>
      <c r="L337" s="15"/>
      <c r="M337" s="15"/>
      <c r="N337" s="15">
        <v>8986480</v>
      </c>
      <c r="O337" s="15">
        <v>9227503</v>
      </c>
      <c r="P337" s="4">
        <v>2.68</v>
      </c>
      <c r="Q337" s="15">
        <v>0</v>
      </c>
      <c r="R337" s="15">
        <v>0</v>
      </c>
      <c r="S337" s="15">
        <v>8986480</v>
      </c>
      <c r="T337" s="15">
        <v>9227503</v>
      </c>
      <c r="U337" s="15">
        <v>8986480</v>
      </c>
      <c r="V337" s="15">
        <v>9227503</v>
      </c>
      <c r="W337" s="15">
        <v>0</v>
      </c>
      <c r="X337" s="15">
        <v>0</v>
      </c>
      <c r="Y337" s="4">
        <v>485</v>
      </c>
      <c r="Z337" s="4">
        <v>485</v>
      </c>
      <c r="AA337" s="4">
        <v>0</v>
      </c>
      <c r="AB337" s="15">
        <v>7253589</v>
      </c>
      <c r="AC337" s="15">
        <v>8543156</v>
      </c>
      <c r="AD337" s="15">
        <v>809442</v>
      </c>
      <c r="AE337" s="15">
        <v>809442</v>
      </c>
      <c r="AF337" s="15">
        <v>2797051</v>
      </c>
      <c r="AG337" s="15">
        <v>1463388</v>
      </c>
      <c r="AH337" s="4">
        <v>15.42</v>
      </c>
      <c r="AI337" s="6">
        <v>7.79</v>
      </c>
    </row>
    <row r="338" spans="1:35" x14ac:dyDescent="0.25">
      <c r="A338" s="5" t="str">
        <f>"240801"</f>
        <v>240801</v>
      </c>
      <c r="B338" s="3" t="s">
        <v>227</v>
      </c>
      <c r="C338" s="15">
        <v>35399145</v>
      </c>
      <c r="D338" s="15">
        <v>36566701</v>
      </c>
      <c r="E338" s="4">
        <v>3.3</v>
      </c>
      <c r="F338" s="15">
        <v>18634745</v>
      </c>
      <c r="G338" s="15">
        <v>19147931</v>
      </c>
      <c r="H338" s="15"/>
      <c r="I338" s="15"/>
      <c r="J338" s="15"/>
      <c r="K338" s="15"/>
      <c r="L338" s="15"/>
      <c r="M338" s="15"/>
      <c r="N338" s="15">
        <v>18634745</v>
      </c>
      <c r="O338" s="15">
        <v>19147931</v>
      </c>
      <c r="P338" s="4">
        <v>2.75</v>
      </c>
      <c r="Q338" s="15">
        <v>934089</v>
      </c>
      <c r="R338" s="15">
        <v>928508</v>
      </c>
      <c r="S338" s="15">
        <v>17700656</v>
      </c>
      <c r="T338" s="15">
        <v>18219423</v>
      </c>
      <c r="U338" s="15">
        <v>17700656</v>
      </c>
      <c r="V338" s="15">
        <v>18219423</v>
      </c>
      <c r="W338" s="15">
        <v>0</v>
      </c>
      <c r="X338" s="15">
        <v>0</v>
      </c>
      <c r="Y338" s="4">
        <v>1429</v>
      </c>
      <c r="Z338" s="4">
        <v>1435</v>
      </c>
      <c r="AA338" s="4">
        <v>0.42</v>
      </c>
      <c r="AB338" s="15">
        <v>8596856</v>
      </c>
      <c r="AC338" s="15">
        <v>8950856</v>
      </c>
      <c r="AD338" s="15">
        <v>911208</v>
      </c>
      <c r="AE338" s="15">
        <v>845000</v>
      </c>
      <c r="AF338" s="15">
        <v>1415966</v>
      </c>
      <c r="AG338" s="15">
        <v>1462668</v>
      </c>
      <c r="AH338" s="4">
        <v>4</v>
      </c>
      <c r="AI338" s="6">
        <v>4</v>
      </c>
    </row>
    <row r="339" spans="1:35" x14ac:dyDescent="0.25">
      <c r="A339" s="5" t="str">
        <f>"400400"</f>
        <v>400400</v>
      </c>
      <c r="B339" s="3" t="s">
        <v>318</v>
      </c>
      <c r="C339" s="15">
        <v>110172074</v>
      </c>
      <c r="D339" s="15">
        <v>113807593</v>
      </c>
      <c r="E339" s="4">
        <v>3.3</v>
      </c>
      <c r="F339" s="15">
        <v>40553847</v>
      </c>
      <c r="G339" s="15">
        <v>41500286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40553847</v>
      </c>
      <c r="O339" s="15">
        <v>41500286</v>
      </c>
      <c r="P339" s="4">
        <v>2.33</v>
      </c>
      <c r="Q339" s="15">
        <v>0</v>
      </c>
      <c r="R339" s="15">
        <v>0</v>
      </c>
      <c r="S339" s="15">
        <v>40553847</v>
      </c>
      <c r="T339" s="15">
        <v>41500286</v>
      </c>
      <c r="U339" s="15">
        <v>40553847</v>
      </c>
      <c r="V339" s="15">
        <v>41500286</v>
      </c>
      <c r="W339" s="15">
        <v>0</v>
      </c>
      <c r="X339" s="15">
        <v>0</v>
      </c>
      <c r="Y339" s="4">
        <v>4184</v>
      </c>
      <c r="Z339" s="4">
        <v>4153</v>
      </c>
      <c r="AA339" s="4">
        <v>-0.74</v>
      </c>
      <c r="AB339" s="15">
        <v>28927239</v>
      </c>
      <c r="AC339" s="15">
        <v>29193456</v>
      </c>
      <c r="AD339" s="15">
        <v>3624528</v>
      </c>
      <c r="AE339" s="15">
        <v>2506276</v>
      </c>
      <c r="AF339" s="15">
        <v>4406882</v>
      </c>
      <c r="AG339" s="15">
        <v>4552303</v>
      </c>
      <c r="AH339" s="4">
        <v>4</v>
      </c>
      <c r="AI339" s="6">
        <v>4</v>
      </c>
    </row>
    <row r="340" spans="1:35" x14ac:dyDescent="0.25">
      <c r="A340" s="5" t="str">
        <f>"280503"</f>
        <v>280503</v>
      </c>
      <c r="B340" s="3" t="s">
        <v>308</v>
      </c>
      <c r="C340" s="15">
        <v>89991981</v>
      </c>
      <c r="D340" s="15">
        <v>91275243</v>
      </c>
      <c r="E340" s="4">
        <v>1.43</v>
      </c>
      <c r="F340" s="15">
        <v>83737900</v>
      </c>
      <c r="G340" s="15">
        <v>84694377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83737900</v>
      </c>
      <c r="O340" s="15">
        <v>84694377</v>
      </c>
      <c r="P340" s="4">
        <v>1.1399999999999999</v>
      </c>
      <c r="Q340" s="15">
        <v>3511484</v>
      </c>
      <c r="R340" s="15">
        <v>3483105</v>
      </c>
      <c r="S340" s="15">
        <v>80279416</v>
      </c>
      <c r="T340" s="15">
        <v>82228873</v>
      </c>
      <c r="U340" s="15">
        <v>80226416</v>
      </c>
      <c r="V340" s="15">
        <v>81211272</v>
      </c>
      <c r="W340" s="15">
        <v>53000</v>
      </c>
      <c r="X340" s="15">
        <v>1017601</v>
      </c>
      <c r="Y340" s="4">
        <v>1928</v>
      </c>
      <c r="Z340" s="4">
        <v>1885</v>
      </c>
      <c r="AA340" s="4">
        <v>-2.23</v>
      </c>
      <c r="AB340" s="15">
        <v>18976859</v>
      </c>
      <c r="AC340" s="15">
        <v>20477000</v>
      </c>
      <c r="AD340" s="15">
        <v>32559</v>
      </c>
      <c r="AE340" s="15">
        <v>32000</v>
      </c>
      <c r="AF340" s="15">
        <v>3599600</v>
      </c>
      <c r="AG340" s="15">
        <v>3651000</v>
      </c>
      <c r="AH340" s="4">
        <v>4</v>
      </c>
      <c r="AI340" s="6">
        <v>4</v>
      </c>
    </row>
    <row r="341" spans="1:35" x14ac:dyDescent="0.25">
      <c r="A341" s="5" t="str">
        <f>"280300"</f>
        <v>280300</v>
      </c>
      <c r="B341" s="3" t="s">
        <v>295</v>
      </c>
      <c r="C341" s="15">
        <v>144780801</v>
      </c>
      <c r="D341" s="15">
        <v>151915903</v>
      </c>
      <c r="E341" s="4">
        <v>4.93</v>
      </c>
      <c r="F341" s="15">
        <v>105880305</v>
      </c>
      <c r="G341" s="15">
        <v>105880305</v>
      </c>
      <c r="H341" s="15"/>
      <c r="I341" s="15"/>
      <c r="J341" s="15"/>
      <c r="K341" s="15"/>
      <c r="L341" s="15"/>
      <c r="M341" s="15"/>
      <c r="N341" s="15">
        <v>105880305</v>
      </c>
      <c r="O341" s="15">
        <v>105880305</v>
      </c>
      <c r="P341" s="4">
        <v>0</v>
      </c>
      <c r="Q341" s="15">
        <v>7777325</v>
      </c>
      <c r="R341" s="15">
        <v>6873032</v>
      </c>
      <c r="S341" s="15">
        <v>98102980</v>
      </c>
      <c r="T341" s="15">
        <v>99007273</v>
      </c>
      <c r="U341" s="15">
        <v>98102980</v>
      </c>
      <c r="V341" s="15">
        <v>99007273</v>
      </c>
      <c r="W341" s="15">
        <v>0</v>
      </c>
      <c r="X341" s="15">
        <v>0</v>
      </c>
      <c r="Y341" s="4">
        <v>3648</v>
      </c>
      <c r="Z341" s="4">
        <v>3552</v>
      </c>
      <c r="AA341" s="4">
        <v>-2.63</v>
      </c>
      <c r="AB341" s="15">
        <v>23283703</v>
      </c>
      <c r="AC341" s="15">
        <v>16223815</v>
      </c>
      <c r="AD341" s="15">
        <v>956194</v>
      </c>
      <c r="AE341" s="15">
        <v>1079246</v>
      </c>
      <c r="AF341" s="15">
        <v>13162400</v>
      </c>
      <c r="AG341" s="15">
        <v>8877000</v>
      </c>
      <c r="AH341" s="4">
        <v>9.09</v>
      </c>
      <c r="AI341" s="6">
        <v>5.84</v>
      </c>
    </row>
    <row r="342" spans="1:35" x14ac:dyDescent="0.25">
      <c r="A342" s="5" t="str">
        <f>"200701"</f>
        <v>200701</v>
      </c>
      <c r="B342" s="3" t="s">
        <v>195</v>
      </c>
      <c r="C342" s="15">
        <v>4608020</v>
      </c>
      <c r="D342" s="15">
        <v>4734688</v>
      </c>
      <c r="E342" s="4">
        <v>2.75</v>
      </c>
      <c r="F342" s="15">
        <v>3235000</v>
      </c>
      <c r="G342" s="15">
        <v>3291900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3235000</v>
      </c>
      <c r="O342" s="15">
        <v>3291900</v>
      </c>
      <c r="P342" s="4">
        <v>1.76</v>
      </c>
      <c r="Q342" s="15">
        <v>215984</v>
      </c>
      <c r="R342" s="15">
        <v>210528</v>
      </c>
      <c r="S342" s="15">
        <v>3019808</v>
      </c>
      <c r="T342" s="15">
        <v>3081376</v>
      </c>
      <c r="U342" s="15">
        <v>3019016</v>
      </c>
      <c r="V342" s="15">
        <v>3081372</v>
      </c>
      <c r="W342" s="15">
        <v>792</v>
      </c>
      <c r="X342" s="15">
        <v>4</v>
      </c>
      <c r="Y342" s="4">
        <v>66</v>
      </c>
      <c r="Z342" s="4">
        <v>59</v>
      </c>
      <c r="AA342" s="4">
        <v>-10.61</v>
      </c>
      <c r="AB342" s="15">
        <v>295990</v>
      </c>
      <c r="AC342" s="15">
        <v>263016</v>
      </c>
      <c r="AD342" s="15">
        <v>813920</v>
      </c>
      <c r="AE342" s="15">
        <v>866388</v>
      </c>
      <c r="AF342" s="15">
        <v>300737</v>
      </c>
      <c r="AG342" s="15">
        <v>144265</v>
      </c>
      <c r="AH342" s="4">
        <v>6.53</v>
      </c>
      <c r="AI342" s="6">
        <v>3.05</v>
      </c>
    </row>
    <row r="343" spans="1:35" x14ac:dyDescent="0.25">
      <c r="A343" s="5" t="str">
        <f>"580212"</f>
        <v>580212</v>
      </c>
      <c r="B343" s="3" t="s">
        <v>514</v>
      </c>
      <c r="C343" s="15">
        <v>263000000</v>
      </c>
      <c r="D343" s="15">
        <v>271000000</v>
      </c>
      <c r="E343" s="4">
        <v>3.04</v>
      </c>
      <c r="F343" s="15">
        <v>154136252</v>
      </c>
      <c r="G343" s="15">
        <v>155055333</v>
      </c>
      <c r="H343" s="15"/>
      <c r="I343" s="15"/>
      <c r="J343" s="15"/>
      <c r="K343" s="15"/>
      <c r="L343" s="15"/>
      <c r="M343" s="15"/>
      <c r="N343" s="15">
        <v>154136252</v>
      </c>
      <c r="O343" s="15">
        <v>155055333</v>
      </c>
      <c r="P343" s="4">
        <v>0.6</v>
      </c>
      <c r="Q343" s="15">
        <v>6637531</v>
      </c>
      <c r="R343" s="15">
        <v>4450531</v>
      </c>
      <c r="S343" s="15">
        <v>147498721</v>
      </c>
      <c r="T343" s="15">
        <v>150604802</v>
      </c>
      <c r="U343" s="15">
        <v>147498721</v>
      </c>
      <c r="V343" s="15">
        <v>150604802</v>
      </c>
      <c r="W343" s="15">
        <v>0</v>
      </c>
      <c r="X343" s="15">
        <v>0</v>
      </c>
      <c r="Y343" s="4">
        <v>9682</v>
      </c>
      <c r="Z343" s="4">
        <v>9622</v>
      </c>
      <c r="AA343" s="4">
        <v>-0.62</v>
      </c>
      <c r="AB343" s="15">
        <v>42518864</v>
      </c>
      <c r="AC343" s="15">
        <v>42598952</v>
      </c>
      <c r="AD343" s="15">
        <v>5400000</v>
      </c>
      <c r="AE343" s="15">
        <v>6000000</v>
      </c>
      <c r="AF343" s="15">
        <v>10520000</v>
      </c>
      <c r="AG343" s="15">
        <v>10840000</v>
      </c>
      <c r="AH343" s="4">
        <v>4</v>
      </c>
      <c r="AI343" s="6">
        <v>4</v>
      </c>
    </row>
    <row r="344" spans="1:35" x14ac:dyDescent="0.25">
      <c r="A344" s="5" t="str">
        <f>"230901"</f>
        <v>230901</v>
      </c>
      <c r="B344" s="3" t="s">
        <v>221</v>
      </c>
      <c r="C344" s="15">
        <v>28067434</v>
      </c>
      <c r="D344" s="15">
        <v>28758099</v>
      </c>
      <c r="E344" s="4">
        <v>2.46</v>
      </c>
      <c r="F344" s="15">
        <v>4546480</v>
      </c>
      <c r="G344" s="15">
        <v>4772895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4546480</v>
      </c>
      <c r="O344" s="15">
        <v>4772895</v>
      </c>
      <c r="P344" s="4">
        <v>4.9800000000000004</v>
      </c>
      <c r="Q344" s="15">
        <v>0</v>
      </c>
      <c r="R344" s="15">
        <v>0</v>
      </c>
      <c r="S344" s="15">
        <v>4832958</v>
      </c>
      <c r="T344" s="15">
        <v>5135918</v>
      </c>
      <c r="U344" s="15">
        <v>4546480</v>
      </c>
      <c r="V344" s="15">
        <v>4772895</v>
      </c>
      <c r="W344" s="15">
        <v>286478</v>
      </c>
      <c r="X344" s="15">
        <v>363023</v>
      </c>
      <c r="Y344" s="4">
        <v>1259</v>
      </c>
      <c r="Z344" s="4">
        <v>1305</v>
      </c>
      <c r="AA344" s="4">
        <v>3.65</v>
      </c>
      <c r="AB344" s="15">
        <v>13369100</v>
      </c>
      <c r="AC344" s="15">
        <v>13688000</v>
      </c>
      <c r="AD344" s="15">
        <v>1725000</v>
      </c>
      <c r="AE344" s="15">
        <v>2100000</v>
      </c>
      <c r="AF344" s="15">
        <v>941781</v>
      </c>
      <c r="AG344" s="15">
        <v>863000</v>
      </c>
      <c r="AH344" s="4">
        <v>3.36</v>
      </c>
      <c r="AI344" s="6">
        <v>3</v>
      </c>
    </row>
    <row r="345" spans="1:35" x14ac:dyDescent="0.25">
      <c r="A345" s="5" t="str">
        <f>"221301"</f>
        <v>221301</v>
      </c>
      <c r="B345" s="3" t="s">
        <v>215</v>
      </c>
      <c r="C345" s="15">
        <v>8825479</v>
      </c>
      <c r="D345" s="15">
        <v>8972391</v>
      </c>
      <c r="E345" s="4">
        <v>1.66</v>
      </c>
      <c r="F345" s="15">
        <v>4206129</v>
      </c>
      <c r="G345" s="15">
        <v>4252735</v>
      </c>
      <c r="H345" s="15"/>
      <c r="I345" s="15"/>
      <c r="J345" s="15"/>
      <c r="K345" s="15"/>
      <c r="L345" s="15"/>
      <c r="M345" s="15"/>
      <c r="N345" s="15">
        <v>4206129</v>
      </c>
      <c r="O345" s="15">
        <v>4252735</v>
      </c>
      <c r="P345" s="4">
        <v>1.1100000000000001</v>
      </c>
      <c r="Q345" s="15">
        <v>134451</v>
      </c>
      <c r="R345" s="15">
        <v>62727</v>
      </c>
      <c r="S345" s="15">
        <v>4117183</v>
      </c>
      <c r="T345" s="15">
        <v>4190008</v>
      </c>
      <c r="U345" s="15">
        <v>4071678</v>
      </c>
      <c r="V345" s="15">
        <v>4190008</v>
      </c>
      <c r="W345" s="15">
        <v>45505</v>
      </c>
      <c r="X345" s="15">
        <v>0</v>
      </c>
      <c r="Y345" s="4">
        <v>352</v>
      </c>
      <c r="Z345" s="4">
        <v>347</v>
      </c>
      <c r="AA345" s="4">
        <v>-1.42</v>
      </c>
      <c r="AB345" s="15">
        <v>2632185</v>
      </c>
      <c r="AC345" s="15">
        <v>2705325</v>
      </c>
      <c r="AD345" s="15">
        <v>600000</v>
      </c>
      <c r="AE345" s="15">
        <v>588000</v>
      </c>
      <c r="AF345" s="15">
        <v>1431931</v>
      </c>
      <c r="AG345" s="15">
        <v>1338325</v>
      </c>
      <c r="AH345" s="4">
        <v>16.22</v>
      </c>
      <c r="AI345" s="6">
        <v>14.92</v>
      </c>
    </row>
    <row r="346" spans="1:35" x14ac:dyDescent="0.25">
      <c r="A346" s="5" t="str">
        <f>"280220"</f>
        <v>280220</v>
      </c>
      <c r="B346" s="3" t="s">
        <v>284</v>
      </c>
      <c r="C346" s="15">
        <v>92907426</v>
      </c>
      <c r="D346" s="15">
        <v>96881523</v>
      </c>
      <c r="E346" s="4">
        <v>4.28</v>
      </c>
      <c r="F346" s="15">
        <v>71922469</v>
      </c>
      <c r="G346" s="15">
        <v>73088192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71922469</v>
      </c>
      <c r="O346" s="15">
        <v>73088192</v>
      </c>
      <c r="P346" s="4">
        <v>1.62</v>
      </c>
      <c r="Q346" s="15">
        <v>1488980</v>
      </c>
      <c r="R346" s="15">
        <v>1530745</v>
      </c>
      <c r="S346" s="15">
        <v>71077919</v>
      </c>
      <c r="T346" s="15">
        <v>71557447</v>
      </c>
      <c r="U346" s="15">
        <v>70433489</v>
      </c>
      <c r="V346" s="15">
        <v>71557447</v>
      </c>
      <c r="W346" s="15">
        <v>644430</v>
      </c>
      <c r="X346" s="15">
        <v>0</v>
      </c>
      <c r="Y346" s="4">
        <v>2762</v>
      </c>
      <c r="Z346" s="4">
        <v>2728</v>
      </c>
      <c r="AA346" s="4">
        <v>-1.23</v>
      </c>
      <c r="AB346" s="15">
        <v>24123492</v>
      </c>
      <c r="AC346" s="15">
        <v>26298549</v>
      </c>
      <c r="AD346" s="15">
        <v>1500000</v>
      </c>
      <c r="AE346" s="15">
        <v>1275000</v>
      </c>
      <c r="AF346" s="15">
        <v>3716297</v>
      </c>
      <c r="AG346" s="15">
        <v>3875261</v>
      </c>
      <c r="AH346" s="4">
        <v>4</v>
      </c>
      <c r="AI346" s="6">
        <v>4</v>
      </c>
    </row>
    <row r="347" spans="1:35" x14ac:dyDescent="0.25">
      <c r="A347" s="5" t="str">
        <f>"421504"</f>
        <v>421504</v>
      </c>
      <c r="B347" s="3" t="s">
        <v>356</v>
      </c>
      <c r="C347" s="15">
        <v>12060000</v>
      </c>
      <c r="D347" s="15">
        <v>13350000</v>
      </c>
      <c r="E347" s="4">
        <v>10.7</v>
      </c>
      <c r="F347" s="15">
        <v>6323138</v>
      </c>
      <c r="G347" s="15">
        <v>6524345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6323138</v>
      </c>
      <c r="O347" s="15">
        <v>6524345</v>
      </c>
      <c r="P347" s="4">
        <v>3.18</v>
      </c>
      <c r="Q347" s="15">
        <v>0</v>
      </c>
      <c r="R347" s="15">
        <v>0</v>
      </c>
      <c r="S347" s="15">
        <v>6323138</v>
      </c>
      <c r="T347" s="15">
        <v>6524345</v>
      </c>
      <c r="U347" s="15">
        <v>6323138</v>
      </c>
      <c r="V347" s="15">
        <v>6524345</v>
      </c>
      <c r="W347" s="15">
        <v>0</v>
      </c>
      <c r="X347" s="15">
        <v>0</v>
      </c>
      <c r="Y347" s="4">
        <v>556</v>
      </c>
      <c r="Z347" s="4">
        <v>573</v>
      </c>
      <c r="AA347" s="4">
        <v>3.06</v>
      </c>
      <c r="AB347" s="15">
        <v>2068790</v>
      </c>
      <c r="AC347" s="15">
        <v>1251204</v>
      </c>
      <c r="AD347" s="15">
        <v>100000</v>
      </c>
      <c r="AE347" s="15">
        <v>0</v>
      </c>
      <c r="AF347" s="15">
        <v>1395420</v>
      </c>
      <c r="AG347" s="15">
        <v>1170420</v>
      </c>
      <c r="AH347" s="4">
        <v>11.57</v>
      </c>
      <c r="AI347" s="6">
        <v>8.77</v>
      </c>
    </row>
    <row r="348" spans="1:35" x14ac:dyDescent="0.25">
      <c r="A348" s="5" t="str">
        <f>"451001"</f>
        <v>451001</v>
      </c>
      <c r="B348" s="3" t="s">
        <v>389</v>
      </c>
      <c r="C348" s="15">
        <v>15266796</v>
      </c>
      <c r="D348" s="15">
        <v>15704953</v>
      </c>
      <c r="E348" s="4">
        <v>2.87</v>
      </c>
      <c r="F348" s="15">
        <v>4528176</v>
      </c>
      <c r="G348" s="15">
        <v>4618740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4528176</v>
      </c>
      <c r="O348" s="15">
        <v>4618740</v>
      </c>
      <c r="P348" s="4">
        <v>2</v>
      </c>
      <c r="Q348" s="15">
        <v>0</v>
      </c>
      <c r="R348" s="15">
        <v>0</v>
      </c>
      <c r="S348" s="15">
        <v>4564223</v>
      </c>
      <c r="T348" s="15">
        <v>4664631</v>
      </c>
      <c r="U348" s="15">
        <v>4528176</v>
      </c>
      <c r="V348" s="15">
        <v>4618740</v>
      </c>
      <c r="W348" s="15">
        <v>36047</v>
      </c>
      <c r="X348" s="15">
        <v>45891</v>
      </c>
      <c r="Y348" s="4">
        <v>637</v>
      </c>
      <c r="Z348" s="4">
        <v>615</v>
      </c>
      <c r="AA348" s="4">
        <v>-3.45</v>
      </c>
      <c r="AB348" s="15">
        <v>6550129</v>
      </c>
      <c r="AC348" s="15">
        <v>6640470</v>
      </c>
      <c r="AD348" s="15">
        <v>656477</v>
      </c>
      <c r="AE348" s="15">
        <v>656477</v>
      </c>
      <c r="AF348" s="15">
        <v>565708</v>
      </c>
      <c r="AG348" s="15">
        <v>610672</v>
      </c>
      <c r="AH348" s="4">
        <v>3.71</v>
      </c>
      <c r="AI348" s="6">
        <v>3.89</v>
      </c>
    </row>
    <row r="349" spans="1:35" x14ac:dyDescent="0.25">
      <c r="A349" s="5" t="str">
        <f>"650501"</f>
        <v>650501</v>
      </c>
      <c r="B349" s="3" t="s">
        <v>616</v>
      </c>
      <c r="C349" s="15">
        <v>25283390</v>
      </c>
      <c r="D349" s="15">
        <v>26738368</v>
      </c>
      <c r="E349" s="4">
        <v>5.75</v>
      </c>
      <c r="F349" s="15">
        <v>5143086</v>
      </c>
      <c r="G349" s="15">
        <v>5230518</v>
      </c>
      <c r="H349" s="15"/>
      <c r="I349" s="15"/>
      <c r="J349" s="15"/>
      <c r="K349" s="15"/>
      <c r="L349" s="15"/>
      <c r="M349" s="15"/>
      <c r="N349" s="15">
        <v>5143086</v>
      </c>
      <c r="O349" s="15">
        <v>5230518</v>
      </c>
      <c r="P349" s="4">
        <v>1.7</v>
      </c>
      <c r="Q349" s="15">
        <v>0</v>
      </c>
      <c r="R349" s="15">
        <v>0</v>
      </c>
      <c r="S349" s="15">
        <v>5379138</v>
      </c>
      <c r="T349" s="15">
        <v>5407741</v>
      </c>
      <c r="U349" s="15">
        <v>5143086</v>
      </c>
      <c r="V349" s="15">
        <v>5230518</v>
      </c>
      <c r="W349" s="15">
        <v>236052</v>
      </c>
      <c r="X349" s="15">
        <v>177223</v>
      </c>
      <c r="Y349" s="4">
        <v>913</v>
      </c>
      <c r="Z349" s="4">
        <v>925</v>
      </c>
      <c r="AA349" s="4">
        <v>1.31</v>
      </c>
      <c r="AB349" s="15">
        <v>5793926</v>
      </c>
      <c r="AC349" s="15">
        <v>6285354</v>
      </c>
      <c r="AD349" s="15">
        <v>655954</v>
      </c>
      <c r="AE349" s="15">
        <v>621368</v>
      </c>
      <c r="AF349" s="15">
        <v>984014</v>
      </c>
      <c r="AG349" s="15">
        <v>1025876</v>
      </c>
      <c r="AH349" s="4">
        <v>3.89</v>
      </c>
      <c r="AI349" s="6">
        <v>3.84</v>
      </c>
    </row>
    <row r="350" spans="1:35" x14ac:dyDescent="0.25">
      <c r="A350" s="5" t="str">
        <f>"251101"</f>
        <v>251101</v>
      </c>
      <c r="B350" s="3" t="s">
        <v>238</v>
      </c>
      <c r="C350" s="15">
        <v>11181980</v>
      </c>
      <c r="D350" s="15">
        <v>11660590</v>
      </c>
      <c r="E350" s="4">
        <v>4.28</v>
      </c>
      <c r="F350" s="15">
        <v>3405627</v>
      </c>
      <c r="G350" s="15">
        <v>3516310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3405627</v>
      </c>
      <c r="O350" s="15">
        <v>3516310</v>
      </c>
      <c r="P350" s="4">
        <v>3.25</v>
      </c>
      <c r="Q350" s="15">
        <v>0</v>
      </c>
      <c r="R350" s="15">
        <v>0</v>
      </c>
      <c r="S350" s="15">
        <v>3420392</v>
      </c>
      <c r="T350" s="15">
        <v>3529436</v>
      </c>
      <c r="U350" s="15">
        <v>3405627</v>
      </c>
      <c r="V350" s="15">
        <v>3516310</v>
      </c>
      <c r="W350" s="15">
        <v>14765</v>
      </c>
      <c r="X350" s="15">
        <v>13126</v>
      </c>
      <c r="Y350" s="4">
        <v>450</v>
      </c>
      <c r="Z350" s="4">
        <v>456</v>
      </c>
      <c r="AA350" s="4">
        <v>1.33</v>
      </c>
      <c r="AB350" s="15">
        <v>2211854</v>
      </c>
      <c r="AC350" s="15">
        <v>1935519</v>
      </c>
      <c r="AD350" s="15">
        <v>150000</v>
      </c>
      <c r="AE350" s="15">
        <v>250000</v>
      </c>
      <c r="AF350" s="15">
        <v>1450576</v>
      </c>
      <c r="AG350" s="15">
        <v>1354701</v>
      </c>
      <c r="AH350" s="4">
        <v>12.97</v>
      </c>
      <c r="AI350" s="6">
        <v>11.62</v>
      </c>
    </row>
    <row r="351" spans="1:35" x14ac:dyDescent="0.25">
      <c r="A351" s="5" t="str">
        <f>"511901"</f>
        <v>511901</v>
      </c>
      <c r="B351" s="3" t="s">
        <v>446</v>
      </c>
      <c r="C351" s="15">
        <v>18187232</v>
      </c>
      <c r="D351" s="15">
        <v>19379011</v>
      </c>
      <c r="E351" s="4">
        <v>6.55</v>
      </c>
      <c r="F351" s="15">
        <v>4614825</v>
      </c>
      <c r="G351" s="15">
        <v>4730251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4614825</v>
      </c>
      <c r="O351" s="15">
        <v>4730251</v>
      </c>
      <c r="P351" s="4">
        <v>2.5</v>
      </c>
      <c r="Q351" s="15">
        <v>0</v>
      </c>
      <c r="R351" s="15">
        <v>0</v>
      </c>
      <c r="S351" s="15">
        <v>4629630</v>
      </c>
      <c r="T351" s="15">
        <v>4744251</v>
      </c>
      <c r="U351" s="15">
        <v>4614825</v>
      </c>
      <c r="V351" s="15">
        <v>4730251</v>
      </c>
      <c r="W351" s="15">
        <v>14805</v>
      </c>
      <c r="X351" s="15">
        <v>14000</v>
      </c>
      <c r="Y351" s="4">
        <v>679</v>
      </c>
      <c r="Z351" s="4">
        <v>685</v>
      </c>
      <c r="AA351" s="4">
        <v>0.88</v>
      </c>
      <c r="AB351" s="15">
        <v>1904438</v>
      </c>
      <c r="AC351" s="15">
        <v>2529580</v>
      </c>
      <c r="AD351" s="15">
        <v>1050000</v>
      </c>
      <c r="AE351" s="15">
        <v>810000</v>
      </c>
      <c r="AF351" s="15">
        <v>547582</v>
      </c>
      <c r="AG351" s="15">
        <v>475000</v>
      </c>
      <c r="AH351" s="4">
        <v>3.01</v>
      </c>
      <c r="AI351" s="6">
        <v>2.4500000000000002</v>
      </c>
    </row>
    <row r="352" spans="1:35" x14ac:dyDescent="0.25">
      <c r="A352" s="5" t="str">
        <f>"480101"</f>
        <v>480101</v>
      </c>
      <c r="B352" s="3" t="s">
        <v>411</v>
      </c>
      <c r="C352" s="15">
        <v>127378406</v>
      </c>
      <c r="D352" s="15">
        <v>133011332</v>
      </c>
      <c r="E352" s="4">
        <v>4.42</v>
      </c>
      <c r="F352" s="15">
        <v>89755706</v>
      </c>
      <c r="G352" s="15">
        <v>92763650</v>
      </c>
      <c r="H352" s="15"/>
      <c r="I352" s="15"/>
      <c r="J352" s="15"/>
      <c r="K352" s="15"/>
      <c r="L352" s="15"/>
      <c r="M352" s="15"/>
      <c r="N352" s="15">
        <v>89755706</v>
      </c>
      <c r="O352" s="15">
        <v>92763650</v>
      </c>
      <c r="P352" s="4">
        <v>3.35</v>
      </c>
      <c r="Q352" s="15">
        <v>1574519</v>
      </c>
      <c r="R352" s="15">
        <v>2051072</v>
      </c>
      <c r="S352" s="15">
        <v>88181187</v>
      </c>
      <c r="T352" s="15">
        <v>90722992</v>
      </c>
      <c r="U352" s="15">
        <v>88181187</v>
      </c>
      <c r="V352" s="15">
        <v>90712578</v>
      </c>
      <c r="W352" s="15">
        <v>0</v>
      </c>
      <c r="X352" s="15">
        <v>10414</v>
      </c>
      <c r="Y352" s="4">
        <v>3784</v>
      </c>
      <c r="Z352" s="4">
        <v>3865</v>
      </c>
      <c r="AA352" s="4">
        <v>2.14</v>
      </c>
      <c r="AB352" s="15">
        <v>15267116</v>
      </c>
      <c r="AC352" s="15">
        <v>16930784</v>
      </c>
      <c r="AD352" s="15">
        <v>3960859</v>
      </c>
      <c r="AE352" s="15">
        <v>3000000</v>
      </c>
      <c r="AF352" s="15">
        <v>5057224</v>
      </c>
      <c r="AG352" s="15">
        <v>5300000</v>
      </c>
      <c r="AH352" s="4">
        <v>3.97</v>
      </c>
      <c r="AI352" s="6">
        <v>3.98</v>
      </c>
    </row>
    <row r="353" spans="1:35" x14ac:dyDescent="0.25">
      <c r="A353" s="5" t="str">
        <f>"031101"</f>
        <v>031101</v>
      </c>
      <c r="B353" s="3" t="s">
        <v>29</v>
      </c>
      <c r="C353" s="15">
        <v>57755236</v>
      </c>
      <c r="D353" s="15">
        <v>61523868</v>
      </c>
      <c r="E353" s="4">
        <v>6.53</v>
      </c>
      <c r="F353" s="15">
        <v>25233600</v>
      </c>
      <c r="G353" s="15">
        <v>25624721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25233600</v>
      </c>
      <c r="O353" s="15">
        <v>25624721</v>
      </c>
      <c r="P353" s="4">
        <v>1.55</v>
      </c>
      <c r="Q353" s="15">
        <v>1233795</v>
      </c>
      <c r="R353" s="15">
        <v>1234051</v>
      </c>
      <c r="S353" s="15">
        <v>23999805</v>
      </c>
      <c r="T353" s="15">
        <v>24527791</v>
      </c>
      <c r="U353" s="15">
        <v>23999805</v>
      </c>
      <c r="V353" s="15">
        <v>24390670</v>
      </c>
      <c r="W353" s="15">
        <v>0</v>
      </c>
      <c r="X353" s="15">
        <v>137121</v>
      </c>
      <c r="Y353" s="4">
        <v>2527</v>
      </c>
      <c r="Z353" s="4">
        <v>2527</v>
      </c>
      <c r="AA353" s="4">
        <v>0</v>
      </c>
      <c r="AB353" s="15">
        <v>4460665</v>
      </c>
      <c r="AC353" s="15">
        <v>8159054</v>
      </c>
      <c r="AD353" s="15">
        <v>1546389</v>
      </c>
      <c r="AE353" s="15">
        <v>1500000</v>
      </c>
      <c r="AF353" s="15">
        <v>2047619</v>
      </c>
      <c r="AG353" s="15">
        <v>2204677</v>
      </c>
      <c r="AH353" s="4">
        <v>3.55</v>
      </c>
      <c r="AI353" s="6">
        <v>3.58</v>
      </c>
    </row>
    <row r="354" spans="1:35" x14ac:dyDescent="0.25">
      <c r="A354" s="5" t="str">
        <f>"161501"</f>
        <v>161501</v>
      </c>
      <c r="B354" s="3" t="s">
        <v>169</v>
      </c>
      <c r="C354" s="15">
        <v>56171341</v>
      </c>
      <c r="D354" s="15">
        <v>60888184</v>
      </c>
      <c r="E354" s="4">
        <v>8.4</v>
      </c>
      <c r="F354" s="15">
        <v>13734713</v>
      </c>
      <c r="G354" s="15">
        <v>13734713</v>
      </c>
      <c r="H354" s="15">
        <v>0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15">
        <v>13734713</v>
      </c>
      <c r="O354" s="15">
        <v>13734713</v>
      </c>
      <c r="P354" s="4">
        <v>0</v>
      </c>
      <c r="Q354" s="15">
        <v>427888</v>
      </c>
      <c r="R354" s="15">
        <v>638</v>
      </c>
      <c r="S354" s="15">
        <v>13306825</v>
      </c>
      <c r="T354" s="15">
        <v>13734075</v>
      </c>
      <c r="U354" s="15">
        <v>13306825</v>
      </c>
      <c r="V354" s="15">
        <v>13734075</v>
      </c>
      <c r="W354" s="15">
        <v>0</v>
      </c>
      <c r="X354" s="15">
        <v>0</v>
      </c>
      <c r="Y354" s="4">
        <v>2244</v>
      </c>
      <c r="Z354" s="4">
        <v>2396</v>
      </c>
      <c r="AA354" s="4">
        <v>6.77</v>
      </c>
      <c r="AB354" s="15">
        <v>9141671</v>
      </c>
      <c r="AC354" s="15">
        <v>9776671</v>
      </c>
      <c r="AD354" s="15">
        <v>2103169</v>
      </c>
      <c r="AE354" s="15">
        <v>2140302</v>
      </c>
      <c r="AF354" s="15">
        <v>5976986</v>
      </c>
      <c r="AG354" s="15">
        <v>5220204</v>
      </c>
      <c r="AH354" s="4">
        <v>10.64</v>
      </c>
      <c r="AI354" s="6">
        <v>8.57</v>
      </c>
    </row>
    <row r="355" spans="1:35" x14ac:dyDescent="0.25">
      <c r="A355" s="5" t="str">
        <f>"280212"</f>
        <v>280212</v>
      </c>
      <c r="B355" s="3" t="s">
        <v>276</v>
      </c>
      <c r="C355" s="15">
        <v>61957097</v>
      </c>
      <c r="D355" s="15">
        <v>64407654</v>
      </c>
      <c r="E355" s="4">
        <v>3.96</v>
      </c>
      <c r="F355" s="15">
        <v>45922615</v>
      </c>
      <c r="G355" s="15">
        <v>46838771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45922615</v>
      </c>
      <c r="O355" s="15">
        <v>46838771</v>
      </c>
      <c r="P355" s="4">
        <v>1.99</v>
      </c>
      <c r="Q355" s="15">
        <v>1499894</v>
      </c>
      <c r="R355" s="15">
        <v>1552115</v>
      </c>
      <c r="S355" s="15">
        <v>44425844</v>
      </c>
      <c r="T355" s="15">
        <v>45392363</v>
      </c>
      <c r="U355" s="15">
        <v>44422721</v>
      </c>
      <c r="V355" s="15">
        <v>45286656</v>
      </c>
      <c r="W355" s="15">
        <v>3123</v>
      </c>
      <c r="X355" s="15">
        <v>105707</v>
      </c>
      <c r="Y355" s="4">
        <v>1745</v>
      </c>
      <c r="Z355" s="4">
        <v>1750</v>
      </c>
      <c r="AA355" s="4">
        <v>0.28999999999999998</v>
      </c>
      <c r="AB355" s="15">
        <v>8219023</v>
      </c>
      <c r="AC355" s="15">
        <v>5939083</v>
      </c>
      <c r="AD355" s="15">
        <v>1009550</v>
      </c>
      <c r="AE355" s="15">
        <v>345000</v>
      </c>
      <c r="AF355" s="15">
        <v>2466240</v>
      </c>
      <c r="AG355" s="15">
        <v>2576306</v>
      </c>
      <c r="AH355" s="4">
        <v>3.98</v>
      </c>
      <c r="AI355" s="6">
        <v>4</v>
      </c>
    </row>
    <row r="356" spans="1:35" x14ac:dyDescent="0.25">
      <c r="A356" s="5" t="str">
        <f>"660701"</f>
        <v>660701</v>
      </c>
      <c r="B356" s="3" t="s">
        <v>641</v>
      </c>
      <c r="C356" s="15">
        <v>144941319</v>
      </c>
      <c r="D356" s="15">
        <v>149662400</v>
      </c>
      <c r="E356" s="4">
        <v>3.26</v>
      </c>
      <c r="F356" s="15">
        <v>131311044</v>
      </c>
      <c r="G356" s="15">
        <v>134454645</v>
      </c>
      <c r="H356" s="15"/>
      <c r="I356" s="15"/>
      <c r="J356" s="15"/>
      <c r="K356" s="15"/>
      <c r="L356" s="15"/>
      <c r="M356" s="15"/>
      <c r="N356" s="15">
        <v>131311044</v>
      </c>
      <c r="O356" s="15">
        <v>134454645</v>
      </c>
      <c r="P356" s="4">
        <v>2.39</v>
      </c>
      <c r="Q356" s="15">
        <v>4768769</v>
      </c>
      <c r="R356" s="15">
        <v>5382657</v>
      </c>
      <c r="S356" s="15">
        <v>125527492</v>
      </c>
      <c r="T356" s="15">
        <v>129072000</v>
      </c>
      <c r="U356" s="15">
        <v>126542275</v>
      </c>
      <c r="V356" s="15">
        <v>129071988</v>
      </c>
      <c r="W356" s="15">
        <v>-1014783</v>
      </c>
      <c r="X356" s="15">
        <v>12</v>
      </c>
      <c r="Y356" s="4">
        <v>5418</v>
      </c>
      <c r="Z356" s="4">
        <v>5368</v>
      </c>
      <c r="AA356" s="4">
        <v>-0.92</v>
      </c>
      <c r="AB356" s="15">
        <v>11138619</v>
      </c>
      <c r="AC356" s="15">
        <v>13138619</v>
      </c>
      <c r="AD356" s="15">
        <v>3184669</v>
      </c>
      <c r="AE356" s="15">
        <v>2095587</v>
      </c>
      <c r="AF356" s="15">
        <v>8039807</v>
      </c>
      <c r="AG356" s="15">
        <v>5986496</v>
      </c>
      <c r="AH356" s="4">
        <v>5.55</v>
      </c>
      <c r="AI356" s="6">
        <v>4</v>
      </c>
    </row>
    <row r="357" spans="1:35" x14ac:dyDescent="0.25">
      <c r="A357" s="5" t="str">
        <f>"431101"</f>
        <v>431101</v>
      </c>
      <c r="B357" s="3" t="s">
        <v>363</v>
      </c>
      <c r="C357" s="15">
        <v>20319544</v>
      </c>
      <c r="D357" s="15">
        <v>21607803</v>
      </c>
      <c r="E357" s="4">
        <v>6.34</v>
      </c>
      <c r="F357" s="15">
        <v>7815804</v>
      </c>
      <c r="G357" s="15">
        <v>7815804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7815804</v>
      </c>
      <c r="O357" s="15">
        <v>7815804</v>
      </c>
      <c r="P357" s="4">
        <v>0</v>
      </c>
      <c r="Q357" s="15">
        <v>0</v>
      </c>
      <c r="R357" s="15">
        <v>0</v>
      </c>
      <c r="S357" s="15">
        <v>7967154</v>
      </c>
      <c r="T357" s="15">
        <v>8156831</v>
      </c>
      <c r="U357" s="15">
        <v>7815804</v>
      </c>
      <c r="V357" s="15">
        <v>7815804</v>
      </c>
      <c r="W357" s="15">
        <v>151350</v>
      </c>
      <c r="X357" s="15">
        <v>341027</v>
      </c>
      <c r="Y357" s="4">
        <v>798</v>
      </c>
      <c r="Z357" s="4">
        <v>793</v>
      </c>
      <c r="AA357" s="4">
        <v>-0.63</v>
      </c>
      <c r="AB357" s="15">
        <v>6514319</v>
      </c>
      <c r="AC357" s="15">
        <v>5304267</v>
      </c>
      <c r="AD357" s="15">
        <v>0</v>
      </c>
      <c r="AE357" s="15">
        <v>0</v>
      </c>
      <c r="AF357" s="15">
        <v>812780</v>
      </c>
      <c r="AG357" s="15">
        <v>864311</v>
      </c>
      <c r="AH357" s="4">
        <v>4</v>
      </c>
      <c r="AI357" s="6">
        <v>4</v>
      </c>
    </row>
    <row r="358" spans="1:35" x14ac:dyDescent="0.25">
      <c r="A358" s="5" t="str">
        <f>"280406"</f>
        <v>280406</v>
      </c>
      <c r="B358" s="3" t="s">
        <v>301</v>
      </c>
      <c r="C358" s="15">
        <v>102320176</v>
      </c>
      <c r="D358" s="15">
        <v>104596962</v>
      </c>
      <c r="E358" s="4">
        <v>2.23</v>
      </c>
      <c r="F358" s="15">
        <v>92147707</v>
      </c>
      <c r="G358" s="15">
        <v>94341649</v>
      </c>
      <c r="H358" s="15"/>
      <c r="I358" s="15"/>
      <c r="J358" s="15"/>
      <c r="K358" s="15"/>
      <c r="L358" s="15"/>
      <c r="M358" s="15"/>
      <c r="N358" s="15">
        <v>92147707</v>
      </c>
      <c r="O358" s="15">
        <v>94341649</v>
      </c>
      <c r="P358" s="4">
        <v>2.38</v>
      </c>
      <c r="Q358" s="15">
        <v>2609057</v>
      </c>
      <c r="R358" s="15">
        <v>2601143</v>
      </c>
      <c r="S358" s="15">
        <v>89538651</v>
      </c>
      <c r="T358" s="15">
        <v>91740507</v>
      </c>
      <c r="U358" s="15">
        <v>89538650</v>
      </c>
      <c r="V358" s="15">
        <v>91740506</v>
      </c>
      <c r="W358" s="15">
        <v>1</v>
      </c>
      <c r="X358" s="15">
        <v>1</v>
      </c>
      <c r="Y358" s="4">
        <v>3058</v>
      </c>
      <c r="Z358" s="4">
        <v>3029</v>
      </c>
      <c r="AA358" s="4">
        <v>-0.95</v>
      </c>
      <c r="AB358" s="15">
        <v>3675545</v>
      </c>
      <c r="AC358" s="15">
        <v>1800545</v>
      </c>
      <c r="AD358" s="15">
        <v>964890</v>
      </c>
      <c r="AE358" s="15">
        <v>724067</v>
      </c>
      <c r="AF358" s="15">
        <v>5017808</v>
      </c>
      <c r="AG358" s="15">
        <v>4183878</v>
      </c>
      <c r="AH358" s="4">
        <v>4.9000000000000004</v>
      </c>
      <c r="AI358" s="6">
        <v>4</v>
      </c>
    </row>
    <row r="359" spans="1:35" x14ac:dyDescent="0.25">
      <c r="A359" s="5" t="str">
        <f>"110901"</f>
        <v>110901</v>
      </c>
      <c r="B359" s="3" t="s">
        <v>102</v>
      </c>
      <c r="C359" s="15">
        <v>19840029</v>
      </c>
      <c r="D359" s="15">
        <v>20226681</v>
      </c>
      <c r="E359" s="4">
        <v>1.95</v>
      </c>
      <c r="F359" s="15">
        <v>4146642</v>
      </c>
      <c r="G359" s="15">
        <v>4221282</v>
      </c>
      <c r="H359" s="15">
        <v>82000</v>
      </c>
      <c r="I359" s="15">
        <v>82000</v>
      </c>
      <c r="J359" s="15"/>
      <c r="K359" s="15"/>
      <c r="L359" s="15">
        <v>0</v>
      </c>
      <c r="M359" s="15">
        <v>0</v>
      </c>
      <c r="N359" s="15">
        <v>4228642</v>
      </c>
      <c r="O359" s="15">
        <v>4303282</v>
      </c>
      <c r="P359" s="4">
        <v>1.77</v>
      </c>
      <c r="Q359" s="15">
        <v>199982</v>
      </c>
      <c r="R359" s="15">
        <v>249083</v>
      </c>
      <c r="S359" s="15">
        <v>3975733</v>
      </c>
      <c r="T359" s="15">
        <v>4065050</v>
      </c>
      <c r="U359" s="15">
        <v>3946660</v>
      </c>
      <c r="V359" s="15">
        <v>3972199</v>
      </c>
      <c r="W359" s="15">
        <v>29073</v>
      </c>
      <c r="X359" s="15">
        <v>92851</v>
      </c>
      <c r="Y359" s="4">
        <v>700</v>
      </c>
      <c r="Z359" s="4">
        <v>709</v>
      </c>
      <c r="AA359" s="4">
        <v>1.29</v>
      </c>
      <c r="AB359" s="15">
        <v>3649435</v>
      </c>
      <c r="AC359" s="15">
        <v>3950375</v>
      </c>
      <c r="AD359" s="15">
        <v>502628</v>
      </c>
      <c r="AE359" s="15">
        <v>491630</v>
      </c>
      <c r="AF359" s="15">
        <v>1012284</v>
      </c>
      <c r="AG359" s="15">
        <v>809067</v>
      </c>
      <c r="AH359" s="4">
        <v>5.0999999999999996</v>
      </c>
      <c r="AI359" s="6">
        <v>4</v>
      </c>
    </row>
    <row r="360" spans="1:35" x14ac:dyDescent="0.25">
      <c r="A360" s="5" t="str">
        <f>"421101"</f>
        <v>421101</v>
      </c>
      <c r="B360" s="3" t="s">
        <v>353</v>
      </c>
      <c r="C360" s="15">
        <v>38456593</v>
      </c>
      <c r="D360" s="15">
        <v>38970001</v>
      </c>
      <c r="E360" s="4">
        <v>1.34</v>
      </c>
      <c r="F360" s="15">
        <v>20589540</v>
      </c>
      <c r="G360" s="15">
        <v>20977942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20589540</v>
      </c>
      <c r="O360" s="15">
        <v>20977942</v>
      </c>
      <c r="P360" s="4">
        <v>1.89</v>
      </c>
      <c r="Q360" s="15">
        <v>1215989</v>
      </c>
      <c r="R360" s="15">
        <v>1137115</v>
      </c>
      <c r="S360" s="15">
        <v>19373551</v>
      </c>
      <c r="T360" s="15">
        <v>19840827</v>
      </c>
      <c r="U360" s="15">
        <v>19373551</v>
      </c>
      <c r="V360" s="15">
        <v>19840827</v>
      </c>
      <c r="W360" s="15">
        <v>0</v>
      </c>
      <c r="X360" s="15">
        <v>0</v>
      </c>
      <c r="Y360" s="4">
        <v>1407</v>
      </c>
      <c r="Z360" s="4">
        <v>1396</v>
      </c>
      <c r="AA360" s="4">
        <v>-0.78</v>
      </c>
      <c r="AB360" s="15">
        <v>4691160</v>
      </c>
      <c r="AC360" s="15">
        <v>4691160</v>
      </c>
      <c r="AD360" s="15">
        <v>1506282</v>
      </c>
      <c r="AE360" s="15">
        <v>1506282</v>
      </c>
      <c r="AF360" s="15">
        <v>1464780</v>
      </c>
      <c r="AG360" s="15">
        <v>1538264</v>
      </c>
      <c r="AH360" s="4">
        <v>3.81</v>
      </c>
      <c r="AI360" s="6">
        <v>3.95</v>
      </c>
    </row>
    <row r="361" spans="1:35" x14ac:dyDescent="0.25">
      <c r="A361" s="5" t="str">
        <f>"121401"</f>
        <v>121401</v>
      </c>
      <c r="B361" s="3" t="s">
        <v>109</v>
      </c>
      <c r="C361" s="15">
        <v>11858952</v>
      </c>
      <c r="D361" s="15">
        <v>11858952</v>
      </c>
      <c r="E361" s="4">
        <v>0</v>
      </c>
      <c r="F361" s="15">
        <v>7457967</v>
      </c>
      <c r="G361" s="15">
        <v>7457967</v>
      </c>
      <c r="H361" s="15"/>
      <c r="I361" s="15"/>
      <c r="J361" s="15"/>
      <c r="K361" s="15"/>
      <c r="L361" s="15"/>
      <c r="M361" s="15"/>
      <c r="N361" s="15">
        <v>7457967</v>
      </c>
      <c r="O361" s="15">
        <v>7457967</v>
      </c>
      <c r="P361" s="4">
        <v>0</v>
      </c>
      <c r="Q361" s="15">
        <v>269822</v>
      </c>
      <c r="R361" s="15">
        <v>137680</v>
      </c>
      <c r="S361" s="15">
        <v>7188145</v>
      </c>
      <c r="T361" s="15">
        <v>7320287</v>
      </c>
      <c r="U361" s="15">
        <v>7188145</v>
      </c>
      <c r="V361" s="15">
        <v>7320287</v>
      </c>
      <c r="W361" s="15">
        <v>0</v>
      </c>
      <c r="X361" s="15">
        <v>0</v>
      </c>
      <c r="Y361" s="4">
        <v>371</v>
      </c>
      <c r="Z361" s="4">
        <v>374</v>
      </c>
      <c r="AA361" s="4">
        <v>0.81</v>
      </c>
      <c r="AB361" s="15">
        <v>2517004</v>
      </c>
      <c r="AC361" s="15">
        <v>2931976</v>
      </c>
      <c r="AD361" s="15">
        <v>215772</v>
      </c>
      <c r="AE361" s="15">
        <v>425913</v>
      </c>
      <c r="AF361" s="15">
        <v>4921849</v>
      </c>
      <c r="AG361" s="15">
        <v>3943343</v>
      </c>
      <c r="AH361" s="4">
        <v>41.5</v>
      </c>
      <c r="AI361" s="6">
        <v>33.25</v>
      </c>
    </row>
    <row r="362" spans="1:35" x14ac:dyDescent="0.25">
      <c r="A362" s="5" t="str">
        <f>"650701"</f>
        <v>650701</v>
      </c>
      <c r="B362" s="3" t="s">
        <v>617</v>
      </c>
      <c r="C362" s="15">
        <v>21090290</v>
      </c>
      <c r="D362" s="15">
        <v>21224095</v>
      </c>
      <c r="E362" s="4">
        <v>0.63</v>
      </c>
      <c r="F362" s="15">
        <v>6994379</v>
      </c>
      <c r="G362" s="15">
        <v>7176358</v>
      </c>
      <c r="H362" s="15"/>
      <c r="I362" s="15"/>
      <c r="J362" s="15"/>
      <c r="K362" s="15"/>
      <c r="L362" s="15"/>
      <c r="M362" s="15"/>
      <c r="N362" s="15">
        <v>6994379</v>
      </c>
      <c r="O362" s="15">
        <v>7176358</v>
      </c>
      <c r="P362" s="4">
        <v>2.6</v>
      </c>
      <c r="Q362" s="15">
        <v>0</v>
      </c>
      <c r="R362" s="15">
        <v>0</v>
      </c>
      <c r="S362" s="15">
        <v>6994379</v>
      </c>
      <c r="T362" s="15">
        <v>7176358</v>
      </c>
      <c r="U362" s="15">
        <v>6994379</v>
      </c>
      <c r="V362" s="15">
        <v>7176358</v>
      </c>
      <c r="W362" s="15">
        <v>0</v>
      </c>
      <c r="X362" s="15">
        <v>0</v>
      </c>
      <c r="Y362" s="4">
        <v>602</v>
      </c>
      <c r="Z362" s="4">
        <v>632</v>
      </c>
      <c r="AA362" s="4">
        <v>4.9800000000000004</v>
      </c>
      <c r="AB362" s="15">
        <v>6025907</v>
      </c>
      <c r="AC362" s="15">
        <v>6880907</v>
      </c>
      <c r="AD362" s="15">
        <v>585397</v>
      </c>
      <c r="AE362" s="15">
        <v>818934</v>
      </c>
      <c r="AF362" s="15">
        <v>843611</v>
      </c>
      <c r="AG362" s="15">
        <v>848963</v>
      </c>
      <c r="AH362" s="4">
        <v>4</v>
      </c>
      <c r="AI362" s="6">
        <v>4</v>
      </c>
    </row>
    <row r="363" spans="1:35" x14ac:dyDescent="0.25">
      <c r="A363" s="5" t="str">
        <f>"621001"</f>
        <v>621001</v>
      </c>
      <c r="B363" s="3" t="s">
        <v>588</v>
      </c>
      <c r="C363" s="15">
        <v>58363438</v>
      </c>
      <c r="D363" s="15">
        <v>61498000</v>
      </c>
      <c r="E363" s="4">
        <v>5.37</v>
      </c>
      <c r="F363" s="15">
        <v>35231599</v>
      </c>
      <c r="G363" s="15">
        <v>33116599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35231599</v>
      </c>
      <c r="O363" s="15">
        <v>33116599</v>
      </c>
      <c r="P363" s="4">
        <v>-6</v>
      </c>
      <c r="Q363" s="15">
        <v>2293633</v>
      </c>
      <c r="R363" s="15">
        <v>2432607</v>
      </c>
      <c r="S363" s="15">
        <v>38801775</v>
      </c>
      <c r="T363" s="15">
        <v>36031909</v>
      </c>
      <c r="U363" s="15">
        <v>32937966</v>
      </c>
      <c r="V363" s="15">
        <v>30683992</v>
      </c>
      <c r="W363" s="15">
        <v>5863809</v>
      </c>
      <c r="X363" s="15">
        <v>5347917</v>
      </c>
      <c r="Y363" s="4">
        <v>1993</v>
      </c>
      <c r="Z363" s="4">
        <v>2030</v>
      </c>
      <c r="AA363" s="4">
        <v>1.86</v>
      </c>
      <c r="AB363" s="15">
        <v>2669139</v>
      </c>
      <c r="AC363" s="15">
        <v>3354535</v>
      </c>
      <c r="AD363" s="15">
        <v>2405990</v>
      </c>
      <c r="AE363" s="15">
        <v>2640382</v>
      </c>
      <c r="AF363" s="15">
        <v>5194436</v>
      </c>
      <c r="AG363" s="15">
        <v>2459920</v>
      </c>
      <c r="AH363" s="4">
        <v>8.9</v>
      </c>
      <c r="AI363" s="6">
        <v>4</v>
      </c>
    </row>
    <row r="364" spans="1:35" x14ac:dyDescent="0.25">
      <c r="A364" s="5" t="str">
        <f>"280523"</f>
        <v>280523</v>
      </c>
      <c r="B364" s="3" t="s">
        <v>316</v>
      </c>
      <c r="C364" s="15">
        <v>210511077</v>
      </c>
      <c r="D364" s="15">
        <v>219695854</v>
      </c>
      <c r="E364" s="4">
        <v>4.3600000000000003</v>
      </c>
      <c r="F364" s="15">
        <v>169289819</v>
      </c>
      <c r="G364" s="15">
        <v>173692413</v>
      </c>
      <c r="H364" s="15">
        <v>0</v>
      </c>
      <c r="I364" s="15"/>
      <c r="J364" s="15">
        <v>0</v>
      </c>
      <c r="K364" s="15"/>
      <c r="L364" s="15">
        <v>0</v>
      </c>
      <c r="M364" s="15"/>
      <c r="N364" s="15">
        <v>169289819</v>
      </c>
      <c r="O364" s="15">
        <v>173692413</v>
      </c>
      <c r="P364" s="4">
        <v>2.6</v>
      </c>
      <c r="Q364" s="15">
        <v>4002735</v>
      </c>
      <c r="R364" s="15">
        <v>4580060</v>
      </c>
      <c r="S364" s="15">
        <v>165287084</v>
      </c>
      <c r="T364" s="15">
        <v>169125153</v>
      </c>
      <c r="U364" s="15">
        <v>165287084</v>
      </c>
      <c r="V364" s="15">
        <v>169112353</v>
      </c>
      <c r="W364" s="15">
        <v>0</v>
      </c>
      <c r="X364" s="15">
        <v>12800</v>
      </c>
      <c r="Y364" s="4">
        <v>6500</v>
      </c>
      <c r="Z364" s="4">
        <v>6470</v>
      </c>
      <c r="AA364" s="4">
        <v>-0.46</v>
      </c>
      <c r="AB364" s="15">
        <v>32026481</v>
      </c>
      <c r="AC364" s="15">
        <v>30546099</v>
      </c>
      <c r="AD364" s="15">
        <v>550000</v>
      </c>
      <c r="AE364" s="15">
        <v>692017</v>
      </c>
      <c r="AF364" s="15">
        <v>7469711</v>
      </c>
      <c r="AG364" s="15">
        <v>7750000</v>
      </c>
      <c r="AH364" s="4">
        <v>3.55</v>
      </c>
      <c r="AI364" s="6">
        <v>3.53</v>
      </c>
    </row>
    <row r="365" spans="1:35" x14ac:dyDescent="0.25">
      <c r="A365" s="5" t="str">
        <f>"512001"</f>
        <v>512001</v>
      </c>
      <c r="B365" s="3" t="s">
        <v>447</v>
      </c>
      <c r="C365" s="15">
        <v>59712626</v>
      </c>
      <c r="D365" s="15">
        <v>63825147</v>
      </c>
      <c r="E365" s="4">
        <v>6.89</v>
      </c>
      <c r="F365" s="15">
        <v>14831697</v>
      </c>
      <c r="G365" s="15">
        <v>14831697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14831697</v>
      </c>
      <c r="O365" s="15">
        <v>14831697</v>
      </c>
      <c r="P365" s="4">
        <v>0</v>
      </c>
      <c r="Q365" s="15">
        <v>0</v>
      </c>
      <c r="R365" s="15">
        <v>0</v>
      </c>
      <c r="S365" s="15">
        <v>15296377</v>
      </c>
      <c r="T365" s="15">
        <v>15380632</v>
      </c>
      <c r="U365" s="15">
        <v>14831697</v>
      </c>
      <c r="V365" s="15">
        <v>14831697</v>
      </c>
      <c r="W365" s="15">
        <v>464680</v>
      </c>
      <c r="X365" s="15">
        <v>548935</v>
      </c>
      <c r="Y365" s="4">
        <v>2447</v>
      </c>
      <c r="Z365" s="4">
        <v>2412</v>
      </c>
      <c r="AA365" s="4">
        <v>-1.43</v>
      </c>
      <c r="AB365" s="15">
        <v>16831284</v>
      </c>
      <c r="AC365" s="15">
        <v>17710090</v>
      </c>
      <c r="AD365" s="15">
        <v>2007634</v>
      </c>
      <c r="AE365" s="15">
        <v>998537</v>
      </c>
      <c r="AF365" s="15">
        <v>6598213</v>
      </c>
      <c r="AG365" s="15">
        <v>6315238</v>
      </c>
      <c r="AH365" s="4">
        <v>11.05</v>
      </c>
      <c r="AI365" s="6">
        <v>9.89</v>
      </c>
    </row>
    <row r="366" spans="1:35" x14ac:dyDescent="0.25">
      <c r="A366" s="5" t="str">
        <f>"581012"</f>
        <v>581012</v>
      </c>
      <c r="B366" s="3" t="s">
        <v>564</v>
      </c>
      <c r="C366" s="15">
        <v>42216806</v>
      </c>
      <c r="D366" s="15">
        <v>42829297</v>
      </c>
      <c r="E366" s="4">
        <v>1.45</v>
      </c>
      <c r="F366" s="15">
        <v>38028742</v>
      </c>
      <c r="G366" s="15">
        <v>38728125</v>
      </c>
      <c r="H366" s="15"/>
      <c r="I366" s="15"/>
      <c r="J366" s="15"/>
      <c r="K366" s="15"/>
      <c r="L366" s="15"/>
      <c r="M366" s="15"/>
      <c r="N366" s="15">
        <v>38028742</v>
      </c>
      <c r="O366" s="15">
        <v>38728125</v>
      </c>
      <c r="P366" s="4">
        <v>1.84</v>
      </c>
      <c r="Q366" s="15">
        <v>1614963</v>
      </c>
      <c r="R366" s="15">
        <v>1689353</v>
      </c>
      <c r="S366" s="15">
        <v>36796671</v>
      </c>
      <c r="T366" s="15">
        <v>37373771</v>
      </c>
      <c r="U366" s="15">
        <v>36413779</v>
      </c>
      <c r="V366" s="15">
        <v>37038772</v>
      </c>
      <c r="W366" s="15">
        <v>382892</v>
      </c>
      <c r="X366" s="15">
        <v>334999</v>
      </c>
      <c r="Y366" s="4">
        <v>1067</v>
      </c>
      <c r="Z366" s="4">
        <v>1013</v>
      </c>
      <c r="AA366" s="4">
        <v>-5.0599999999999996</v>
      </c>
      <c r="AB366" s="15">
        <v>13133130</v>
      </c>
      <c r="AC366" s="15">
        <v>11327420</v>
      </c>
      <c r="AD366" s="15">
        <v>250000</v>
      </c>
      <c r="AE366" s="15">
        <v>250000</v>
      </c>
      <c r="AF366" s="15">
        <v>1688670</v>
      </c>
      <c r="AG366" s="15">
        <v>1713172</v>
      </c>
      <c r="AH366" s="4">
        <v>4</v>
      </c>
      <c r="AI366" s="6">
        <v>4</v>
      </c>
    </row>
    <row r="367" spans="1:35" x14ac:dyDescent="0.25">
      <c r="A367" s="5" t="str">
        <f>"170801"</f>
        <v>170801</v>
      </c>
      <c r="B367" s="3" t="s">
        <v>175</v>
      </c>
      <c r="C367" s="15">
        <v>20216034</v>
      </c>
      <c r="D367" s="15">
        <v>20636429</v>
      </c>
      <c r="E367" s="4">
        <v>2.08</v>
      </c>
      <c r="F367" s="15">
        <v>8133524</v>
      </c>
      <c r="G367" s="15">
        <v>8295381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8133524</v>
      </c>
      <c r="O367" s="15">
        <v>8295381</v>
      </c>
      <c r="P367" s="4">
        <v>1.99</v>
      </c>
      <c r="Q367" s="15">
        <v>205243</v>
      </c>
      <c r="R367" s="15">
        <v>213615</v>
      </c>
      <c r="S367" s="15">
        <v>7928281</v>
      </c>
      <c r="T367" s="15">
        <v>8383424</v>
      </c>
      <c r="U367" s="15">
        <v>7928281</v>
      </c>
      <c r="V367" s="15">
        <v>8081766</v>
      </c>
      <c r="W367" s="15">
        <v>0</v>
      </c>
      <c r="X367" s="15">
        <v>301658</v>
      </c>
      <c r="Y367" s="4">
        <v>928</v>
      </c>
      <c r="Z367" s="4">
        <v>893</v>
      </c>
      <c r="AA367" s="4">
        <v>-3.77</v>
      </c>
      <c r="AB367" s="15">
        <v>5959871</v>
      </c>
      <c r="AC367" s="15">
        <v>4683921</v>
      </c>
      <c r="AD367" s="15">
        <v>0</v>
      </c>
      <c r="AE367" s="15">
        <v>156408</v>
      </c>
      <c r="AF367" s="15">
        <v>1749306</v>
      </c>
      <c r="AG367" s="15">
        <v>669050</v>
      </c>
      <c r="AH367" s="4">
        <v>8.65</v>
      </c>
      <c r="AI367" s="6">
        <v>3.24</v>
      </c>
    </row>
    <row r="368" spans="1:35" x14ac:dyDescent="0.25">
      <c r="A368" s="5" t="str">
        <f>"110304"</f>
        <v>110304</v>
      </c>
      <c r="B368" s="3" t="s">
        <v>100</v>
      </c>
      <c r="C368" s="15">
        <v>14426242</v>
      </c>
      <c r="D368" s="15">
        <v>15162920</v>
      </c>
      <c r="E368" s="4">
        <v>5.1100000000000003</v>
      </c>
      <c r="F368" s="15">
        <v>3309830</v>
      </c>
      <c r="G368" s="15">
        <v>3309830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3309830</v>
      </c>
      <c r="O368" s="15">
        <v>3309830</v>
      </c>
      <c r="P368" s="4">
        <v>0</v>
      </c>
      <c r="Q368" s="15">
        <v>0</v>
      </c>
      <c r="R368" s="15">
        <v>0</v>
      </c>
      <c r="S368" s="15">
        <v>3320380</v>
      </c>
      <c r="T368" s="15">
        <v>3404099</v>
      </c>
      <c r="U368" s="15">
        <v>3309830</v>
      </c>
      <c r="V368" s="15">
        <v>3309830</v>
      </c>
      <c r="W368" s="15">
        <v>10550</v>
      </c>
      <c r="X368" s="15">
        <v>94269</v>
      </c>
      <c r="Y368" s="4">
        <v>490</v>
      </c>
      <c r="Z368" s="4">
        <v>495</v>
      </c>
      <c r="AA368" s="4">
        <v>1.02</v>
      </c>
      <c r="AB368" s="15">
        <v>4023517</v>
      </c>
      <c r="AC368" s="15">
        <v>4294690</v>
      </c>
      <c r="AD368" s="15">
        <v>601677</v>
      </c>
      <c r="AE368" s="15">
        <v>601677</v>
      </c>
      <c r="AF368" s="15">
        <v>577049</v>
      </c>
      <c r="AG368" s="15">
        <v>606516</v>
      </c>
      <c r="AH368" s="4">
        <v>4</v>
      </c>
      <c r="AI368" s="6">
        <v>4</v>
      </c>
    </row>
    <row r="369" spans="1:35" x14ac:dyDescent="0.25">
      <c r="A369" s="5" t="str">
        <f>"521200"</f>
        <v>521200</v>
      </c>
      <c r="B369" s="3" t="s">
        <v>460</v>
      </c>
      <c r="C369" s="15">
        <v>31768546</v>
      </c>
      <c r="D369" s="15">
        <v>30818447</v>
      </c>
      <c r="E369" s="4">
        <v>-2.99</v>
      </c>
      <c r="F369" s="15">
        <v>14127295</v>
      </c>
      <c r="G369" s="15">
        <v>14380174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14127295</v>
      </c>
      <c r="O369" s="15">
        <v>14380174</v>
      </c>
      <c r="P369" s="4">
        <v>1.79</v>
      </c>
      <c r="Q369" s="15">
        <v>730939</v>
      </c>
      <c r="R369" s="15">
        <v>606154</v>
      </c>
      <c r="S369" s="15">
        <v>13939450</v>
      </c>
      <c r="T369" s="15">
        <v>13899910</v>
      </c>
      <c r="U369" s="15">
        <v>13396356</v>
      </c>
      <c r="V369" s="15">
        <v>13774020</v>
      </c>
      <c r="W369" s="15">
        <v>543094</v>
      </c>
      <c r="X369" s="15">
        <v>125890</v>
      </c>
      <c r="Y369" s="4">
        <v>1354</v>
      </c>
      <c r="Z369" s="4">
        <v>1368</v>
      </c>
      <c r="AA369" s="4">
        <v>1.03</v>
      </c>
      <c r="AB369" s="15">
        <v>1814151</v>
      </c>
      <c r="AC369" s="15">
        <v>1990684</v>
      </c>
      <c r="AD369" s="15">
        <v>3055947</v>
      </c>
      <c r="AE369" s="15">
        <v>788306</v>
      </c>
      <c r="AF369" s="15">
        <v>5325423</v>
      </c>
      <c r="AG369" s="15">
        <v>4690002</v>
      </c>
      <c r="AH369" s="4">
        <v>16.760000000000002</v>
      </c>
      <c r="AI369" s="6">
        <v>15.22</v>
      </c>
    </row>
    <row r="370" spans="1:35" x14ac:dyDescent="0.25">
      <c r="A370" s="5" t="str">
        <f>"450801"</f>
        <v>450801</v>
      </c>
      <c r="B370" s="3" t="s">
        <v>388</v>
      </c>
      <c r="C370" s="15">
        <v>39323374</v>
      </c>
      <c r="D370" s="15">
        <v>39884316</v>
      </c>
      <c r="E370" s="4">
        <v>1.43</v>
      </c>
      <c r="F370" s="15">
        <v>8641861</v>
      </c>
      <c r="G370" s="15">
        <v>8814697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8641861</v>
      </c>
      <c r="O370" s="15">
        <v>8814697</v>
      </c>
      <c r="P370" s="4">
        <v>2</v>
      </c>
      <c r="Q370" s="15">
        <v>6201</v>
      </c>
      <c r="R370" s="15">
        <v>188890</v>
      </c>
      <c r="S370" s="15">
        <v>8945575</v>
      </c>
      <c r="T370" s="15">
        <v>9164830</v>
      </c>
      <c r="U370" s="15">
        <v>8635660</v>
      </c>
      <c r="V370" s="15">
        <v>8625807</v>
      </c>
      <c r="W370" s="15">
        <v>309915</v>
      </c>
      <c r="X370" s="15">
        <v>539023</v>
      </c>
      <c r="Y370" s="4">
        <v>1350</v>
      </c>
      <c r="Z370" s="4">
        <v>1330</v>
      </c>
      <c r="AA370" s="4">
        <v>-1.48</v>
      </c>
      <c r="AB370" s="15">
        <v>7175702</v>
      </c>
      <c r="AC370" s="15">
        <v>7247459</v>
      </c>
      <c r="AD370" s="15">
        <v>1302509</v>
      </c>
      <c r="AE370" s="15">
        <v>1413284</v>
      </c>
      <c r="AF370" s="15">
        <v>1572935</v>
      </c>
      <c r="AG370" s="15">
        <v>1588664</v>
      </c>
      <c r="AH370" s="4">
        <v>4</v>
      </c>
      <c r="AI370" s="6">
        <v>3.98</v>
      </c>
    </row>
    <row r="371" spans="1:35" x14ac:dyDescent="0.25">
      <c r="A371" s="5" t="str">
        <f>"010615"</f>
        <v>010615</v>
      </c>
      <c r="B371" s="3" t="s">
        <v>6</v>
      </c>
      <c r="C371" s="15">
        <v>10275635</v>
      </c>
      <c r="D371" s="15">
        <v>10821622</v>
      </c>
      <c r="E371" s="4">
        <v>5.31</v>
      </c>
      <c r="F371" s="15">
        <v>7258591</v>
      </c>
      <c r="G371" s="15">
        <v>7469448</v>
      </c>
      <c r="H371" s="15"/>
      <c r="I371" s="15"/>
      <c r="J371" s="15"/>
      <c r="K371" s="15"/>
      <c r="L371" s="15"/>
      <c r="M371" s="15"/>
      <c r="N371" s="15">
        <v>7258591</v>
      </c>
      <c r="O371" s="15">
        <v>7469448</v>
      </c>
      <c r="P371" s="4">
        <v>2.9</v>
      </c>
      <c r="Q371" s="15">
        <v>322783</v>
      </c>
      <c r="R371" s="15">
        <v>324048</v>
      </c>
      <c r="S371" s="15">
        <v>6935808</v>
      </c>
      <c r="T371" s="15">
        <v>7145400</v>
      </c>
      <c r="U371" s="15">
        <v>6935808</v>
      </c>
      <c r="V371" s="15">
        <v>7145400</v>
      </c>
      <c r="W371" s="15">
        <v>0</v>
      </c>
      <c r="X371" s="15">
        <v>0</v>
      </c>
      <c r="Y371" s="4">
        <v>311</v>
      </c>
      <c r="Z371" s="4">
        <v>296</v>
      </c>
      <c r="AA371" s="4">
        <v>-4.82</v>
      </c>
      <c r="AB371" s="15">
        <v>832799</v>
      </c>
      <c r="AC371" s="15">
        <v>887263</v>
      </c>
      <c r="AD371" s="15">
        <v>866887</v>
      </c>
      <c r="AE371" s="15">
        <v>800000</v>
      </c>
      <c r="AF371" s="15">
        <v>948425</v>
      </c>
      <c r="AG371" s="15">
        <v>1015312</v>
      </c>
      <c r="AH371" s="4">
        <v>9.23</v>
      </c>
      <c r="AI371" s="6">
        <v>9.3800000000000008</v>
      </c>
    </row>
    <row r="372" spans="1:35" x14ac:dyDescent="0.25">
      <c r="A372" s="5" t="str">
        <f>"280225"</f>
        <v>280225</v>
      </c>
      <c r="B372" s="3" t="s">
        <v>288</v>
      </c>
      <c r="C372" s="15">
        <v>54502486</v>
      </c>
      <c r="D372" s="15">
        <v>55618754</v>
      </c>
      <c r="E372" s="4">
        <v>2.0499999999999998</v>
      </c>
      <c r="F372" s="15">
        <v>42856265</v>
      </c>
      <c r="G372" s="15">
        <v>43869927</v>
      </c>
      <c r="H372" s="15"/>
      <c r="I372" s="15"/>
      <c r="J372" s="15"/>
      <c r="K372" s="15"/>
      <c r="L372" s="15"/>
      <c r="M372" s="15"/>
      <c r="N372" s="15">
        <v>42856265</v>
      </c>
      <c r="O372" s="15">
        <v>43869927</v>
      </c>
      <c r="P372" s="4">
        <v>2.37</v>
      </c>
      <c r="Q372" s="15">
        <v>979711</v>
      </c>
      <c r="R372" s="15">
        <v>1088456</v>
      </c>
      <c r="S372" s="15">
        <v>41876554</v>
      </c>
      <c r="T372" s="15">
        <v>42781471</v>
      </c>
      <c r="U372" s="15">
        <v>41876554</v>
      </c>
      <c r="V372" s="15">
        <v>42781471</v>
      </c>
      <c r="W372" s="15">
        <v>0</v>
      </c>
      <c r="X372" s="15">
        <v>0</v>
      </c>
      <c r="Y372" s="4">
        <v>1606</v>
      </c>
      <c r="Z372" s="4">
        <v>1606</v>
      </c>
      <c r="AA372" s="4">
        <v>0</v>
      </c>
      <c r="AB372" s="15">
        <v>7093024</v>
      </c>
      <c r="AC372" s="15">
        <v>7793024</v>
      </c>
      <c r="AD372" s="15">
        <v>2000000</v>
      </c>
      <c r="AE372" s="15">
        <v>1500000</v>
      </c>
      <c r="AF372" s="15">
        <v>6028409</v>
      </c>
      <c r="AG372" s="15">
        <v>6028409</v>
      </c>
      <c r="AH372" s="4">
        <v>11.06</v>
      </c>
      <c r="AI372" s="6">
        <v>10.84</v>
      </c>
    </row>
    <row r="373" spans="1:35" x14ac:dyDescent="0.25">
      <c r="A373" s="5" t="str">
        <f>"460901"</f>
        <v>460901</v>
      </c>
      <c r="B373" s="3" t="s">
        <v>394</v>
      </c>
      <c r="C373" s="15">
        <v>59627200</v>
      </c>
      <c r="D373" s="15">
        <v>61381000</v>
      </c>
      <c r="E373" s="4">
        <v>2.94</v>
      </c>
      <c r="F373" s="15">
        <v>12694435</v>
      </c>
      <c r="G373" s="15">
        <v>12694435</v>
      </c>
      <c r="H373" s="15"/>
      <c r="I373" s="15"/>
      <c r="J373" s="15"/>
      <c r="K373" s="15"/>
      <c r="L373" s="15"/>
      <c r="M373" s="15"/>
      <c r="N373" s="15">
        <v>12694435</v>
      </c>
      <c r="O373" s="15">
        <v>12694435</v>
      </c>
      <c r="P373" s="4">
        <v>0</v>
      </c>
      <c r="Q373" s="15">
        <v>904406</v>
      </c>
      <c r="R373" s="15">
        <v>1037834</v>
      </c>
      <c r="S373" s="15">
        <v>11903225</v>
      </c>
      <c r="T373" s="15">
        <v>12333362</v>
      </c>
      <c r="U373" s="15">
        <v>11790029</v>
      </c>
      <c r="V373" s="15">
        <v>11656601</v>
      </c>
      <c r="W373" s="15">
        <v>113196</v>
      </c>
      <c r="X373" s="15">
        <v>676761</v>
      </c>
      <c r="Y373" s="4">
        <v>1857</v>
      </c>
      <c r="Z373" s="4">
        <v>1985</v>
      </c>
      <c r="AA373" s="4">
        <v>6.89</v>
      </c>
      <c r="AB373" s="15">
        <v>34366106</v>
      </c>
      <c r="AC373" s="15">
        <v>33346200</v>
      </c>
      <c r="AD373" s="15">
        <v>2209246</v>
      </c>
      <c r="AE373" s="15">
        <v>4106200</v>
      </c>
      <c r="AF373" s="15">
        <v>6542139</v>
      </c>
      <c r="AG373" s="15">
        <v>6125000</v>
      </c>
      <c r="AH373" s="4">
        <v>10.97</v>
      </c>
      <c r="AI373" s="6">
        <v>9.98</v>
      </c>
    </row>
    <row r="374" spans="1:35" x14ac:dyDescent="0.25">
      <c r="A374" s="5" t="str">
        <f>"580211"</f>
        <v>580211</v>
      </c>
      <c r="B374" s="3" t="s">
        <v>513</v>
      </c>
      <c r="C374" s="15">
        <v>269080958</v>
      </c>
      <c r="D374" s="15">
        <v>274944707</v>
      </c>
      <c r="E374" s="4">
        <v>2.1800000000000002</v>
      </c>
      <c r="F374" s="15">
        <v>149005977</v>
      </c>
      <c r="G374" s="15">
        <v>153619991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149005977</v>
      </c>
      <c r="O374" s="15">
        <v>153619991</v>
      </c>
      <c r="P374" s="4">
        <v>3.1</v>
      </c>
      <c r="Q374" s="15">
        <v>8920301</v>
      </c>
      <c r="R374" s="15">
        <v>10486949</v>
      </c>
      <c r="S374" s="15">
        <v>140085676</v>
      </c>
      <c r="T374" s="15">
        <v>143133042</v>
      </c>
      <c r="U374" s="15">
        <v>140085676</v>
      </c>
      <c r="V374" s="15">
        <v>143133042</v>
      </c>
      <c r="W374" s="15">
        <v>0</v>
      </c>
      <c r="X374" s="15">
        <v>0</v>
      </c>
      <c r="Y374" s="4">
        <v>9472</v>
      </c>
      <c r="Z374" s="4">
        <v>9500</v>
      </c>
      <c r="AA374" s="4">
        <v>0.3</v>
      </c>
      <c r="AB374" s="15">
        <v>18216127</v>
      </c>
      <c r="AC374" s="15">
        <v>20100163</v>
      </c>
      <c r="AD374" s="15">
        <v>3331344</v>
      </c>
      <c r="AE374" s="15">
        <v>3400000</v>
      </c>
      <c r="AF374" s="15">
        <v>8072430</v>
      </c>
      <c r="AG374" s="15">
        <v>8343309</v>
      </c>
      <c r="AH374" s="4">
        <v>3</v>
      </c>
      <c r="AI374" s="6">
        <v>3.03</v>
      </c>
    </row>
    <row r="375" spans="1:35" x14ac:dyDescent="0.25">
      <c r="A375" s="5" t="str">
        <f>"541001"</f>
        <v>541001</v>
      </c>
      <c r="B375" s="3" t="s">
        <v>475</v>
      </c>
      <c r="C375" s="15">
        <v>22922240</v>
      </c>
      <c r="D375" s="15">
        <v>23811377</v>
      </c>
      <c r="E375" s="4">
        <v>3.88</v>
      </c>
      <c r="F375" s="15">
        <v>10053929</v>
      </c>
      <c r="G375" s="15">
        <v>10104199</v>
      </c>
      <c r="H375" s="15">
        <v>0</v>
      </c>
      <c r="I375" s="15">
        <v>0</v>
      </c>
      <c r="J375" s="15"/>
      <c r="K375" s="15"/>
      <c r="L375" s="15"/>
      <c r="M375" s="15"/>
      <c r="N375" s="15">
        <v>10053929</v>
      </c>
      <c r="O375" s="15">
        <v>10104199</v>
      </c>
      <c r="P375" s="4">
        <v>0.5</v>
      </c>
      <c r="Q375" s="15">
        <v>0</v>
      </c>
      <c r="R375" s="15">
        <v>0</v>
      </c>
      <c r="S375" s="15">
        <v>10230844</v>
      </c>
      <c r="T375" s="15">
        <v>10285922</v>
      </c>
      <c r="U375" s="15">
        <v>10053929</v>
      </c>
      <c r="V375" s="15">
        <v>10104199</v>
      </c>
      <c r="W375" s="15">
        <v>176915</v>
      </c>
      <c r="X375" s="15">
        <v>181723</v>
      </c>
      <c r="Y375" s="4">
        <v>607</v>
      </c>
      <c r="Z375" s="4">
        <v>600</v>
      </c>
      <c r="AA375" s="4">
        <v>-1.1499999999999999</v>
      </c>
      <c r="AB375" s="15">
        <v>2400182</v>
      </c>
      <c r="AC375" s="15">
        <v>2125182</v>
      </c>
      <c r="AD375" s="15">
        <v>864483</v>
      </c>
      <c r="AE375" s="15">
        <v>860000</v>
      </c>
      <c r="AF375" s="15">
        <v>3333570</v>
      </c>
      <c r="AG375" s="15">
        <v>2358570</v>
      </c>
      <c r="AH375" s="4">
        <v>14.54</v>
      </c>
      <c r="AI375" s="6">
        <v>9.91</v>
      </c>
    </row>
    <row r="376" spans="1:35" x14ac:dyDescent="0.25">
      <c r="A376" s="5" t="str">
        <f>"441000"</f>
        <v>441000</v>
      </c>
      <c r="B376" s="3" t="s">
        <v>374</v>
      </c>
      <c r="C376" s="15">
        <v>210221201</v>
      </c>
      <c r="D376" s="15">
        <v>228641730</v>
      </c>
      <c r="E376" s="4">
        <v>8.76</v>
      </c>
      <c r="F376" s="15">
        <v>77404150</v>
      </c>
      <c r="G376" s="15">
        <v>72404150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77404150</v>
      </c>
      <c r="O376" s="15">
        <v>72404150</v>
      </c>
      <c r="P376" s="4">
        <v>-6.46</v>
      </c>
      <c r="Q376" s="15">
        <v>4354258</v>
      </c>
      <c r="R376" s="15">
        <v>4054598</v>
      </c>
      <c r="S376" s="15">
        <v>78921279</v>
      </c>
      <c r="T376" s="15">
        <v>79073857</v>
      </c>
      <c r="U376" s="15">
        <v>73049892</v>
      </c>
      <c r="V376" s="15">
        <v>68349552</v>
      </c>
      <c r="W376" s="15">
        <v>5871387</v>
      </c>
      <c r="X376" s="15">
        <v>10724305</v>
      </c>
      <c r="Y376" s="4">
        <v>7489</v>
      </c>
      <c r="Z376" s="4">
        <v>7529</v>
      </c>
      <c r="AA376" s="4">
        <v>0.53</v>
      </c>
      <c r="AB376" s="15">
        <v>47285044</v>
      </c>
      <c r="AC376" s="15">
        <v>35030012</v>
      </c>
      <c r="AD376" s="15">
        <v>5444707</v>
      </c>
      <c r="AE376" s="15">
        <v>5444707</v>
      </c>
      <c r="AF376" s="15">
        <v>11562962</v>
      </c>
      <c r="AG376" s="15">
        <v>8500000</v>
      </c>
      <c r="AH376" s="4">
        <v>5.5</v>
      </c>
      <c r="AI376" s="6">
        <v>3.72</v>
      </c>
    </row>
    <row r="377" spans="1:35" x14ac:dyDescent="0.25">
      <c r="A377" s="5" t="str">
        <f>"471101"</f>
        <v>471101</v>
      </c>
      <c r="B377" s="3" t="s">
        <v>403</v>
      </c>
      <c r="C377" s="15">
        <v>11145241</v>
      </c>
      <c r="D377" s="15">
        <v>11322140</v>
      </c>
      <c r="E377" s="4">
        <v>1.59</v>
      </c>
      <c r="F377" s="15">
        <v>4341746</v>
      </c>
      <c r="G377" s="15">
        <v>4361957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4341746</v>
      </c>
      <c r="O377" s="15">
        <v>4361957</v>
      </c>
      <c r="P377" s="4">
        <v>0.47</v>
      </c>
      <c r="Q377" s="15">
        <v>245785</v>
      </c>
      <c r="R377" s="15">
        <v>179160</v>
      </c>
      <c r="S377" s="15">
        <v>4121798</v>
      </c>
      <c r="T377" s="15">
        <v>4182797</v>
      </c>
      <c r="U377" s="15">
        <v>4095961</v>
      </c>
      <c r="V377" s="15">
        <v>4182797</v>
      </c>
      <c r="W377" s="15">
        <v>25837</v>
      </c>
      <c r="X377" s="15">
        <v>0</v>
      </c>
      <c r="Y377" s="4">
        <v>361</v>
      </c>
      <c r="Z377" s="4">
        <v>364</v>
      </c>
      <c r="AA377" s="4">
        <v>0.83</v>
      </c>
      <c r="AB377" s="15">
        <v>1485240</v>
      </c>
      <c r="AC377" s="15">
        <v>1509669</v>
      </c>
      <c r="AD377" s="15">
        <v>794973</v>
      </c>
      <c r="AE377" s="15">
        <v>700000</v>
      </c>
      <c r="AF377" s="15">
        <v>1048806</v>
      </c>
      <c r="AG377" s="15">
        <v>677075</v>
      </c>
      <c r="AH377" s="4">
        <v>9.41</v>
      </c>
      <c r="AI377" s="6">
        <v>5.98</v>
      </c>
    </row>
    <row r="378" spans="1:35" x14ac:dyDescent="0.25">
      <c r="A378" s="5" t="str">
        <f>"132201"</f>
        <v>132201</v>
      </c>
      <c r="B378" s="3" t="s">
        <v>127</v>
      </c>
      <c r="C378" s="15">
        <v>31714951</v>
      </c>
      <c r="D378" s="15">
        <v>32656404</v>
      </c>
      <c r="E378" s="4">
        <v>2.97</v>
      </c>
      <c r="F378" s="15">
        <v>25418814</v>
      </c>
      <c r="G378" s="15">
        <v>25883221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25418814</v>
      </c>
      <c r="O378" s="15">
        <v>25883221</v>
      </c>
      <c r="P378" s="4">
        <v>1.83</v>
      </c>
      <c r="Q378" s="15">
        <v>1652909</v>
      </c>
      <c r="R378" s="15">
        <v>1672719</v>
      </c>
      <c r="S378" s="15">
        <v>23844187</v>
      </c>
      <c r="T378" s="15">
        <v>24500495</v>
      </c>
      <c r="U378" s="15">
        <v>23765905</v>
      </c>
      <c r="V378" s="15">
        <v>24210502</v>
      </c>
      <c r="W378" s="15">
        <v>78282</v>
      </c>
      <c r="X378" s="15">
        <v>289993</v>
      </c>
      <c r="Y378" s="4">
        <v>824</v>
      </c>
      <c r="Z378" s="4">
        <v>840</v>
      </c>
      <c r="AA378" s="4">
        <v>1.94</v>
      </c>
      <c r="AB378" s="15">
        <v>10546245</v>
      </c>
      <c r="AC378" s="15">
        <v>10546245</v>
      </c>
      <c r="AD378" s="15">
        <v>1481031</v>
      </c>
      <c r="AE378" s="15">
        <v>1835682</v>
      </c>
      <c r="AF378" s="15">
        <v>1268598</v>
      </c>
      <c r="AG378" s="15">
        <v>1306256</v>
      </c>
      <c r="AH378" s="4">
        <v>4</v>
      </c>
      <c r="AI378" s="6">
        <v>4</v>
      </c>
    </row>
    <row r="379" spans="1:35" x14ac:dyDescent="0.25">
      <c r="A379" s="5" t="str">
        <f>"580208"</f>
        <v>580208</v>
      </c>
      <c r="B379" s="3" t="s">
        <v>511</v>
      </c>
      <c r="C379" s="15">
        <v>76520451</v>
      </c>
      <c r="D379" s="15">
        <v>77670225</v>
      </c>
      <c r="E379" s="4">
        <v>1.5</v>
      </c>
      <c r="F379" s="15">
        <v>48769567</v>
      </c>
      <c r="G379" s="15">
        <v>49852450</v>
      </c>
      <c r="H379" s="15">
        <v>0</v>
      </c>
      <c r="I379" s="15"/>
      <c r="J379" s="15">
        <v>0</v>
      </c>
      <c r="K379" s="15"/>
      <c r="L379" s="15">
        <v>0</v>
      </c>
      <c r="M379" s="15"/>
      <c r="N379" s="15">
        <v>48769567</v>
      </c>
      <c r="O379" s="15">
        <v>49852450</v>
      </c>
      <c r="P379" s="4">
        <v>2.2200000000000002</v>
      </c>
      <c r="Q379" s="15">
        <v>1107073</v>
      </c>
      <c r="R379" s="15">
        <v>1226757</v>
      </c>
      <c r="S379" s="15">
        <v>47662494</v>
      </c>
      <c r="T379" s="15">
        <v>48625693</v>
      </c>
      <c r="U379" s="15">
        <v>47662494</v>
      </c>
      <c r="V379" s="15">
        <v>48625693</v>
      </c>
      <c r="W379" s="15">
        <v>0</v>
      </c>
      <c r="X379" s="15">
        <v>0</v>
      </c>
      <c r="Y379" s="4">
        <v>2458</v>
      </c>
      <c r="Z379" s="4">
        <v>2400</v>
      </c>
      <c r="AA379" s="4">
        <v>-2.36</v>
      </c>
      <c r="AB379" s="15">
        <v>7005415</v>
      </c>
      <c r="AC379" s="15">
        <v>5802593</v>
      </c>
      <c r="AD379" s="15">
        <v>2655101</v>
      </c>
      <c r="AE379" s="15">
        <v>2655101</v>
      </c>
      <c r="AF379" s="15">
        <v>3051773</v>
      </c>
      <c r="AG379" s="15">
        <v>3106809</v>
      </c>
      <c r="AH379" s="4">
        <v>3.99</v>
      </c>
      <c r="AI379" s="6">
        <v>4</v>
      </c>
    </row>
    <row r="380" spans="1:35" x14ac:dyDescent="0.25">
      <c r="A380" s="5" t="str">
        <f>"280410"</f>
        <v>280410</v>
      </c>
      <c r="B380" s="3" t="s">
        <v>304</v>
      </c>
      <c r="C380" s="15">
        <v>111820000</v>
      </c>
      <c r="D380" s="15">
        <v>110006200</v>
      </c>
      <c r="E380" s="4">
        <v>-1.62</v>
      </c>
      <c r="F380" s="15">
        <v>84660000</v>
      </c>
      <c r="G380" s="15">
        <v>84660000</v>
      </c>
      <c r="H380" s="15"/>
      <c r="I380" s="15"/>
      <c r="J380" s="15"/>
      <c r="K380" s="15"/>
      <c r="L380" s="15">
        <v>0</v>
      </c>
      <c r="M380" s="15">
        <v>0</v>
      </c>
      <c r="N380" s="15">
        <v>84660000</v>
      </c>
      <c r="O380" s="15">
        <v>84660000</v>
      </c>
      <c r="P380" s="4">
        <v>0</v>
      </c>
      <c r="Q380" s="15">
        <v>1750817</v>
      </c>
      <c r="R380" s="15">
        <v>1689195</v>
      </c>
      <c r="S380" s="15">
        <v>82953571</v>
      </c>
      <c r="T380" s="15">
        <v>84455450</v>
      </c>
      <c r="U380" s="15">
        <v>82909183</v>
      </c>
      <c r="V380" s="15">
        <v>82970805</v>
      </c>
      <c r="W380" s="15">
        <v>44388</v>
      </c>
      <c r="X380" s="15">
        <v>1484645</v>
      </c>
      <c r="Y380" s="4">
        <v>2883</v>
      </c>
      <c r="Z380" s="4">
        <v>2916</v>
      </c>
      <c r="AA380" s="4">
        <v>1.1399999999999999</v>
      </c>
      <c r="AB380" s="15">
        <v>2199979</v>
      </c>
      <c r="AC380" s="15">
        <v>2210000</v>
      </c>
      <c r="AD380" s="15">
        <v>14080000</v>
      </c>
      <c r="AE380" s="15">
        <v>9000000</v>
      </c>
      <c r="AF380" s="15">
        <v>13241464</v>
      </c>
      <c r="AG380" s="15">
        <v>4000000</v>
      </c>
      <c r="AH380" s="4">
        <v>11.84</v>
      </c>
      <c r="AI380" s="6">
        <v>3.64</v>
      </c>
    </row>
    <row r="381" spans="1:35" x14ac:dyDescent="0.25">
      <c r="A381" s="5" t="str">
        <f>"150801"</f>
        <v>150801</v>
      </c>
      <c r="B381" s="3" t="s">
        <v>157</v>
      </c>
      <c r="C381" s="15">
        <v>5819196</v>
      </c>
      <c r="D381" s="15">
        <v>5879512</v>
      </c>
      <c r="E381" s="4">
        <v>1.04</v>
      </c>
      <c r="F381" s="15">
        <v>3718511</v>
      </c>
      <c r="G381" s="15">
        <v>3785444</v>
      </c>
      <c r="H381" s="15"/>
      <c r="I381" s="15"/>
      <c r="J381" s="15"/>
      <c r="K381" s="15"/>
      <c r="L381" s="15"/>
      <c r="M381" s="15"/>
      <c r="N381" s="15">
        <v>3718511</v>
      </c>
      <c r="O381" s="15">
        <v>3785444</v>
      </c>
      <c r="P381" s="4">
        <v>1.8</v>
      </c>
      <c r="Q381" s="15">
        <v>164328</v>
      </c>
      <c r="R381" s="15">
        <v>163445</v>
      </c>
      <c r="S381" s="15">
        <v>3554183</v>
      </c>
      <c r="T381" s="15">
        <v>3633232</v>
      </c>
      <c r="U381" s="15">
        <v>3554183</v>
      </c>
      <c r="V381" s="15">
        <v>3621999</v>
      </c>
      <c r="W381" s="15">
        <v>0</v>
      </c>
      <c r="X381" s="15">
        <v>11233</v>
      </c>
      <c r="Y381" s="4">
        <v>120</v>
      </c>
      <c r="Z381" s="4">
        <v>120</v>
      </c>
      <c r="AA381" s="4">
        <v>0</v>
      </c>
      <c r="AB381" s="15">
        <v>796449</v>
      </c>
      <c r="AC381" s="15">
        <v>960286</v>
      </c>
      <c r="AD381" s="15">
        <v>482819</v>
      </c>
      <c r="AE381" s="15">
        <v>450000</v>
      </c>
      <c r="AF381" s="15">
        <v>2161841</v>
      </c>
      <c r="AG381" s="15">
        <v>1269541</v>
      </c>
      <c r="AH381" s="4">
        <v>37.15</v>
      </c>
      <c r="AI381" s="6">
        <v>21.59</v>
      </c>
    </row>
    <row r="382" spans="1:35" x14ac:dyDescent="0.25">
      <c r="A382" s="5" t="str">
        <f>"441101"</f>
        <v>441101</v>
      </c>
      <c r="B382" s="3" t="s">
        <v>375</v>
      </c>
      <c r="C382" s="15">
        <v>102250169</v>
      </c>
      <c r="D382" s="15">
        <v>105823385</v>
      </c>
      <c r="E382" s="4">
        <v>3.49</v>
      </c>
      <c r="F382" s="15">
        <v>49216438</v>
      </c>
      <c r="G382" s="15">
        <v>51128793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49216438</v>
      </c>
      <c r="O382" s="15">
        <v>51128793</v>
      </c>
      <c r="P382" s="4">
        <v>3.89</v>
      </c>
      <c r="Q382" s="15">
        <v>1848535</v>
      </c>
      <c r="R382" s="15">
        <v>2221088</v>
      </c>
      <c r="S382" s="15">
        <v>47367903</v>
      </c>
      <c r="T382" s="15">
        <v>48907705</v>
      </c>
      <c r="U382" s="15">
        <v>47367903</v>
      </c>
      <c r="V382" s="15">
        <v>48907705</v>
      </c>
      <c r="W382" s="15">
        <v>0</v>
      </c>
      <c r="X382" s="15">
        <v>0</v>
      </c>
      <c r="Y382" s="4">
        <v>3850</v>
      </c>
      <c r="Z382" s="4">
        <v>3830</v>
      </c>
      <c r="AA382" s="4">
        <v>-0.52</v>
      </c>
      <c r="AB382" s="15">
        <v>13706735</v>
      </c>
      <c r="AC382" s="15">
        <v>13800000</v>
      </c>
      <c r="AD382" s="15">
        <v>7315063</v>
      </c>
      <c r="AE382" s="15">
        <v>7429333</v>
      </c>
      <c r="AF382" s="15">
        <v>4090008</v>
      </c>
      <c r="AG382" s="15">
        <v>4232935</v>
      </c>
      <c r="AH382" s="4">
        <v>4</v>
      </c>
      <c r="AI382" s="6">
        <v>4</v>
      </c>
    </row>
    <row r="383" spans="1:35" x14ac:dyDescent="0.25">
      <c r="A383" s="5" t="str">
        <f>"441201"</f>
        <v>441201</v>
      </c>
      <c r="B383" s="3" t="s">
        <v>376</v>
      </c>
      <c r="C383" s="15">
        <v>188766796</v>
      </c>
      <c r="D383" s="15">
        <v>201524574</v>
      </c>
      <c r="E383" s="4">
        <v>6.76</v>
      </c>
      <c r="F383" s="15">
        <v>126606025</v>
      </c>
      <c r="G383" s="15">
        <v>129074842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126606025</v>
      </c>
      <c r="O383" s="15">
        <v>129074842</v>
      </c>
      <c r="P383" s="4">
        <v>1.95</v>
      </c>
      <c r="Q383" s="15">
        <v>1536583</v>
      </c>
      <c r="R383" s="15">
        <v>881070</v>
      </c>
      <c r="S383" s="15">
        <v>125543186</v>
      </c>
      <c r="T383" s="15">
        <v>128899040</v>
      </c>
      <c r="U383" s="15">
        <v>125069442</v>
      </c>
      <c r="V383" s="15">
        <v>128193772</v>
      </c>
      <c r="W383" s="15">
        <v>473744</v>
      </c>
      <c r="X383" s="15">
        <v>705268</v>
      </c>
      <c r="Y383" s="4">
        <v>6658</v>
      </c>
      <c r="Z383" s="4">
        <v>6585</v>
      </c>
      <c r="AA383" s="4">
        <v>-1.1000000000000001</v>
      </c>
      <c r="AB383" s="15">
        <v>1800000</v>
      </c>
      <c r="AC383" s="15">
        <v>1900000</v>
      </c>
      <c r="AD383" s="15">
        <v>1900000</v>
      </c>
      <c r="AE383" s="15">
        <v>2200000</v>
      </c>
      <c r="AF383" s="15">
        <v>7550672</v>
      </c>
      <c r="AG383" s="15">
        <v>8060983</v>
      </c>
      <c r="AH383" s="4">
        <v>4</v>
      </c>
      <c r="AI383" s="6">
        <v>4</v>
      </c>
    </row>
    <row r="384" spans="1:35" x14ac:dyDescent="0.25">
      <c r="A384" s="5" t="str">
        <f>"580306"</f>
        <v>580306</v>
      </c>
      <c r="B384" s="3" t="s">
        <v>525</v>
      </c>
      <c r="C384" s="15">
        <v>20589548</v>
      </c>
      <c r="D384" s="15">
        <v>21030735</v>
      </c>
      <c r="E384" s="4">
        <v>2.14</v>
      </c>
      <c r="F384" s="15">
        <v>16693335</v>
      </c>
      <c r="G384" s="15">
        <v>16980074</v>
      </c>
      <c r="H384" s="15"/>
      <c r="I384" s="15"/>
      <c r="J384" s="15"/>
      <c r="K384" s="15"/>
      <c r="L384" s="15"/>
      <c r="M384" s="15"/>
      <c r="N384" s="15">
        <v>16693335</v>
      </c>
      <c r="O384" s="15">
        <v>16980074</v>
      </c>
      <c r="P384" s="4">
        <v>1.72</v>
      </c>
      <c r="Q384" s="15">
        <v>43952</v>
      </c>
      <c r="R384" s="15">
        <v>47526</v>
      </c>
      <c r="S384" s="15">
        <v>17354600</v>
      </c>
      <c r="T384" s="15">
        <v>17357260</v>
      </c>
      <c r="U384" s="15">
        <v>16649383</v>
      </c>
      <c r="V384" s="15">
        <v>16932548</v>
      </c>
      <c r="W384" s="15">
        <v>705217</v>
      </c>
      <c r="X384" s="15">
        <v>424712</v>
      </c>
      <c r="Y384" s="4">
        <v>330</v>
      </c>
      <c r="Z384" s="4">
        <v>340</v>
      </c>
      <c r="AA384" s="4">
        <v>3.03</v>
      </c>
      <c r="AB384" s="15">
        <v>1922903</v>
      </c>
      <c r="AC384" s="15">
        <v>2816025</v>
      </c>
      <c r="AD384" s="15">
        <v>2816025</v>
      </c>
      <c r="AE384" s="15">
        <v>2799240</v>
      </c>
      <c r="AF384" s="15">
        <v>823582</v>
      </c>
      <c r="AG384" s="15">
        <v>841229</v>
      </c>
      <c r="AH384" s="4">
        <v>4</v>
      </c>
      <c r="AI384" s="6">
        <v>4</v>
      </c>
    </row>
    <row r="385" spans="1:35" x14ac:dyDescent="0.25">
      <c r="A385" s="5" t="str">
        <f>"591401"</f>
        <v>591401</v>
      </c>
      <c r="B385" s="3" t="s">
        <v>571</v>
      </c>
      <c r="C385" s="15">
        <v>91266606</v>
      </c>
      <c r="D385" s="15">
        <v>94460575</v>
      </c>
      <c r="E385" s="4">
        <v>3.5</v>
      </c>
      <c r="F385" s="15">
        <v>43576655</v>
      </c>
      <c r="G385" s="15">
        <v>43576655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43576655</v>
      </c>
      <c r="O385" s="15">
        <v>43576655</v>
      </c>
      <c r="P385" s="4">
        <v>0</v>
      </c>
      <c r="Q385" s="15">
        <v>2236417</v>
      </c>
      <c r="R385" s="15">
        <v>2831880</v>
      </c>
      <c r="S385" s="15">
        <v>41340238</v>
      </c>
      <c r="T385" s="15">
        <v>40744775</v>
      </c>
      <c r="U385" s="15">
        <v>41340238</v>
      </c>
      <c r="V385" s="15">
        <v>40744775</v>
      </c>
      <c r="W385" s="15">
        <v>0</v>
      </c>
      <c r="X385" s="15">
        <v>0</v>
      </c>
      <c r="Y385" s="4">
        <v>2791</v>
      </c>
      <c r="Z385" s="4">
        <v>2714</v>
      </c>
      <c r="AA385" s="4">
        <v>-2.76</v>
      </c>
      <c r="AB385" s="15">
        <v>12200000</v>
      </c>
      <c r="AC385" s="15">
        <v>11656900</v>
      </c>
      <c r="AD385" s="15">
        <v>2000000</v>
      </c>
      <c r="AE385" s="15">
        <v>575712</v>
      </c>
      <c r="AF385" s="15">
        <v>7021000</v>
      </c>
      <c r="AG385" s="15">
        <v>6750000</v>
      </c>
      <c r="AH385" s="4">
        <v>7.69</v>
      </c>
      <c r="AI385" s="6">
        <v>7.15</v>
      </c>
    </row>
    <row r="386" spans="1:35" x14ac:dyDescent="0.25">
      <c r="A386" s="5" t="str">
        <f>"051301"</f>
        <v>051301</v>
      </c>
      <c r="B386" s="3" t="s">
        <v>53</v>
      </c>
      <c r="C386" s="15">
        <v>25143256</v>
      </c>
      <c r="D386" s="15">
        <v>26632861</v>
      </c>
      <c r="E386" s="4">
        <v>5.92</v>
      </c>
      <c r="F386" s="15">
        <v>8690352</v>
      </c>
      <c r="G386" s="15">
        <v>8907851</v>
      </c>
      <c r="H386" s="15"/>
      <c r="I386" s="15"/>
      <c r="J386" s="15"/>
      <c r="K386" s="15"/>
      <c r="L386" s="15"/>
      <c r="M386" s="15"/>
      <c r="N386" s="15">
        <v>8690352</v>
      </c>
      <c r="O386" s="15">
        <v>8907851</v>
      </c>
      <c r="P386" s="4">
        <v>2.5</v>
      </c>
      <c r="Q386" s="15">
        <v>625417</v>
      </c>
      <c r="R386" s="15">
        <v>648428</v>
      </c>
      <c r="S386" s="15">
        <v>8064935</v>
      </c>
      <c r="T386" s="15">
        <v>8259423</v>
      </c>
      <c r="U386" s="15">
        <v>8064935</v>
      </c>
      <c r="V386" s="15">
        <v>8259423</v>
      </c>
      <c r="W386" s="15">
        <v>0</v>
      </c>
      <c r="X386" s="15">
        <v>0</v>
      </c>
      <c r="Y386" s="4">
        <v>959</v>
      </c>
      <c r="Z386" s="4">
        <v>950</v>
      </c>
      <c r="AA386" s="4">
        <v>-0.94</v>
      </c>
      <c r="AB386" s="15">
        <v>5818471</v>
      </c>
      <c r="AC386" s="15">
        <v>6120549</v>
      </c>
      <c r="AD386" s="15">
        <v>525000</v>
      </c>
      <c r="AE386" s="15">
        <v>625000</v>
      </c>
      <c r="AF386" s="15">
        <v>1005730</v>
      </c>
      <c r="AG386" s="15">
        <v>1065314</v>
      </c>
      <c r="AH386" s="4">
        <v>4</v>
      </c>
      <c r="AI386" s="6">
        <v>4</v>
      </c>
    </row>
    <row r="387" spans="1:35" x14ac:dyDescent="0.25">
      <c r="A387" s="5" t="str">
        <f>"150901"</f>
        <v>150901</v>
      </c>
      <c r="B387" s="3" t="s">
        <v>158</v>
      </c>
      <c r="C387" s="15">
        <v>17801480</v>
      </c>
      <c r="D387" s="15">
        <v>19778674</v>
      </c>
      <c r="E387" s="4">
        <v>11.11</v>
      </c>
      <c r="F387" s="15">
        <v>4082000</v>
      </c>
      <c r="G387" s="15">
        <v>4082000</v>
      </c>
      <c r="H387" s="15"/>
      <c r="I387" s="15"/>
      <c r="J387" s="15"/>
      <c r="K387" s="15"/>
      <c r="L387" s="15"/>
      <c r="M387" s="15"/>
      <c r="N387" s="15">
        <v>4082000</v>
      </c>
      <c r="O387" s="15">
        <v>4082000</v>
      </c>
      <c r="P387" s="4">
        <v>0</v>
      </c>
      <c r="Q387" s="15">
        <v>165747</v>
      </c>
      <c r="R387" s="15">
        <v>325362</v>
      </c>
      <c r="S387" s="15">
        <v>3923476</v>
      </c>
      <c r="T387" s="15">
        <v>3994995</v>
      </c>
      <c r="U387" s="15">
        <v>3916253</v>
      </c>
      <c r="V387" s="15">
        <v>3756638</v>
      </c>
      <c r="W387" s="15">
        <v>7223</v>
      </c>
      <c r="X387" s="15">
        <v>238357</v>
      </c>
      <c r="Y387" s="4">
        <v>693</v>
      </c>
      <c r="Z387" s="4">
        <v>705</v>
      </c>
      <c r="AA387" s="4">
        <v>1.73</v>
      </c>
      <c r="AB387" s="15">
        <v>1262331</v>
      </c>
      <c r="AC387" s="15">
        <v>1212000</v>
      </c>
      <c r="AD387" s="15">
        <v>573212</v>
      </c>
      <c r="AE387" s="15">
        <v>517821</v>
      </c>
      <c r="AF387" s="15">
        <v>1856568</v>
      </c>
      <c r="AG387" s="15">
        <v>1338747</v>
      </c>
      <c r="AH387" s="4">
        <v>10.43</v>
      </c>
      <c r="AI387" s="6">
        <v>6.77</v>
      </c>
    </row>
    <row r="388" spans="1:35" x14ac:dyDescent="0.25">
      <c r="A388" s="5" t="str">
        <f>"471201"</f>
        <v>471201</v>
      </c>
      <c r="B388" s="3" t="s">
        <v>404</v>
      </c>
      <c r="C388" s="15">
        <v>9675000</v>
      </c>
      <c r="D388" s="15">
        <v>10164634</v>
      </c>
      <c r="E388" s="4">
        <v>5.0599999999999996</v>
      </c>
      <c r="F388" s="15">
        <v>3104000</v>
      </c>
      <c r="G388" s="15">
        <v>3158662</v>
      </c>
      <c r="H388" s="15">
        <v>57785</v>
      </c>
      <c r="I388" s="15">
        <v>57785</v>
      </c>
      <c r="J388" s="15">
        <v>0</v>
      </c>
      <c r="K388" s="15">
        <v>0</v>
      </c>
      <c r="L388" s="15">
        <v>0</v>
      </c>
      <c r="M388" s="15">
        <v>0</v>
      </c>
      <c r="N388" s="15">
        <v>3161785</v>
      </c>
      <c r="O388" s="15">
        <v>3216447</v>
      </c>
      <c r="P388" s="4">
        <v>1.73</v>
      </c>
      <c r="Q388" s="15">
        <v>162371</v>
      </c>
      <c r="R388" s="15">
        <v>170636</v>
      </c>
      <c r="S388" s="15">
        <v>2943607</v>
      </c>
      <c r="T388" s="15">
        <v>3009643</v>
      </c>
      <c r="U388" s="15">
        <v>2941629</v>
      </c>
      <c r="V388" s="15">
        <v>2988026</v>
      </c>
      <c r="W388" s="15">
        <v>1978</v>
      </c>
      <c r="X388" s="15">
        <v>21617</v>
      </c>
      <c r="Y388" s="4">
        <v>332</v>
      </c>
      <c r="Z388" s="4">
        <v>320</v>
      </c>
      <c r="AA388" s="4">
        <v>-3.61</v>
      </c>
      <c r="AB388" s="15">
        <v>2272125</v>
      </c>
      <c r="AC388" s="15">
        <v>3382208</v>
      </c>
      <c r="AD388" s="15">
        <v>167500</v>
      </c>
      <c r="AE388" s="15">
        <v>100000</v>
      </c>
      <c r="AF388" s="15">
        <v>2438588</v>
      </c>
      <c r="AG388" s="15">
        <v>1133588</v>
      </c>
      <c r="AH388" s="4">
        <v>25.21</v>
      </c>
      <c r="AI388" s="6">
        <v>11.15</v>
      </c>
    </row>
    <row r="389" spans="1:35" x14ac:dyDescent="0.25">
      <c r="A389" s="5" t="str">
        <f>"512101"</f>
        <v>512101</v>
      </c>
      <c r="B389" s="3" t="s">
        <v>448</v>
      </c>
      <c r="C389" s="15">
        <v>10953442</v>
      </c>
      <c r="D389" s="15">
        <v>11105967</v>
      </c>
      <c r="E389" s="4">
        <v>1.39</v>
      </c>
      <c r="F389" s="15">
        <v>3941155</v>
      </c>
      <c r="G389" s="15">
        <v>4043230</v>
      </c>
      <c r="H389" s="15"/>
      <c r="I389" s="15"/>
      <c r="J389" s="15"/>
      <c r="K389" s="15"/>
      <c r="L389" s="15"/>
      <c r="M389" s="15"/>
      <c r="N389" s="15">
        <v>3941155</v>
      </c>
      <c r="O389" s="15">
        <v>4043230</v>
      </c>
      <c r="P389" s="4">
        <v>2.59</v>
      </c>
      <c r="Q389" s="15">
        <v>0</v>
      </c>
      <c r="R389" s="15">
        <v>15239</v>
      </c>
      <c r="S389" s="15">
        <v>3941155</v>
      </c>
      <c r="T389" s="15">
        <v>4027991</v>
      </c>
      <c r="U389" s="15">
        <v>3941155</v>
      </c>
      <c r="V389" s="15">
        <v>4027991</v>
      </c>
      <c r="W389" s="15">
        <v>0</v>
      </c>
      <c r="X389" s="15">
        <v>0</v>
      </c>
      <c r="Y389" s="4">
        <v>363</v>
      </c>
      <c r="Z389" s="4">
        <v>357</v>
      </c>
      <c r="AA389" s="4">
        <v>-1.65</v>
      </c>
      <c r="AB389" s="15">
        <v>2804650</v>
      </c>
      <c r="AC389" s="15">
        <v>2877261</v>
      </c>
      <c r="AD389" s="15">
        <v>860578</v>
      </c>
      <c r="AE389" s="15">
        <v>929827</v>
      </c>
      <c r="AF389" s="15">
        <v>325486</v>
      </c>
      <c r="AG389" s="15">
        <v>444238</v>
      </c>
      <c r="AH389" s="4">
        <v>2.97</v>
      </c>
      <c r="AI389" s="6">
        <v>4</v>
      </c>
    </row>
    <row r="390" spans="1:35" x14ac:dyDescent="0.25">
      <c r="A390" s="5" t="str">
        <f>"250401"</f>
        <v>250401</v>
      </c>
      <c r="B390" s="3" t="s">
        <v>235</v>
      </c>
      <c r="C390" s="15">
        <v>18388350</v>
      </c>
      <c r="D390" s="15">
        <v>19026741</v>
      </c>
      <c r="E390" s="4">
        <v>3.47</v>
      </c>
      <c r="F390" s="15">
        <v>5108116</v>
      </c>
      <c r="G390" s="15">
        <v>5269834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5108116</v>
      </c>
      <c r="O390" s="15">
        <v>5269834</v>
      </c>
      <c r="P390" s="4">
        <v>3.17</v>
      </c>
      <c r="Q390" s="15">
        <v>134986</v>
      </c>
      <c r="R390" s="15">
        <v>184654</v>
      </c>
      <c r="S390" s="15">
        <v>4977323</v>
      </c>
      <c r="T390" s="15">
        <v>5085180</v>
      </c>
      <c r="U390" s="15">
        <v>4973130</v>
      </c>
      <c r="V390" s="15">
        <v>5085180</v>
      </c>
      <c r="W390" s="15">
        <v>4193</v>
      </c>
      <c r="X390" s="15">
        <v>0</v>
      </c>
      <c r="Y390" s="4">
        <v>617</v>
      </c>
      <c r="Z390" s="4">
        <v>615</v>
      </c>
      <c r="AA390" s="4">
        <v>-0.32</v>
      </c>
      <c r="AB390" s="15">
        <v>1517223</v>
      </c>
      <c r="AC390" s="15">
        <v>1904848</v>
      </c>
      <c r="AD390" s="15">
        <v>522818</v>
      </c>
      <c r="AE390" s="15">
        <v>600000</v>
      </c>
      <c r="AF390" s="15">
        <v>928699</v>
      </c>
      <c r="AG390" s="15">
        <v>761070</v>
      </c>
      <c r="AH390" s="4">
        <v>5.05</v>
      </c>
      <c r="AI390" s="6">
        <v>4</v>
      </c>
    </row>
    <row r="391" spans="1:35" x14ac:dyDescent="0.25">
      <c r="A391" s="5" t="str">
        <f>"212001"</f>
        <v>212001</v>
      </c>
      <c r="B391" s="3" t="s">
        <v>206</v>
      </c>
      <c r="C391" s="15">
        <v>28300088</v>
      </c>
      <c r="D391" s="15">
        <v>29445602</v>
      </c>
      <c r="E391" s="4">
        <v>4.05</v>
      </c>
      <c r="F391" s="15">
        <v>7169053</v>
      </c>
      <c r="G391" s="15">
        <v>7270853</v>
      </c>
      <c r="H391" s="15"/>
      <c r="I391" s="15"/>
      <c r="J391" s="15"/>
      <c r="K391" s="15"/>
      <c r="L391" s="15"/>
      <c r="M391" s="15"/>
      <c r="N391" s="15">
        <v>7169053</v>
      </c>
      <c r="O391" s="15">
        <v>7270853</v>
      </c>
      <c r="P391" s="4">
        <v>1.42</v>
      </c>
      <c r="Q391" s="15">
        <v>248511</v>
      </c>
      <c r="R391" s="15">
        <v>215191</v>
      </c>
      <c r="S391" s="15">
        <v>6920542</v>
      </c>
      <c r="T391" s="15">
        <v>7092780</v>
      </c>
      <c r="U391" s="15">
        <v>6920542</v>
      </c>
      <c r="V391" s="15">
        <v>7055662</v>
      </c>
      <c r="W391" s="15">
        <v>0</v>
      </c>
      <c r="X391" s="15">
        <v>37118</v>
      </c>
      <c r="Y391" s="4">
        <v>1030</v>
      </c>
      <c r="Z391" s="4">
        <v>1020</v>
      </c>
      <c r="AA391" s="4">
        <v>-0.97</v>
      </c>
      <c r="AB391" s="15">
        <v>8802483</v>
      </c>
      <c r="AC391" s="15">
        <v>6802483</v>
      </c>
      <c r="AD391" s="15">
        <v>1041377</v>
      </c>
      <c r="AE391" s="15">
        <v>1041377</v>
      </c>
      <c r="AF391" s="15">
        <v>1801037</v>
      </c>
      <c r="AG391" s="15">
        <v>2947027</v>
      </c>
      <c r="AH391" s="4">
        <v>6.36</v>
      </c>
      <c r="AI391" s="6">
        <v>10.01</v>
      </c>
    </row>
    <row r="392" spans="1:35" x14ac:dyDescent="0.25">
      <c r="A392" s="5" t="str">
        <f>"240901"</f>
        <v>240901</v>
      </c>
      <c r="B392" s="3" t="s">
        <v>228</v>
      </c>
      <c r="C392" s="15">
        <v>16450572</v>
      </c>
      <c r="D392" s="15">
        <v>17136247</v>
      </c>
      <c r="E392" s="4">
        <v>4.17</v>
      </c>
      <c r="F392" s="15">
        <v>4150936</v>
      </c>
      <c r="G392" s="15">
        <v>4109011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4150936</v>
      </c>
      <c r="O392" s="15">
        <v>4109011</v>
      </c>
      <c r="P392" s="4">
        <v>-1.01</v>
      </c>
      <c r="Q392" s="15">
        <v>71970</v>
      </c>
      <c r="R392" s="15">
        <v>75385</v>
      </c>
      <c r="S392" s="15">
        <v>4095705</v>
      </c>
      <c r="T392" s="15">
        <v>4174812</v>
      </c>
      <c r="U392" s="15">
        <v>4078966</v>
      </c>
      <c r="V392" s="15">
        <v>4033626</v>
      </c>
      <c r="W392" s="15">
        <v>16739</v>
      </c>
      <c r="X392" s="15">
        <v>141186</v>
      </c>
      <c r="Y392" s="4">
        <v>564</v>
      </c>
      <c r="Z392" s="4">
        <v>561</v>
      </c>
      <c r="AA392" s="4">
        <v>-0.53</v>
      </c>
      <c r="AB392" s="15">
        <v>2462497</v>
      </c>
      <c r="AC392" s="15">
        <v>2622056</v>
      </c>
      <c r="AD392" s="15">
        <v>798878</v>
      </c>
      <c r="AE392" s="15">
        <v>771464</v>
      </c>
      <c r="AF392" s="15">
        <v>1077657</v>
      </c>
      <c r="AG392" s="15">
        <v>928398</v>
      </c>
      <c r="AH392" s="4">
        <v>6.55</v>
      </c>
      <c r="AI392" s="6">
        <v>5.42</v>
      </c>
    </row>
    <row r="393" spans="1:35" x14ac:dyDescent="0.25">
      <c r="A393" s="5" t="str">
        <f>"660801"</f>
        <v>660801</v>
      </c>
      <c r="B393" s="3" t="s">
        <v>642</v>
      </c>
      <c r="C393" s="15">
        <v>67161000</v>
      </c>
      <c r="D393" s="15">
        <v>69817961</v>
      </c>
      <c r="E393" s="4">
        <v>3.96</v>
      </c>
      <c r="F393" s="15">
        <v>58287140</v>
      </c>
      <c r="G393" s="15">
        <v>59523683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58287140</v>
      </c>
      <c r="O393" s="15">
        <v>59523683</v>
      </c>
      <c r="P393" s="4">
        <v>2.12</v>
      </c>
      <c r="Q393" s="15">
        <v>5496673</v>
      </c>
      <c r="R393" s="15">
        <v>5629909</v>
      </c>
      <c r="S393" s="15">
        <v>52916915</v>
      </c>
      <c r="T393" s="15">
        <v>53893774</v>
      </c>
      <c r="U393" s="15">
        <v>52790467</v>
      </c>
      <c r="V393" s="15">
        <v>53893774</v>
      </c>
      <c r="W393" s="15">
        <v>126448</v>
      </c>
      <c r="X393" s="15">
        <v>0</v>
      </c>
      <c r="Y393" s="4">
        <v>1908</v>
      </c>
      <c r="Z393" s="4">
        <v>1883</v>
      </c>
      <c r="AA393" s="4">
        <v>-1.31</v>
      </c>
      <c r="AB393" s="15">
        <v>11077906</v>
      </c>
      <c r="AC393" s="15">
        <v>12295506</v>
      </c>
      <c r="AD393" s="15">
        <v>1327912</v>
      </c>
      <c r="AE393" s="15">
        <v>1000000</v>
      </c>
      <c r="AF393" s="15">
        <v>2586469</v>
      </c>
      <c r="AG393" s="15">
        <v>2792718</v>
      </c>
      <c r="AH393" s="4">
        <v>3.85</v>
      </c>
      <c r="AI393" s="6">
        <v>4</v>
      </c>
    </row>
    <row r="394" spans="1:35" x14ac:dyDescent="0.25">
      <c r="A394" s="5" t="str">
        <f>"580207"</f>
        <v>580207</v>
      </c>
      <c r="B394" s="3" t="s">
        <v>510</v>
      </c>
      <c r="C394" s="15">
        <v>62581830</v>
      </c>
      <c r="D394" s="15">
        <v>63833470</v>
      </c>
      <c r="E394" s="4">
        <v>2</v>
      </c>
      <c r="F394" s="15">
        <v>42198635</v>
      </c>
      <c r="G394" s="15">
        <v>43049288</v>
      </c>
      <c r="H394" s="15"/>
      <c r="I394" s="15"/>
      <c r="J394" s="15"/>
      <c r="K394" s="15"/>
      <c r="L394" s="15"/>
      <c r="M394" s="15"/>
      <c r="N394" s="15">
        <v>42198635</v>
      </c>
      <c r="O394" s="15">
        <v>43049288</v>
      </c>
      <c r="P394" s="4">
        <v>2.02</v>
      </c>
      <c r="Q394" s="15">
        <v>900525</v>
      </c>
      <c r="R394" s="15">
        <v>919946</v>
      </c>
      <c r="S394" s="15">
        <v>41298110</v>
      </c>
      <c r="T394" s="15">
        <v>42129342</v>
      </c>
      <c r="U394" s="15">
        <v>41298110</v>
      </c>
      <c r="V394" s="15">
        <v>42129342</v>
      </c>
      <c r="W394" s="15">
        <v>0</v>
      </c>
      <c r="X394" s="15">
        <v>0</v>
      </c>
      <c r="Y394" s="4">
        <v>2079</v>
      </c>
      <c r="Z394" s="4">
        <v>2056</v>
      </c>
      <c r="AA394" s="4">
        <v>-1.1100000000000001</v>
      </c>
      <c r="AB394" s="15">
        <v>6997228</v>
      </c>
      <c r="AC394" s="15">
        <v>7022228</v>
      </c>
      <c r="AD394" s="15">
        <v>1879182</v>
      </c>
      <c r="AE394" s="15">
        <v>1875701</v>
      </c>
      <c r="AF394" s="15">
        <v>2553341</v>
      </c>
      <c r="AG394" s="15">
        <v>1672450</v>
      </c>
      <c r="AH394" s="4">
        <v>4.08</v>
      </c>
      <c r="AI394" s="6">
        <v>2.62</v>
      </c>
    </row>
    <row r="395" spans="1:35" x14ac:dyDescent="0.25">
      <c r="A395" s="5" t="str">
        <f>"660900"</f>
        <v>660900</v>
      </c>
      <c r="B395" s="3" t="s">
        <v>646</v>
      </c>
      <c r="C395" s="15">
        <v>259601834</v>
      </c>
      <c r="D395" s="15">
        <v>266743231</v>
      </c>
      <c r="E395" s="4">
        <v>2.75</v>
      </c>
      <c r="F395" s="15">
        <v>135947117</v>
      </c>
      <c r="G395" s="15">
        <v>136626853</v>
      </c>
      <c r="H395" s="15"/>
      <c r="I395" s="15"/>
      <c r="J395" s="15"/>
      <c r="K395" s="15"/>
      <c r="L395" s="15"/>
      <c r="M395" s="15"/>
      <c r="N395" s="15">
        <v>135947117</v>
      </c>
      <c r="O395" s="15">
        <v>136626853</v>
      </c>
      <c r="P395" s="4">
        <v>0.5</v>
      </c>
      <c r="Q395" s="15">
        <v>8166683</v>
      </c>
      <c r="R395" s="15">
        <v>9987242</v>
      </c>
      <c r="S395" s="15">
        <v>127780434</v>
      </c>
      <c r="T395" s="15">
        <v>126639611</v>
      </c>
      <c r="U395" s="15">
        <v>127780434</v>
      </c>
      <c r="V395" s="15">
        <v>126639611</v>
      </c>
      <c r="W395" s="15">
        <v>0</v>
      </c>
      <c r="X395" s="15">
        <v>0</v>
      </c>
      <c r="Y395" s="4">
        <v>7850</v>
      </c>
      <c r="Z395" s="4">
        <v>7950</v>
      </c>
      <c r="AA395" s="4">
        <v>1.27</v>
      </c>
      <c r="AB395" s="15">
        <v>6902677</v>
      </c>
      <c r="AC395" s="15">
        <v>5610677</v>
      </c>
      <c r="AD395" s="15">
        <v>4775226</v>
      </c>
      <c r="AE395" s="15">
        <v>6792000</v>
      </c>
      <c r="AF395" s="15">
        <v>9310444</v>
      </c>
      <c r="AG395" s="15">
        <v>10669729</v>
      </c>
      <c r="AH395" s="4">
        <v>3.59</v>
      </c>
      <c r="AI395" s="6">
        <v>4</v>
      </c>
    </row>
    <row r="396" spans="1:35" x14ac:dyDescent="0.25">
      <c r="A396" s="5" t="str">
        <f>"500108"</f>
        <v>500108</v>
      </c>
      <c r="B396" s="3" t="s">
        <v>431</v>
      </c>
      <c r="C396" s="15">
        <v>79028650</v>
      </c>
      <c r="D396" s="15">
        <v>82471953</v>
      </c>
      <c r="E396" s="4">
        <v>4.3600000000000003</v>
      </c>
      <c r="F396" s="15">
        <v>57910630</v>
      </c>
      <c r="G396" s="15">
        <v>57910630</v>
      </c>
      <c r="H396" s="15"/>
      <c r="I396" s="15"/>
      <c r="J396" s="15"/>
      <c r="K396" s="15"/>
      <c r="L396" s="15"/>
      <c r="M396" s="15"/>
      <c r="N396" s="15">
        <v>57910630</v>
      </c>
      <c r="O396" s="15">
        <v>57910630</v>
      </c>
      <c r="P396" s="4">
        <v>0</v>
      </c>
      <c r="Q396" s="15">
        <v>3595556</v>
      </c>
      <c r="R396" s="15">
        <v>3610226</v>
      </c>
      <c r="S396" s="15">
        <v>55231026</v>
      </c>
      <c r="T396" s="15">
        <v>55630996</v>
      </c>
      <c r="U396" s="15">
        <v>54315074</v>
      </c>
      <c r="V396" s="15">
        <v>54300404</v>
      </c>
      <c r="W396" s="15">
        <v>915952</v>
      </c>
      <c r="X396" s="15">
        <v>1330592</v>
      </c>
      <c r="Y396" s="4">
        <v>2260</v>
      </c>
      <c r="Z396" s="4">
        <v>2272</v>
      </c>
      <c r="AA396" s="4">
        <v>0.53</v>
      </c>
      <c r="AB396" s="15">
        <v>17593804</v>
      </c>
      <c r="AC396" s="15">
        <v>19058922</v>
      </c>
      <c r="AD396" s="15">
        <v>4048941</v>
      </c>
      <c r="AE396" s="15">
        <v>4596536</v>
      </c>
      <c r="AF396" s="15">
        <v>3161146</v>
      </c>
      <c r="AG396" s="15">
        <v>3298878</v>
      </c>
      <c r="AH396" s="4">
        <v>4</v>
      </c>
      <c r="AI396" s="6">
        <v>4</v>
      </c>
    </row>
    <row r="397" spans="1:35" x14ac:dyDescent="0.25">
      <c r="A397" s="5" t="str">
        <f>"431201"</f>
        <v>431201</v>
      </c>
      <c r="B397" s="3" t="s">
        <v>364</v>
      </c>
      <c r="C397" s="15">
        <v>21734527</v>
      </c>
      <c r="D397" s="15">
        <v>22338047</v>
      </c>
      <c r="E397" s="4">
        <v>2.78</v>
      </c>
      <c r="F397" s="15">
        <v>12259719</v>
      </c>
      <c r="G397" s="15">
        <v>12668202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12259719</v>
      </c>
      <c r="O397" s="15">
        <v>12668202</v>
      </c>
      <c r="P397" s="4">
        <v>3.33</v>
      </c>
      <c r="Q397" s="15">
        <v>1036284</v>
      </c>
      <c r="R397" s="15">
        <v>1083571</v>
      </c>
      <c r="S397" s="15">
        <v>11223435</v>
      </c>
      <c r="T397" s="15">
        <v>11584631</v>
      </c>
      <c r="U397" s="15">
        <v>11223435</v>
      </c>
      <c r="V397" s="15">
        <v>11584631</v>
      </c>
      <c r="W397" s="15">
        <v>0</v>
      </c>
      <c r="X397" s="15">
        <v>0</v>
      </c>
      <c r="Y397" s="4">
        <v>635</v>
      </c>
      <c r="Z397" s="4">
        <v>617</v>
      </c>
      <c r="AA397" s="4">
        <v>-2.83</v>
      </c>
      <c r="AB397" s="15">
        <v>7437898</v>
      </c>
      <c r="AC397" s="15">
        <v>3734827</v>
      </c>
      <c r="AD397" s="15">
        <v>356038</v>
      </c>
      <c r="AE397" s="15">
        <v>256038</v>
      </c>
      <c r="AF397" s="15">
        <v>1608073</v>
      </c>
      <c r="AG397" s="15">
        <v>869382</v>
      </c>
      <c r="AH397" s="4">
        <v>7.4</v>
      </c>
      <c r="AI397" s="6">
        <v>3.89</v>
      </c>
    </row>
    <row r="398" spans="1:35" x14ac:dyDescent="0.25">
      <c r="A398" s="5" t="str">
        <f>"411501"</f>
        <v>411501</v>
      </c>
      <c r="B398" s="3" t="s">
        <v>330</v>
      </c>
      <c r="C398" s="15">
        <v>55633097</v>
      </c>
      <c r="D398" s="15">
        <v>57827097</v>
      </c>
      <c r="E398" s="4">
        <v>3.94</v>
      </c>
      <c r="F398" s="15">
        <v>37439955</v>
      </c>
      <c r="G398" s="15">
        <v>38205377</v>
      </c>
      <c r="H398" s="15"/>
      <c r="I398" s="15"/>
      <c r="J398" s="15"/>
      <c r="K398" s="15"/>
      <c r="L398" s="15"/>
      <c r="M398" s="15"/>
      <c r="N398" s="15">
        <v>37439955</v>
      </c>
      <c r="O398" s="15">
        <v>38205377</v>
      </c>
      <c r="P398" s="4">
        <v>2.04</v>
      </c>
      <c r="Q398" s="15">
        <v>1713158</v>
      </c>
      <c r="R398" s="15">
        <v>1279215</v>
      </c>
      <c r="S398" s="15">
        <v>35726797</v>
      </c>
      <c r="T398" s="15">
        <v>36926162</v>
      </c>
      <c r="U398" s="15">
        <v>35726797</v>
      </c>
      <c r="V398" s="15">
        <v>36926162</v>
      </c>
      <c r="W398" s="15">
        <v>0</v>
      </c>
      <c r="X398" s="15">
        <v>0</v>
      </c>
      <c r="Y398" s="4">
        <v>2614</v>
      </c>
      <c r="Z398" s="4">
        <v>2625</v>
      </c>
      <c r="AA398" s="4">
        <v>0.42</v>
      </c>
      <c r="AB398" s="15">
        <v>2867533</v>
      </c>
      <c r="AC398" s="15">
        <v>3067533</v>
      </c>
      <c r="AD398" s="15">
        <v>900000</v>
      </c>
      <c r="AE398" s="15">
        <v>900000</v>
      </c>
      <c r="AF398" s="15">
        <v>2225323</v>
      </c>
      <c r="AG398" s="15">
        <v>2313083</v>
      </c>
      <c r="AH398" s="4">
        <v>4</v>
      </c>
      <c r="AI398" s="6">
        <v>4</v>
      </c>
    </row>
    <row r="399" spans="1:35" x14ac:dyDescent="0.25">
      <c r="A399" s="5" t="str">
        <f>"280405"</f>
        <v>280405</v>
      </c>
      <c r="B399" s="3" t="s">
        <v>300</v>
      </c>
      <c r="C399" s="15">
        <v>42320960</v>
      </c>
      <c r="D399" s="15">
        <v>44593905</v>
      </c>
      <c r="E399" s="4">
        <v>5.37</v>
      </c>
      <c r="F399" s="15">
        <v>32971547</v>
      </c>
      <c r="G399" s="15">
        <v>33477721</v>
      </c>
      <c r="H399" s="15"/>
      <c r="I399" s="15"/>
      <c r="J399" s="15"/>
      <c r="K399" s="15"/>
      <c r="L399" s="15"/>
      <c r="M399" s="15"/>
      <c r="N399" s="15">
        <v>32971547</v>
      </c>
      <c r="O399" s="15">
        <v>33477721</v>
      </c>
      <c r="P399" s="4">
        <v>1.54</v>
      </c>
      <c r="Q399" s="15">
        <v>1244361</v>
      </c>
      <c r="R399" s="15">
        <v>1231160</v>
      </c>
      <c r="S399" s="15">
        <v>31727186</v>
      </c>
      <c r="T399" s="15">
        <v>32460075</v>
      </c>
      <c r="U399" s="15">
        <v>31727186</v>
      </c>
      <c r="V399" s="15">
        <v>32246561</v>
      </c>
      <c r="W399" s="15">
        <v>0</v>
      </c>
      <c r="X399" s="15">
        <v>213514</v>
      </c>
      <c r="Y399" s="4">
        <v>1536</v>
      </c>
      <c r="Z399" s="4">
        <v>1556</v>
      </c>
      <c r="AA399" s="4">
        <v>1.3</v>
      </c>
      <c r="AB399" s="15">
        <v>15448342</v>
      </c>
      <c r="AC399" s="15">
        <v>16882228</v>
      </c>
      <c r="AD399" s="15">
        <v>285616</v>
      </c>
      <c r="AE399" s="15">
        <v>285616</v>
      </c>
      <c r="AF399" s="15">
        <v>1692838</v>
      </c>
      <c r="AG399" s="15">
        <v>1783756</v>
      </c>
      <c r="AH399" s="4">
        <v>4</v>
      </c>
      <c r="AI399" s="6">
        <v>4</v>
      </c>
    </row>
    <row r="400" spans="1:35" x14ac:dyDescent="0.25">
      <c r="A400" s="5" t="str">
        <f>"101601"</f>
        <v>101601</v>
      </c>
      <c r="B400" s="3" t="s">
        <v>97</v>
      </c>
      <c r="C400" s="15">
        <v>12122588</v>
      </c>
      <c r="D400" s="15">
        <v>12926907</v>
      </c>
      <c r="E400" s="4">
        <v>6.63</v>
      </c>
      <c r="F400" s="15">
        <v>8596955</v>
      </c>
      <c r="G400" s="15">
        <v>8794685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8596955</v>
      </c>
      <c r="O400" s="15">
        <v>8794685</v>
      </c>
      <c r="P400" s="4">
        <v>2.2999999999999998</v>
      </c>
      <c r="Q400" s="15">
        <v>387181</v>
      </c>
      <c r="R400" s="15">
        <v>410776</v>
      </c>
      <c r="S400" s="15">
        <v>7762548</v>
      </c>
      <c r="T400" s="15">
        <v>8426583</v>
      </c>
      <c r="U400" s="15">
        <v>8209774</v>
      </c>
      <c r="V400" s="15">
        <v>8383909</v>
      </c>
      <c r="W400" s="15">
        <v>-447226</v>
      </c>
      <c r="X400" s="15">
        <v>42674</v>
      </c>
      <c r="Y400" s="4">
        <v>435</v>
      </c>
      <c r="Z400" s="4">
        <v>428</v>
      </c>
      <c r="AA400" s="4">
        <v>-1.61</v>
      </c>
      <c r="AB400" s="15">
        <v>1468210</v>
      </c>
      <c r="AC400" s="15">
        <v>1470000</v>
      </c>
      <c r="AD400" s="15">
        <v>355766</v>
      </c>
      <c r="AE400" s="15">
        <v>220000</v>
      </c>
      <c r="AF400" s="15">
        <v>491812</v>
      </c>
      <c r="AG400" s="15">
        <v>552000</v>
      </c>
      <c r="AH400" s="4">
        <v>4.0599999999999996</v>
      </c>
      <c r="AI400" s="6">
        <v>4.2699999999999996</v>
      </c>
    </row>
    <row r="401" spans="1:35" x14ac:dyDescent="0.25">
      <c r="A401" s="5" t="str">
        <f>"621101"</f>
        <v>621101</v>
      </c>
      <c r="B401" s="3" t="s">
        <v>589</v>
      </c>
      <c r="C401" s="15">
        <v>70013600</v>
      </c>
      <c r="D401" s="15">
        <v>68999093</v>
      </c>
      <c r="E401" s="4">
        <v>-1.45</v>
      </c>
      <c r="F401" s="15">
        <v>44985200</v>
      </c>
      <c r="G401" s="15">
        <v>47041024</v>
      </c>
      <c r="H401" s="15"/>
      <c r="I401" s="15"/>
      <c r="J401" s="15"/>
      <c r="K401" s="15"/>
      <c r="L401" s="15"/>
      <c r="M401" s="15"/>
      <c r="N401" s="15">
        <v>44985200</v>
      </c>
      <c r="O401" s="15">
        <v>47041024</v>
      </c>
      <c r="P401" s="4">
        <v>4.57</v>
      </c>
      <c r="Q401" s="15">
        <v>2621390</v>
      </c>
      <c r="R401" s="15">
        <v>3341992</v>
      </c>
      <c r="S401" s="15">
        <v>42363827</v>
      </c>
      <c r="T401" s="15">
        <v>47042635</v>
      </c>
      <c r="U401" s="15">
        <v>42363810</v>
      </c>
      <c r="V401" s="15">
        <v>43699032</v>
      </c>
      <c r="W401" s="15">
        <v>17</v>
      </c>
      <c r="X401" s="15">
        <v>3343603</v>
      </c>
      <c r="Y401" s="4">
        <v>1773</v>
      </c>
      <c r="Z401" s="4">
        <v>1794</v>
      </c>
      <c r="AA401" s="4">
        <v>1.18</v>
      </c>
      <c r="AB401" s="15">
        <v>2746975</v>
      </c>
      <c r="AC401" s="15">
        <v>2746975</v>
      </c>
      <c r="AD401" s="15">
        <v>2984974</v>
      </c>
      <c r="AE401" s="15">
        <v>2900000</v>
      </c>
      <c r="AF401" s="15">
        <v>3288406</v>
      </c>
      <c r="AG401" s="15">
        <v>2210000</v>
      </c>
      <c r="AH401" s="4">
        <v>4.7</v>
      </c>
      <c r="AI401" s="6">
        <v>3.2</v>
      </c>
    </row>
    <row r="402" spans="1:35" x14ac:dyDescent="0.25">
      <c r="A402" s="5" t="str">
        <f>"661100"</f>
        <v>661100</v>
      </c>
      <c r="B402" s="3" t="s">
        <v>648</v>
      </c>
      <c r="C402" s="15">
        <v>290659689</v>
      </c>
      <c r="D402" s="15">
        <v>298760957</v>
      </c>
      <c r="E402" s="4">
        <v>2.79</v>
      </c>
      <c r="F402" s="15">
        <v>218482351</v>
      </c>
      <c r="G402" s="15">
        <v>220623478</v>
      </c>
      <c r="H402" s="15"/>
      <c r="I402" s="15"/>
      <c r="J402" s="15"/>
      <c r="K402" s="15"/>
      <c r="L402" s="15"/>
      <c r="M402" s="15"/>
      <c r="N402" s="15">
        <v>218482351</v>
      </c>
      <c r="O402" s="15">
        <v>220623478</v>
      </c>
      <c r="P402" s="4">
        <v>0.98</v>
      </c>
      <c r="Q402" s="15">
        <v>8563034</v>
      </c>
      <c r="R402" s="15">
        <v>8897398</v>
      </c>
      <c r="S402" s="15">
        <v>214347514</v>
      </c>
      <c r="T402" s="15">
        <v>214707723</v>
      </c>
      <c r="U402" s="15">
        <v>209919317</v>
      </c>
      <c r="V402" s="15">
        <v>211726080</v>
      </c>
      <c r="W402" s="15">
        <v>4428197</v>
      </c>
      <c r="X402" s="15">
        <v>2981643</v>
      </c>
      <c r="Y402" s="4">
        <v>9627</v>
      </c>
      <c r="Z402" s="4">
        <v>9681</v>
      </c>
      <c r="AA402" s="4">
        <v>0.56000000000000005</v>
      </c>
      <c r="AB402" s="15">
        <v>32837100</v>
      </c>
      <c r="AC402" s="15">
        <v>38095041</v>
      </c>
      <c r="AD402" s="15">
        <v>10404341</v>
      </c>
      <c r="AE402" s="15">
        <v>5883359</v>
      </c>
      <c r="AF402" s="15">
        <v>11942211</v>
      </c>
      <c r="AG402" s="15">
        <v>11950438</v>
      </c>
      <c r="AH402" s="4">
        <v>4.1100000000000003</v>
      </c>
      <c r="AI402" s="6">
        <v>4</v>
      </c>
    </row>
    <row r="403" spans="1:35" x14ac:dyDescent="0.25">
      <c r="A403" s="5" t="str">
        <f>"650101"</f>
        <v>650101</v>
      </c>
      <c r="B403" s="3" t="s">
        <v>614</v>
      </c>
      <c r="C403" s="15">
        <v>50857919</v>
      </c>
      <c r="D403" s="15">
        <v>56740572</v>
      </c>
      <c r="E403" s="4">
        <v>11.57</v>
      </c>
      <c r="F403" s="15">
        <v>13823845</v>
      </c>
      <c r="G403" s="15">
        <v>14197088</v>
      </c>
      <c r="H403" s="15">
        <v>601323</v>
      </c>
      <c r="I403" s="15">
        <v>613349</v>
      </c>
      <c r="J403" s="15">
        <v>0</v>
      </c>
      <c r="K403" s="15">
        <v>0</v>
      </c>
      <c r="L403" s="15">
        <v>0</v>
      </c>
      <c r="M403" s="15">
        <v>0</v>
      </c>
      <c r="N403" s="15">
        <v>14425168</v>
      </c>
      <c r="O403" s="15">
        <v>14810437</v>
      </c>
      <c r="P403" s="4">
        <v>2.67</v>
      </c>
      <c r="Q403" s="15">
        <v>0</v>
      </c>
      <c r="R403" s="15">
        <v>0</v>
      </c>
      <c r="S403" s="15">
        <v>14010052</v>
      </c>
      <c r="T403" s="15">
        <v>14357220</v>
      </c>
      <c r="U403" s="15">
        <v>13823845</v>
      </c>
      <c r="V403" s="15">
        <v>14197088</v>
      </c>
      <c r="W403" s="15">
        <v>186207</v>
      </c>
      <c r="X403" s="15">
        <v>160132</v>
      </c>
      <c r="Y403" s="4">
        <v>1981</v>
      </c>
      <c r="Z403" s="4">
        <v>1877</v>
      </c>
      <c r="AA403" s="4">
        <v>-5.25</v>
      </c>
      <c r="AB403" s="15">
        <v>16767233</v>
      </c>
      <c r="AC403" s="15">
        <v>20024250</v>
      </c>
      <c r="AD403" s="15">
        <v>500000</v>
      </c>
      <c r="AE403" s="15">
        <v>775000</v>
      </c>
      <c r="AF403" s="15">
        <v>2034317</v>
      </c>
      <c r="AG403" s="15">
        <v>2259600</v>
      </c>
      <c r="AH403" s="4">
        <v>4</v>
      </c>
      <c r="AI403" s="6">
        <v>3.98</v>
      </c>
    </row>
    <row r="404" spans="1:35" x14ac:dyDescent="0.25">
      <c r="A404" s="5" t="str">
        <f>"600402"</f>
        <v>600402</v>
      </c>
      <c r="B404" s="3" t="s">
        <v>575</v>
      </c>
      <c r="C404" s="15">
        <v>26725723</v>
      </c>
      <c r="D404" s="15">
        <v>27341784</v>
      </c>
      <c r="E404" s="4">
        <v>2.31</v>
      </c>
      <c r="F404" s="15">
        <v>8130470</v>
      </c>
      <c r="G404" s="15">
        <v>8130470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8130470</v>
      </c>
      <c r="O404" s="15">
        <v>8130470</v>
      </c>
      <c r="P404" s="4">
        <v>0</v>
      </c>
      <c r="Q404" s="15">
        <v>137699</v>
      </c>
      <c r="R404" s="15">
        <v>123760</v>
      </c>
      <c r="S404" s="15">
        <v>8124391</v>
      </c>
      <c r="T404" s="15">
        <v>8226495</v>
      </c>
      <c r="U404" s="15">
        <v>7992771</v>
      </c>
      <c r="V404" s="15">
        <v>8006710</v>
      </c>
      <c r="W404" s="15">
        <v>131620</v>
      </c>
      <c r="X404" s="15">
        <v>219785</v>
      </c>
      <c r="Y404" s="4">
        <v>1020</v>
      </c>
      <c r="Z404" s="4">
        <v>1020</v>
      </c>
      <c r="AA404" s="4">
        <v>0</v>
      </c>
      <c r="AB404" s="15">
        <v>7210148</v>
      </c>
      <c r="AC404" s="15">
        <v>7565553</v>
      </c>
      <c r="AD404" s="15">
        <v>850000</v>
      </c>
      <c r="AE404" s="15">
        <v>1050000</v>
      </c>
      <c r="AF404" s="15">
        <v>1000900</v>
      </c>
      <c r="AG404" s="15">
        <v>1024471</v>
      </c>
      <c r="AH404" s="4">
        <v>3.75</v>
      </c>
      <c r="AI404" s="6">
        <v>3.75</v>
      </c>
    </row>
    <row r="405" spans="1:35" x14ac:dyDescent="0.25">
      <c r="A405" s="5" t="str">
        <f>"441600"</f>
        <v>441600</v>
      </c>
      <c r="B405" s="3" t="s">
        <v>379</v>
      </c>
      <c r="C405" s="15">
        <v>293207684</v>
      </c>
      <c r="D405" s="15">
        <v>304950018</v>
      </c>
      <c r="E405" s="4">
        <v>4</v>
      </c>
      <c r="F405" s="15">
        <v>110864396</v>
      </c>
      <c r="G405" s="15">
        <v>110864396</v>
      </c>
      <c r="H405" s="15"/>
      <c r="I405" s="15"/>
      <c r="J405" s="15"/>
      <c r="K405" s="15"/>
      <c r="L405" s="15"/>
      <c r="M405" s="15"/>
      <c r="N405" s="15">
        <v>110864396</v>
      </c>
      <c r="O405" s="15">
        <v>110864396</v>
      </c>
      <c r="P405" s="4">
        <v>0</v>
      </c>
      <c r="Q405" s="15">
        <v>2640796</v>
      </c>
      <c r="R405" s="15">
        <v>2678536</v>
      </c>
      <c r="S405" s="15">
        <v>110201712</v>
      </c>
      <c r="T405" s="15">
        <v>111223877</v>
      </c>
      <c r="U405" s="15">
        <v>108223600</v>
      </c>
      <c r="V405" s="15">
        <v>108185860</v>
      </c>
      <c r="W405" s="15">
        <v>1978112</v>
      </c>
      <c r="X405" s="15">
        <v>3038017</v>
      </c>
      <c r="Y405" s="4">
        <v>12042</v>
      </c>
      <c r="Z405" s="4">
        <v>12800</v>
      </c>
      <c r="AA405" s="4">
        <v>6.29</v>
      </c>
      <c r="AB405" s="15">
        <v>56809566</v>
      </c>
      <c r="AC405" s="15">
        <v>65526425</v>
      </c>
      <c r="AD405" s="15">
        <v>0</v>
      </c>
      <c r="AE405" s="15">
        <v>500000</v>
      </c>
      <c r="AF405" s="15">
        <v>11724823</v>
      </c>
      <c r="AG405" s="15">
        <v>12198000</v>
      </c>
      <c r="AH405" s="4">
        <v>4</v>
      </c>
      <c r="AI405" s="6">
        <v>4</v>
      </c>
    </row>
    <row r="406" spans="1:35" x14ac:dyDescent="0.25">
      <c r="A406" s="5" t="str">
        <f>"151001"</f>
        <v>151001</v>
      </c>
      <c r="B406" s="3" t="s">
        <v>159</v>
      </c>
      <c r="C406" s="15">
        <v>6547936</v>
      </c>
      <c r="D406" s="15">
        <v>6592474</v>
      </c>
      <c r="E406" s="4">
        <v>0.68</v>
      </c>
      <c r="F406" s="15">
        <v>4414042</v>
      </c>
      <c r="G406" s="15">
        <v>4439906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4414042</v>
      </c>
      <c r="O406" s="15">
        <v>4439906</v>
      </c>
      <c r="P406" s="4">
        <v>0.59</v>
      </c>
      <c r="Q406" s="15">
        <v>194152</v>
      </c>
      <c r="R406" s="15">
        <v>194877</v>
      </c>
      <c r="S406" s="15">
        <v>4219890</v>
      </c>
      <c r="T406" s="15">
        <v>4245029</v>
      </c>
      <c r="U406" s="15">
        <v>4219890</v>
      </c>
      <c r="V406" s="15">
        <v>4245029</v>
      </c>
      <c r="W406" s="15">
        <v>0</v>
      </c>
      <c r="X406" s="15">
        <v>0</v>
      </c>
      <c r="Y406" s="4">
        <v>64</v>
      </c>
      <c r="Z406" s="4">
        <v>56</v>
      </c>
      <c r="AA406" s="4">
        <v>-12.5</v>
      </c>
      <c r="AB406" s="15">
        <v>2827491</v>
      </c>
      <c r="AC406" s="15">
        <v>2921290</v>
      </c>
      <c r="AD406" s="15">
        <v>950000</v>
      </c>
      <c r="AE406" s="15">
        <v>975000</v>
      </c>
      <c r="AF406" s="15">
        <v>1877491</v>
      </c>
      <c r="AG406" s="15">
        <v>1946290</v>
      </c>
      <c r="AH406" s="4">
        <v>28.67</v>
      </c>
      <c r="AI406" s="6">
        <v>29.52</v>
      </c>
    </row>
    <row r="407" spans="1:35" x14ac:dyDescent="0.25">
      <c r="A407" s="5" t="str">
        <f>"400601"</f>
        <v>400601</v>
      </c>
      <c r="B407" s="3" t="s">
        <v>319</v>
      </c>
      <c r="C407" s="15">
        <v>36017331</v>
      </c>
      <c r="D407" s="15">
        <v>36720516</v>
      </c>
      <c r="E407" s="4">
        <v>1.95</v>
      </c>
      <c r="F407" s="15">
        <v>13753439</v>
      </c>
      <c r="G407" s="15">
        <v>13890973</v>
      </c>
      <c r="H407" s="15"/>
      <c r="I407" s="15"/>
      <c r="J407" s="15"/>
      <c r="K407" s="15"/>
      <c r="L407" s="15"/>
      <c r="M407" s="15"/>
      <c r="N407" s="15">
        <v>13753439</v>
      </c>
      <c r="O407" s="15">
        <v>13890973</v>
      </c>
      <c r="P407" s="4">
        <v>1</v>
      </c>
      <c r="Q407" s="15">
        <v>0</v>
      </c>
      <c r="R407" s="15">
        <v>0</v>
      </c>
      <c r="S407" s="15">
        <v>14668832</v>
      </c>
      <c r="T407" s="15">
        <v>14092158</v>
      </c>
      <c r="U407" s="15">
        <v>13753439</v>
      </c>
      <c r="V407" s="15">
        <v>13890973</v>
      </c>
      <c r="W407" s="15">
        <v>915393</v>
      </c>
      <c r="X407" s="15">
        <v>201185</v>
      </c>
      <c r="Y407" s="4">
        <v>1337</v>
      </c>
      <c r="Z407" s="4">
        <v>1344</v>
      </c>
      <c r="AA407" s="4">
        <v>0.52</v>
      </c>
      <c r="AB407" s="15">
        <v>14135885</v>
      </c>
      <c r="AC407" s="15">
        <v>13646563</v>
      </c>
      <c r="AD407" s="15">
        <v>990991</v>
      </c>
      <c r="AE407" s="15">
        <v>1480429</v>
      </c>
      <c r="AF407" s="15">
        <v>4714771</v>
      </c>
      <c r="AG407" s="15">
        <v>4714771</v>
      </c>
      <c r="AH407" s="4">
        <v>13.09</v>
      </c>
      <c r="AI407" s="6">
        <v>12.84</v>
      </c>
    </row>
    <row r="408" spans="1:35" x14ac:dyDescent="0.25">
      <c r="A408" s="5" t="str">
        <f>"610901"</f>
        <v>610901</v>
      </c>
      <c r="B408" s="3" t="s">
        <v>583</v>
      </c>
      <c r="C408" s="15">
        <v>21779140</v>
      </c>
      <c r="D408" s="15">
        <v>22413422</v>
      </c>
      <c r="E408" s="4">
        <v>2.91</v>
      </c>
      <c r="F408" s="15">
        <v>6438758</v>
      </c>
      <c r="G408" s="15">
        <v>7340184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6438758</v>
      </c>
      <c r="O408" s="15">
        <v>7340184</v>
      </c>
      <c r="P408" s="4">
        <v>14</v>
      </c>
      <c r="Q408" s="15">
        <v>12585</v>
      </c>
      <c r="R408" s="15">
        <v>124192</v>
      </c>
      <c r="S408" s="15">
        <v>5957794</v>
      </c>
      <c r="T408" s="15">
        <v>6629566</v>
      </c>
      <c r="U408" s="15">
        <v>6426173</v>
      </c>
      <c r="V408" s="15">
        <v>7215992</v>
      </c>
      <c r="W408" s="15">
        <v>-468379</v>
      </c>
      <c r="X408" s="15">
        <v>-586426</v>
      </c>
      <c r="Y408" s="4">
        <v>701</v>
      </c>
      <c r="Z408" s="4">
        <v>710</v>
      </c>
      <c r="AA408" s="4">
        <v>1.28</v>
      </c>
      <c r="AB408" s="15">
        <v>962441</v>
      </c>
      <c r="AC408" s="15">
        <v>962441</v>
      </c>
      <c r="AD408" s="15">
        <v>313581</v>
      </c>
      <c r="AE408" s="15">
        <v>0</v>
      </c>
      <c r="AF408" s="15">
        <v>46147</v>
      </c>
      <c r="AG408" s="15">
        <v>696147</v>
      </c>
      <c r="AH408" s="4">
        <v>0.21</v>
      </c>
      <c r="AI408" s="6">
        <v>3.11</v>
      </c>
    </row>
    <row r="409" spans="1:35" x14ac:dyDescent="0.25">
      <c r="A409" s="5" t="str">
        <f>"400800"</f>
        <v>400800</v>
      </c>
      <c r="B409" s="3" t="s">
        <v>321</v>
      </c>
      <c r="C409" s="15">
        <v>153148179</v>
      </c>
      <c r="D409" s="15">
        <v>164895787</v>
      </c>
      <c r="E409" s="4">
        <v>7.67</v>
      </c>
      <c r="F409" s="15">
        <v>25828989</v>
      </c>
      <c r="G409" s="15">
        <v>25828989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25828989</v>
      </c>
      <c r="O409" s="15">
        <v>25828989</v>
      </c>
      <c r="P409" s="4">
        <v>0</v>
      </c>
      <c r="Q409" s="15">
        <v>1768298</v>
      </c>
      <c r="R409" s="15">
        <v>2522661</v>
      </c>
      <c r="S409" s="15">
        <v>24061160</v>
      </c>
      <c r="T409" s="15">
        <v>24565905</v>
      </c>
      <c r="U409" s="15">
        <v>24060691</v>
      </c>
      <c r="V409" s="15">
        <v>23306328</v>
      </c>
      <c r="W409" s="15">
        <v>469</v>
      </c>
      <c r="X409" s="15">
        <v>1259577</v>
      </c>
      <c r="Y409" s="4">
        <v>7081</v>
      </c>
      <c r="Z409" s="4">
        <v>7011</v>
      </c>
      <c r="AA409" s="4">
        <v>-0.99</v>
      </c>
      <c r="AB409" s="15">
        <v>20246548</v>
      </c>
      <c r="AC409" s="15">
        <v>22776644</v>
      </c>
      <c r="AD409" s="15">
        <v>0</v>
      </c>
      <c r="AE409" s="15">
        <v>0</v>
      </c>
      <c r="AF409" s="15">
        <v>6125927</v>
      </c>
      <c r="AG409" s="15">
        <v>6595831</v>
      </c>
      <c r="AH409" s="4">
        <v>4</v>
      </c>
      <c r="AI409" s="6">
        <v>4</v>
      </c>
    </row>
    <row r="410" spans="1:35" x14ac:dyDescent="0.25">
      <c r="A410" s="5" t="str">
        <f>"400701"</f>
        <v>400701</v>
      </c>
      <c r="B410" s="3" t="s">
        <v>320</v>
      </c>
      <c r="C410" s="15">
        <v>79222507</v>
      </c>
      <c r="D410" s="15">
        <v>79826137</v>
      </c>
      <c r="E410" s="4">
        <v>0.76</v>
      </c>
      <c r="F410" s="15">
        <v>34720519</v>
      </c>
      <c r="G410" s="15">
        <v>35411457</v>
      </c>
      <c r="H410" s="15">
        <v>0</v>
      </c>
      <c r="I410" s="15">
        <v>0</v>
      </c>
      <c r="J410" s="15">
        <v>0</v>
      </c>
      <c r="K410" s="15">
        <v>0</v>
      </c>
      <c r="L410" s="15">
        <v>0</v>
      </c>
      <c r="M410" s="15">
        <v>0</v>
      </c>
      <c r="N410" s="15">
        <v>34720519</v>
      </c>
      <c r="O410" s="15">
        <v>35411457</v>
      </c>
      <c r="P410" s="4">
        <v>1.99</v>
      </c>
      <c r="Q410" s="15">
        <v>1464088</v>
      </c>
      <c r="R410" s="15">
        <v>1465542</v>
      </c>
      <c r="S410" s="15">
        <v>33256431</v>
      </c>
      <c r="T410" s="15">
        <v>34148936</v>
      </c>
      <c r="U410" s="15">
        <v>33256431</v>
      </c>
      <c r="V410" s="15">
        <v>33945915</v>
      </c>
      <c r="W410" s="15">
        <v>0</v>
      </c>
      <c r="X410" s="15">
        <v>203021</v>
      </c>
      <c r="Y410" s="4">
        <v>3427</v>
      </c>
      <c r="Z410" s="4">
        <v>3350</v>
      </c>
      <c r="AA410" s="4">
        <v>-2.25</v>
      </c>
      <c r="AB410" s="15">
        <v>18027306</v>
      </c>
      <c r="AC410" s="15">
        <v>27604275</v>
      </c>
      <c r="AD410" s="15">
        <v>9576969</v>
      </c>
      <c r="AE410" s="15">
        <v>0</v>
      </c>
      <c r="AF410" s="15">
        <v>3168900</v>
      </c>
      <c r="AG410" s="15">
        <v>3193045</v>
      </c>
      <c r="AH410" s="4">
        <v>4</v>
      </c>
      <c r="AI410" s="6">
        <v>4</v>
      </c>
    </row>
    <row r="411" spans="1:35" x14ac:dyDescent="0.25">
      <c r="A411" s="5" t="str">
        <f>"530301"</f>
        <v>530301</v>
      </c>
      <c r="B411" s="3" t="s">
        <v>469</v>
      </c>
      <c r="C411" s="15">
        <v>93057512</v>
      </c>
      <c r="D411" s="15">
        <v>99853067</v>
      </c>
      <c r="E411" s="4">
        <v>7.3</v>
      </c>
      <c r="F411" s="15">
        <v>60335247</v>
      </c>
      <c r="G411" s="15">
        <v>62069712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60335247</v>
      </c>
      <c r="O411" s="15">
        <v>62069712</v>
      </c>
      <c r="P411" s="4">
        <v>2.87</v>
      </c>
      <c r="Q411" s="15">
        <v>2992190</v>
      </c>
      <c r="R411" s="15">
        <v>3309009</v>
      </c>
      <c r="S411" s="15">
        <v>57343057</v>
      </c>
      <c r="T411" s="15">
        <v>58760703</v>
      </c>
      <c r="U411" s="15">
        <v>57343057</v>
      </c>
      <c r="V411" s="15">
        <v>58760703</v>
      </c>
      <c r="W411" s="15">
        <v>0</v>
      </c>
      <c r="X411" s="15">
        <v>0</v>
      </c>
      <c r="Y411" s="4">
        <v>4150</v>
      </c>
      <c r="Z411" s="4">
        <v>4420</v>
      </c>
      <c r="AA411" s="4">
        <v>6.51</v>
      </c>
      <c r="AB411" s="15">
        <v>13960022</v>
      </c>
      <c r="AC411" s="15">
        <v>6232862</v>
      </c>
      <c r="AD411" s="15">
        <v>2728416</v>
      </c>
      <c r="AE411" s="15">
        <v>2527603</v>
      </c>
      <c r="AF411" s="15">
        <v>3722300</v>
      </c>
      <c r="AG411" s="15">
        <v>3994123</v>
      </c>
      <c r="AH411" s="4">
        <v>4</v>
      </c>
      <c r="AI411" s="6">
        <v>4</v>
      </c>
    </row>
    <row r="412" spans="1:35" x14ac:dyDescent="0.25">
      <c r="A412" s="5" t="str">
        <f>"580103"</f>
        <v>580103</v>
      </c>
      <c r="B412" s="3" t="s">
        <v>500</v>
      </c>
      <c r="C412" s="15">
        <v>124777915</v>
      </c>
      <c r="D412" s="15">
        <v>129748302</v>
      </c>
      <c r="E412" s="4">
        <v>3.98</v>
      </c>
      <c r="F412" s="15">
        <v>69007560</v>
      </c>
      <c r="G412" s="15">
        <v>70644518</v>
      </c>
      <c r="H412" s="15"/>
      <c r="I412" s="15"/>
      <c r="J412" s="15"/>
      <c r="K412" s="15"/>
      <c r="L412" s="15"/>
      <c r="M412" s="15"/>
      <c r="N412" s="15">
        <v>69007560</v>
      </c>
      <c r="O412" s="15">
        <v>70644518</v>
      </c>
      <c r="P412" s="4">
        <v>2.37</v>
      </c>
      <c r="Q412" s="15">
        <v>2528318</v>
      </c>
      <c r="R412" s="15">
        <v>2553152</v>
      </c>
      <c r="S412" s="15">
        <v>66479242</v>
      </c>
      <c r="T412" s="15">
        <v>68091366</v>
      </c>
      <c r="U412" s="15">
        <v>66479242</v>
      </c>
      <c r="V412" s="15">
        <v>68091366</v>
      </c>
      <c r="W412" s="15">
        <v>0</v>
      </c>
      <c r="X412" s="15">
        <v>0</v>
      </c>
      <c r="Y412" s="4">
        <v>4560</v>
      </c>
      <c r="Z412" s="4">
        <v>4612</v>
      </c>
      <c r="AA412" s="4">
        <v>1.1399999999999999</v>
      </c>
      <c r="AB412" s="15">
        <v>19766324</v>
      </c>
      <c r="AC412" s="15">
        <v>19766324</v>
      </c>
      <c r="AD412" s="15">
        <v>2000000</v>
      </c>
      <c r="AE412" s="15">
        <v>2000000</v>
      </c>
      <c r="AF412" s="15">
        <v>4589685</v>
      </c>
      <c r="AG412" s="15">
        <v>5189932</v>
      </c>
      <c r="AH412" s="4">
        <v>3.68</v>
      </c>
      <c r="AI412" s="6">
        <v>4</v>
      </c>
    </row>
    <row r="413" spans="1:35" x14ac:dyDescent="0.25">
      <c r="A413" s="5" t="str">
        <f>"280204"</f>
        <v>280204</v>
      </c>
      <c r="B413" s="3" t="s">
        <v>268</v>
      </c>
      <c r="C413" s="15">
        <v>59193419</v>
      </c>
      <c r="D413" s="15">
        <v>61227296</v>
      </c>
      <c r="E413" s="4">
        <v>3.44</v>
      </c>
      <c r="F413" s="15">
        <v>40948156</v>
      </c>
      <c r="G413" s="15">
        <v>41857226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40948156</v>
      </c>
      <c r="O413" s="15">
        <v>41857226</v>
      </c>
      <c r="P413" s="4">
        <v>2.2200000000000002</v>
      </c>
      <c r="Q413" s="15">
        <v>131419</v>
      </c>
      <c r="R413" s="15">
        <v>69616</v>
      </c>
      <c r="S413" s="15">
        <v>40816737</v>
      </c>
      <c r="T413" s="15">
        <v>41787610</v>
      </c>
      <c r="U413" s="15">
        <v>40816737</v>
      </c>
      <c r="V413" s="15">
        <v>41787610</v>
      </c>
      <c r="W413" s="15">
        <v>0</v>
      </c>
      <c r="X413" s="15">
        <v>0</v>
      </c>
      <c r="Y413" s="4">
        <v>2035</v>
      </c>
      <c r="Z413" s="4">
        <v>2063</v>
      </c>
      <c r="AA413" s="4">
        <v>1.38</v>
      </c>
      <c r="AB413" s="15">
        <v>14081019</v>
      </c>
      <c r="AC413" s="15">
        <v>16925000</v>
      </c>
      <c r="AD413" s="15">
        <v>1200000</v>
      </c>
      <c r="AE413" s="15">
        <v>1100000</v>
      </c>
      <c r="AF413" s="15">
        <v>2367737</v>
      </c>
      <c r="AG413" s="15">
        <v>2449092</v>
      </c>
      <c r="AH413" s="4">
        <v>4</v>
      </c>
      <c r="AI413" s="6">
        <v>4</v>
      </c>
    </row>
    <row r="414" spans="1:35" x14ac:dyDescent="0.25">
      <c r="A414" s="5" t="str">
        <f>"142201"</f>
        <v>142201</v>
      </c>
      <c r="B414" s="3" t="s">
        <v>150</v>
      </c>
      <c r="C414" s="15">
        <v>16266194</v>
      </c>
      <c r="D414" s="15">
        <v>16773821</v>
      </c>
      <c r="E414" s="4">
        <v>3.12</v>
      </c>
      <c r="F414" s="15">
        <v>5672845</v>
      </c>
      <c r="G414" s="15">
        <v>5757938</v>
      </c>
      <c r="H414" s="15">
        <v>0</v>
      </c>
      <c r="I414" s="15">
        <v>0</v>
      </c>
      <c r="J414" s="15">
        <v>0</v>
      </c>
      <c r="K414" s="15">
        <v>0</v>
      </c>
      <c r="L414" s="15">
        <v>0</v>
      </c>
      <c r="M414" s="15">
        <v>0</v>
      </c>
      <c r="N414" s="15">
        <v>5672845</v>
      </c>
      <c r="O414" s="15">
        <v>5757938</v>
      </c>
      <c r="P414" s="4">
        <v>1.5</v>
      </c>
      <c r="Q414" s="15">
        <v>0</v>
      </c>
      <c r="R414" s="15">
        <v>0</v>
      </c>
      <c r="S414" s="15">
        <v>5714663</v>
      </c>
      <c r="T414" s="15">
        <v>5837378</v>
      </c>
      <c r="U414" s="15">
        <v>5672845</v>
      </c>
      <c r="V414" s="15">
        <v>5757938</v>
      </c>
      <c r="W414" s="15">
        <v>41818</v>
      </c>
      <c r="X414" s="15">
        <v>79440</v>
      </c>
      <c r="Y414" s="4">
        <v>547</v>
      </c>
      <c r="Z414" s="4">
        <v>550</v>
      </c>
      <c r="AA414" s="4">
        <v>0.55000000000000004</v>
      </c>
      <c r="AB414" s="15">
        <v>5471482</v>
      </c>
      <c r="AC414" s="15">
        <v>4615395</v>
      </c>
      <c r="AD414" s="15">
        <v>773020</v>
      </c>
      <c r="AE414" s="15">
        <v>775000</v>
      </c>
      <c r="AF414" s="15">
        <v>650579</v>
      </c>
      <c r="AG414" s="15">
        <v>670000</v>
      </c>
      <c r="AH414" s="4">
        <v>4</v>
      </c>
      <c r="AI414" s="6">
        <v>3.99</v>
      </c>
    </row>
    <row r="415" spans="1:35" x14ac:dyDescent="0.25">
      <c r="A415" s="5" t="str">
        <f>"010623"</f>
        <v>010623</v>
      </c>
      <c r="B415" s="3" t="s">
        <v>7</v>
      </c>
      <c r="C415" s="15">
        <v>124977067</v>
      </c>
      <c r="D415" s="15">
        <v>134775237</v>
      </c>
      <c r="E415" s="4">
        <v>7.84</v>
      </c>
      <c r="F415" s="15">
        <v>89438564</v>
      </c>
      <c r="G415" s="15">
        <v>90727887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89438564</v>
      </c>
      <c r="O415" s="15">
        <v>90727887</v>
      </c>
      <c r="P415" s="4">
        <v>1.44</v>
      </c>
      <c r="Q415" s="15">
        <v>644399</v>
      </c>
      <c r="R415" s="15">
        <v>952457</v>
      </c>
      <c r="S415" s="15">
        <v>88794165</v>
      </c>
      <c r="T415" s="15">
        <v>91694080</v>
      </c>
      <c r="U415" s="15">
        <v>88794165</v>
      </c>
      <c r="V415" s="15">
        <v>89775430</v>
      </c>
      <c r="W415" s="15">
        <v>0</v>
      </c>
      <c r="X415" s="15">
        <v>1918650</v>
      </c>
      <c r="Y415" s="4">
        <v>6010</v>
      </c>
      <c r="Z415" s="4">
        <v>6046</v>
      </c>
      <c r="AA415" s="4">
        <v>0.6</v>
      </c>
      <c r="AB415" s="15">
        <v>18383328</v>
      </c>
      <c r="AC415" s="15">
        <v>18127000</v>
      </c>
      <c r="AD415" s="15">
        <v>3600000</v>
      </c>
      <c r="AE415" s="15">
        <v>3600000</v>
      </c>
      <c r="AF415" s="15">
        <v>4967120</v>
      </c>
      <c r="AG415" s="15">
        <v>5325000</v>
      </c>
      <c r="AH415" s="4">
        <v>3.97</v>
      </c>
      <c r="AI415" s="6">
        <v>3.95</v>
      </c>
    </row>
    <row r="416" spans="1:35" x14ac:dyDescent="0.25">
      <c r="A416" s="5" t="str">
        <f>"490801"</f>
        <v>490801</v>
      </c>
      <c r="B416" s="3" t="s">
        <v>423</v>
      </c>
      <c r="C416" s="15">
        <v>2748300</v>
      </c>
      <c r="D416" s="15">
        <v>2749432</v>
      </c>
      <c r="E416" s="4">
        <v>0.04</v>
      </c>
      <c r="F416" s="15">
        <v>1633314</v>
      </c>
      <c r="G416" s="15">
        <v>2024355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1633314</v>
      </c>
      <c r="O416" s="15">
        <v>2024355</v>
      </c>
      <c r="P416" s="4">
        <v>23.94</v>
      </c>
      <c r="Q416" s="15">
        <v>0</v>
      </c>
      <c r="R416" s="15">
        <v>331009</v>
      </c>
      <c r="S416" s="15">
        <v>1633314</v>
      </c>
      <c r="T416" s="15">
        <v>1693346</v>
      </c>
      <c r="U416" s="15">
        <v>1633314</v>
      </c>
      <c r="V416" s="15">
        <v>1693346</v>
      </c>
      <c r="W416" s="15">
        <v>0</v>
      </c>
      <c r="X416" s="15">
        <v>0</v>
      </c>
      <c r="Y416" s="4">
        <v>24</v>
      </c>
      <c r="Z416" s="4">
        <v>31</v>
      </c>
      <c r="AA416" s="4">
        <v>29.17</v>
      </c>
      <c r="AB416" s="15">
        <v>31076</v>
      </c>
      <c r="AC416" s="15">
        <v>16000</v>
      </c>
      <c r="AD416" s="15">
        <v>385839</v>
      </c>
      <c r="AE416" s="15">
        <v>199103</v>
      </c>
      <c r="AF416" s="15">
        <v>596250</v>
      </c>
      <c r="AG416" s="15">
        <v>415000</v>
      </c>
      <c r="AH416" s="4">
        <v>21.7</v>
      </c>
      <c r="AI416" s="6">
        <v>15.09</v>
      </c>
    </row>
    <row r="417" spans="1:35" x14ac:dyDescent="0.25">
      <c r="A417" s="5" t="str">
        <f>"280229"</f>
        <v>280229</v>
      </c>
      <c r="B417" s="3" t="s">
        <v>291</v>
      </c>
      <c r="C417" s="15">
        <v>34665460</v>
      </c>
      <c r="D417" s="15">
        <v>36020048</v>
      </c>
      <c r="E417" s="4">
        <v>3.91</v>
      </c>
      <c r="F417" s="15">
        <v>24370793</v>
      </c>
      <c r="G417" s="15">
        <v>24858449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24370793</v>
      </c>
      <c r="O417" s="15">
        <v>24858449</v>
      </c>
      <c r="P417" s="4">
        <v>2</v>
      </c>
      <c r="Q417" s="15">
        <v>531412</v>
      </c>
      <c r="R417" s="15">
        <v>405897</v>
      </c>
      <c r="S417" s="15">
        <v>23839381</v>
      </c>
      <c r="T417" s="15">
        <v>24452552</v>
      </c>
      <c r="U417" s="15">
        <v>23839381</v>
      </c>
      <c r="V417" s="15">
        <v>24452552</v>
      </c>
      <c r="W417" s="15">
        <v>0</v>
      </c>
      <c r="X417" s="15">
        <v>0</v>
      </c>
      <c r="Y417" s="4">
        <v>1217</v>
      </c>
      <c r="Z417" s="4">
        <v>1208</v>
      </c>
      <c r="AA417" s="4">
        <v>-0.74</v>
      </c>
      <c r="AB417" s="15">
        <v>3507197</v>
      </c>
      <c r="AC417" s="15">
        <v>4110194</v>
      </c>
      <c r="AD417" s="15">
        <v>369204</v>
      </c>
      <c r="AE417" s="15">
        <v>321985</v>
      </c>
      <c r="AF417" s="15">
        <v>1386618</v>
      </c>
      <c r="AG417" s="15">
        <v>1440802</v>
      </c>
      <c r="AH417" s="4">
        <v>4</v>
      </c>
      <c r="AI417" s="6">
        <v>4</v>
      </c>
    </row>
    <row r="418" spans="1:35" x14ac:dyDescent="0.25">
      <c r="A418" s="5" t="str">
        <f>"651501"</f>
        <v>651501</v>
      </c>
      <c r="B418" s="3" t="s">
        <v>623</v>
      </c>
      <c r="C418" s="15">
        <v>32243946</v>
      </c>
      <c r="D418" s="15">
        <v>33496667</v>
      </c>
      <c r="E418" s="4">
        <v>3.89</v>
      </c>
      <c r="F418" s="15">
        <v>10117584</v>
      </c>
      <c r="G418" s="15">
        <v>10368093</v>
      </c>
      <c r="H418" s="15"/>
      <c r="I418" s="15"/>
      <c r="J418" s="15"/>
      <c r="K418" s="15"/>
      <c r="L418" s="15"/>
      <c r="M418" s="15"/>
      <c r="N418" s="15">
        <v>10117584</v>
      </c>
      <c r="O418" s="15">
        <v>10368093</v>
      </c>
      <c r="P418" s="4">
        <v>2.48</v>
      </c>
      <c r="Q418" s="15">
        <v>0</v>
      </c>
      <c r="R418" s="15">
        <v>0</v>
      </c>
      <c r="S418" s="15">
        <v>10297458</v>
      </c>
      <c r="T418" s="15">
        <v>10556170</v>
      </c>
      <c r="U418" s="15">
        <v>10117584</v>
      </c>
      <c r="V418" s="15">
        <v>10368093</v>
      </c>
      <c r="W418" s="15">
        <v>179874</v>
      </c>
      <c r="X418" s="15">
        <v>188077</v>
      </c>
      <c r="Y418" s="4">
        <v>1070</v>
      </c>
      <c r="Z418" s="4">
        <v>1045</v>
      </c>
      <c r="AA418" s="4">
        <v>-2.34</v>
      </c>
      <c r="AB418" s="15">
        <v>6098655</v>
      </c>
      <c r="AC418" s="15">
        <v>6348362</v>
      </c>
      <c r="AD418" s="15">
        <v>0</v>
      </c>
      <c r="AE418" s="15">
        <v>200000</v>
      </c>
      <c r="AF418" s="15">
        <v>1289758</v>
      </c>
      <c r="AG418" s="15">
        <v>1330000</v>
      </c>
      <c r="AH418" s="4">
        <v>4</v>
      </c>
      <c r="AI418" s="6">
        <v>3.97</v>
      </c>
    </row>
    <row r="419" spans="1:35" x14ac:dyDescent="0.25">
      <c r="A419" s="5" t="str">
        <f>"661301"</f>
        <v>661301</v>
      </c>
      <c r="B419" s="3" t="s">
        <v>650</v>
      </c>
      <c r="C419" s="15">
        <v>45914756</v>
      </c>
      <c r="D419" s="15">
        <v>47860718</v>
      </c>
      <c r="E419" s="4">
        <v>4.24</v>
      </c>
      <c r="F419" s="15">
        <v>40227073</v>
      </c>
      <c r="G419" s="15">
        <v>41061266</v>
      </c>
      <c r="H419" s="15"/>
      <c r="I419" s="15"/>
      <c r="J419" s="15"/>
      <c r="K419" s="15"/>
      <c r="L419" s="15"/>
      <c r="M419" s="15"/>
      <c r="N419" s="15">
        <v>40227073</v>
      </c>
      <c r="O419" s="15">
        <v>41061266</v>
      </c>
      <c r="P419" s="4">
        <v>2.0699999999999998</v>
      </c>
      <c r="Q419" s="15">
        <v>1586256</v>
      </c>
      <c r="R419" s="15">
        <v>1573776</v>
      </c>
      <c r="S419" s="15">
        <v>38640817</v>
      </c>
      <c r="T419" s="15">
        <v>39487490</v>
      </c>
      <c r="U419" s="15">
        <v>38640817</v>
      </c>
      <c r="V419" s="15">
        <v>39487490</v>
      </c>
      <c r="W419" s="15">
        <v>0</v>
      </c>
      <c r="X419" s="15">
        <v>0</v>
      </c>
      <c r="Y419" s="4">
        <v>1025</v>
      </c>
      <c r="Z419" s="4">
        <v>1003</v>
      </c>
      <c r="AA419" s="4">
        <v>-2.15</v>
      </c>
      <c r="AB419" s="15">
        <v>4485006</v>
      </c>
      <c r="AC419" s="15">
        <v>4279924</v>
      </c>
      <c r="AD419" s="15">
        <v>825000</v>
      </c>
      <c r="AE419" s="15">
        <v>825000</v>
      </c>
      <c r="AF419" s="15">
        <v>1716845</v>
      </c>
      <c r="AG419" s="15">
        <v>1903215</v>
      </c>
      <c r="AH419" s="4">
        <v>3.74</v>
      </c>
      <c r="AI419" s="6">
        <v>3.98</v>
      </c>
    </row>
    <row r="420" spans="1:35" x14ac:dyDescent="0.25">
      <c r="A420" s="5" t="str">
        <f>"280501"</f>
        <v>280501</v>
      </c>
      <c r="B420" s="3" t="s">
        <v>306</v>
      </c>
      <c r="C420" s="15">
        <v>111641018</v>
      </c>
      <c r="D420" s="15">
        <v>115964182</v>
      </c>
      <c r="E420" s="4">
        <v>3.87</v>
      </c>
      <c r="F420" s="15">
        <v>92337256</v>
      </c>
      <c r="G420" s="15">
        <v>94644364</v>
      </c>
      <c r="H420" s="15"/>
      <c r="I420" s="15"/>
      <c r="J420" s="15"/>
      <c r="K420" s="15"/>
      <c r="L420" s="15"/>
      <c r="M420" s="15"/>
      <c r="N420" s="15">
        <v>92337256</v>
      </c>
      <c r="O420" s="15">
        <v>94644364</v>
      </c>
      <c r="P420" s="4">
        <v>2.5</v>
      </c>
      <c r="Q420" s="15">
        <v>4457450</v>
      </c>
      <c r="R420" s="15">
        <v>4952810</v>
      </c>
      <c r="S420" s="15">
        <v>87879806</v>
      </c>
      <c r="T420" s="15">
        <v>89807322</v>
      </c>
      <c r="U420" s="15">
        <v>87879806</v>
      </c>
      <c r="V420" s="15">
        <v>89691554</v>
      </c>
      <c r="W420" s="15">
        <v>0</v>
      </c>
      <c r="X420" s="15">
        <v>115768</v>
      </c>
      <c r="Y420" s="4">
        <v>2559</v>
      </c>
      <c r="Z420" s="4">
        <v>2571</v>
      </c>
      <c r="AA420" s="4">
        <v>0.47</v>
      </c>
      <c r="AB420" s="15">
        <v>12696960</v>
      </c>
      <c r="AC420" s="15">
        <v>13701960</v>
      </c>
      <c r="AD420" s="15">
        <v>1980162</v>
      </c>
      <c r="AE420" s="15">
        <v>3363930</v>
      </c>
      <c r="AF420" s="15">
        <v>5830634</v>
      </c>
      <c r="AG420" s="15">
        <v>4638567</v>
      </c>
      <c r="AH420" s="4">
        <v>5.22</v>
      </c>
      <c r="AI420" s="6">
        <v>4</v>
      </c>
    </row>
    <row r="421" spans="1:35" x14ac:dyDescent="0.25">
      <c r="A421" s="5" t="str">
        <f>"420303"</f>
        <v>420303</v>
      </c>
      <c r="B421" s="3" t="s">
        <v>343</v>
      </c>
      <c r="C421" s="15">
        <v>180258175</v>
      </c>
      <c r="D421" s="15">
        <v>188367855</v>
      </c>
      <c r="E421" s="4">
        <v>4.5</v>
      </c>
      <c r="F421" s="15">
        <v>95365432</v>
      </c>
      <c r="G421" s="15">
        <v>98574564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95365432</v>
      </c>
      <c r="O421" s="15">
        <v>98574564</v>
      </c>
      <c r="P421" s="4">
        <v>3.37</v>
      </c>
      <c r="Q421" s="15">
        <v>0</v>
      </c>
      <c r="R421" s="15">
        <v>0</v>
      </c>
      <c r="S421" s="15">
        <v>95365432</v>
      </c>
      <c r="T421" s="15">
        <v>98574564</v>
      </c>
      <c r="U421" s="15">
        <v>95365432</v>
      </c>
      <c r="V421" s="15">
        <v>98574564</v>
      </c>
      <c r="W421" s="15">
        <v>0</v>
      </c>
      <c r="X421" s="15">
        <v>0</v>
      </c>
      <c r="Y421" s="4">
        <v>7909</v>
      </c>
      <c r="Z421" s="4">
        <v>7600</v>
      </c>
      <c r="AA421" s="4">
        <v>-3.91</v>
      </c>
      <c r="AB421" s="15">
        <v>15753397</v>
      </c>
      <c r="AC421" s="15">
        <v>15813868</v>
      </c>
      <c r="AD421" s="15">
        <v>5000000</v>
      </c>
      <c r="AE421" s="15">
        <v>5250000</v>
      </c>
      <c r="AF421" s="15">
        <v>14250841</v>
      </c>
      <c r="AG421" s="15">
        <v>8250841</v>
      </c>
      <c r="AH421" s="4">
        <v>7.91</v>
      </c>
      <c r="AI421" s="6">
        <v>4.38</v>
      </c>
    </row>
    <row r="422" spans="1:35" x14ac:dyDescent="0.25">
      <c r="A422" s="5" t="str">
        <f>"400900"</f>
        <v>400900</v>
      </c>
      <c r="B422" s="3" t="s">
        <v>322</v>
      </c>
      <c r="C422" s="15">
        <v>81854500</v>
      </c>
      <c r="D422" s="15">
        <v>83555000</v>
      </c>
      <c r="E422" s="4">
        <v>2.08</v>
      </c>
      <c r="F422" s="15">
        <v>29300750</v>
      </c>
      <c r="G422" s="15">
        <v>29711000</v>
      </c>
      <c r="H422" s="15"/>
      <c r="I422" s="15"/>
      <c r="J422" s="15"/>
      <c r="K422" s="15"/>
      <c r="L422" s="15"/>
      <c r="M422" s="15"/>
      <c r="N422" s="15">
        <v>29300750</v>
      </c>
      <c r="O422" s="15">
        <v>29711000</v>
      </c>
      <c r="P422" s="4">
        <v>1.4</v>
      </c>
      <c r="Q422" s="15">
        <v>361226</v>
      </c>
      <c r="R422" s="15">
        <v>534714</v>
      </c>
      <c r="S422" s="15">
        <v>29003229</v>
      </c>
      <c r="T422" s="15">
        <v>29668547</v>
      </c>
      <c r="U422" s="15">
        <v>28939524</v>
      </c>
      <c r="V422" s="15">
        <v>29176286</v>
      </c>
      <c r="W422" s="15">
        <v>63705</v>
      </c>
      <c r="X422" s="15">
        <v>492261</v>
      </c>
      <c r="Y422" s="4">
        <v>3372</v>
      </c>
      <c r="Z422" s="4">
        <v>3271</v>
      </c>
      <c r="AA422" s="4">
        <v>-3</v>
      </c>
      <c r="AB422" s="15">
        <v>10082853</v>
      </c>
      <c r="AC422" s="15">
        <v>9300000</v>
      </c>
      <c r="AD422" s="15">
        <v>5035969</v>
      </c>
      <c r="AE422" s="15">
        <v>4750000</v>
      </c>
      <c r="AF422" s="15">
        <v>3241072</v>
      </c>
      <c r="AG422" s="15">
        <v>3250000</v>
      </c>
      <c r="AH422" s="4">
        <v>3.96</v>
      </c>
      <c r="AI422" s="6">
        <v>3.89</v>
      </c>
    </row>
    <row r="423" spans="1:35" x14ac:dyDescent="0.25">
      <c r="A423" s="5" t="str">
        <f>"630202"</f>
        <v>630202</v>
      </c>
      <c r="B423" s="3" t="s">
        <v>595</v>
      </c>
      <c r="C423" s="15">
        <v>14428000</v>
      </c>
      <c r="D423" s="15">
        <v>14596630</v>
      </c>
      <c r="E423" s="4">
        <v>1.17</v>
      </c>
      <c r="F423" s="15">
        <v>9354770</v>
      </c>
      <c r="G423" s="15">
        <v>9450004</v>
      </c>
      <c r="H423" s="15" t="s">
        <v>415</v>
      </c>
      <c r="I423" s="15" t="s">
        <v>415</v>
      </c>
      <c r="J423" s="15" t="s">
        <v>415</v>
      </c>
      <c r="K423" s="15" t="s">
        <v>415</v>
      </c>
      <c r="L423" s="15" t="s">
        <v>415</v>
      </c>
      <c r="M423" s="15" t="s">
        <v>415</v>
      </c>
      <c r="N423" s="15">
        <v>9354770</v>
      </c>
      <c r="O423" s="15">
        <v>9450004</v>
      </c>
      <c r="P423" s="4">
        <v>1.02</v>
      </c>
      <c r="Q423" s="15">
        <v>146601</v>
      </c>
      <c r="R423" s="15">
        <v>0</v>
      </c>
      <c r="S423" s="15">
        <v>9385152</v>
      </c>
      <c r="T423" s="15">
        <v>9450004</v>
      </c>
      <c r="U423" s="15">
        <v>9208169</v>
      </c>
      <c r="V423" s="15">
        <v>9450004</v>
      </c>
      <c r="W423" s="15">
        <v>176983</v>
      </c>
      <c r="X423" s="15">
        <v>0</v>
      </c>
      <c r="Y423" s="4">
        <v>475</v>
      </c>
      <c r="Z423" s="4">
        <v>468</v>
      </c>
      <c r="AA423" s="4">
        <v>-1.47</v>
      </c>
      <c r="AB423" s="15">
        <v>4815000</v>
      </c>
      <c r="AC423" s="15">
        <v>2065000</v>
      </c>
      <c r="AD423" s="15">
        <v>670000</v>
      </c>
      <c r="AE423" s="15">
        <v>727000</v>
      </c>
      <c r="AF423" s="15">
        <v>2530155</v>
      </c>
      <c r="AG423" s="15">
        <v>2750000</v>
      </c>
      <c r="AH423" s="4">
        <v>17.54</v>
      </c>
      <c r="AI423" s="6">
        <v>18.84</v>
      </c>
    </row>
    <row r="424" spans="1:35" x14ac:dyDescent="0.25">
      <c r="A424" s="5" t="str">
        <f>"131101"</f>
        <v>131101</v>
      </c>
      <c r="B424" s="3" t="s">
        <v>118</v>
      </c>
      <c r="C424" s="15">
        <v>24798803</v>
      </c>
      <c r="D424" s="15">
        <v>25039114</v>
      </c>
      <c r="E424" s="4">
        <v>0.97</v>
      </c>
      <c r="F424" s="15">
        <v>16216729</v>
      </c>
      <c r="G424" s="15">
        <v>16973699</v>
      </c>
      <c r="H424" s="15"/>
      <c r="I424" s="15"/>
      <c r="J424" s="15"/>
      <c r="K424" s="15"/>
      <c r="L424" s="15"/>
      <c r="M424" s="15"/>
      <c r="N424" s="15">
        <v>16216729</v>
      </c>
      <c r="O424" s="15">
        <v>16973699</v>
      </c>
      <c r="P424" s="4">
        <v>4.67</v>
      </c>
      <c r="Q424" s="15">
        <v>945169</v>
      </c>
      <c r="R424" s="15">
        <v>568803</v>
      </c>
      <c r="S424" s="15">
        <v>15343107</v>
      </c>
      <c r="T424" s="15">
        <v>16437127</v>
      </c>
      <c r="U424" s="15">
        <v>15271560</v>
      </c>
      <c r="V424" s="15">
        <v>16404896</v>
      </c>
      <c r="W424" s="15">
        <v>71547</v>
      </c>
      <c r="X424" s="15">
        <v>32231</v>
      </c>
      <c r="Y424" s="4">
        <v>616</v>
      </c>
      <c r="Z424" s="4">
        <v>631</v>
      </c>
      <c r="AA424" s="4">
        <v>2.44</v>
      </c>
      <c r="AB424" s="15">
        <v>925142</v>
      </c>
      <c r="AC424" s="15">
        <v>2110572</v>
      </c>
      <c r="AD424" s="15">
        <v>1900000</v>
      </c>
      <c r="AE424" s="15">
        <v>1900000</v>
      </c>
      <c r="AF424" s="15">
        <v>5402686</v>
      </c>
      <c r="AG424" s="15">
        <v>1001564</v>
      </c>
      <c r="AH424" s="4">
        <v>21.79</v>
      </c>
      <c r="AI424" s="6">
        <v>4</v>
      </c>
    </row>
    <row r="425" spans="1:35" x14ac:dyDescent="0.25">
      <c r="A425" s="5" t="str">
        <f>"090501"</f>
        <v>090501</v>
      </c>
      <c r="B425" s="3" t="s">
        <v>86</v>
      </c>
      <c r="C425" s="15">
        <v>30905787</v>
      </c>
      <c r="D425" s="15">
        <v>34122714</v>
      </c>
      <c r="E425" s="4">
        <v>10.41</v>
      </c>
      <c r="F425" s="15">
        <v>11582249</v>
      </c>
      <c r="G425" s="15">
        <v>11801268</v>
      </c>
      <c r="H425" s="15"/>
      <c r="I425" s="15"/>
      <c r="J425" s="15"/>
      <c r="K425" s="15"/>
      <c r="L425" s="15"/>
      <c r="M425" s="15"/>
      <c r="N425" s="15">
        <v>11582249</v>
      </c>
      <c r="O425" s="15">
        <v>11801268</v>
      </c>
      <c r="P425" s="4">
        <v>1.89</v>
      </c>
      <c r="Q425" s="15">
        <v>331106</v>
      </c>
      <c r="R425" s="15">
        <v>319817</v>
      </c>
      <c r="S425" s="15">
        <v>11251143</v>
      </c>
      <c r="T425" s="15">
        <v>11896782</v>
      </c>
      <c r="U425" s="15">
        <v>11251143</v>
      </c>
      <c r="V425" s="15">
        <v>11481451</v>
      </c>
      <c r="W425" s="15">
        <v>0</v>
      </c>
      <c r="X425" s="15">
        <v>415331</v>
      </c>
      <c r="Y425" s="4">
        <v>1300</v>
      </c>
      <c r="Z425" s="4">
        <v>1325</v>
      </c>
      <c r="AA425" s="4">
        <v>1.92</v>
      </c>
      <c r="AB425" s="15">
        <v>2419624</v>
      </c>
      <c r="AC425" s="15">
        <v>2500000</v>
      </c>
      <c r="AD425" s="15">
        <v>775000</v>
      </c>
      <c r="AE425" s="15">
        <v>868452</v>
      </c>
      <c r="AF425" s="15">
        <v>3228627</v>
      </c>
      <c r="AG425" s="15">
        <v>4250000</v>
      </c>
      <c r="AH425" s="4">
        <v>10.45</v>
      </c>
      <c r="AI425" s="6">
        <v>12.46</v>
      </c>
    </row>
    <row r="426" spans="1:35" x14ac:dyDescent="0.25">
      <c r="A426" s="5" t="str">
        <f>"090901"</f>
        <v>090901</v>
      </c>
      <c r="B426" s="3" t="s">
        <v>88</v>
      </c>
      <c r="C426" s="15">
        <v>24737225</v>
      </c>
      <c r="D426" s="15">
        <v>25979925</v>
      </c>
      <c r="E426" s="4">
        <v>5.0199999999999996</v>
      </c>
      <c r="F426" s="15">
        <v>7700000</v>
      </c>
      <c r="G426" s="15">
        <v>7995000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7700000</v>
      </c>
      <c r="O426" s="15">
        <v>7995000</v>
      </c>
      <c r="P426" s="4">
        <v>3.83</v>
      </c>
      <c r="Q426" s="15">
        <v>1072724</v>
      </c>
      <c r="R426" s="15">
        <v>1039252</v>
      </c>
      <c r="S426" s="15">
        <v>6640127</v>
      </c>
      <c r="T426" s="15">
        <v>6961522</v>
      </c>
      <c r="U426" s="15">
        <v>6627276</v>
      </c>
      <c r="V426" s="15">
        <v>6955748</v>
      </c>
      <c r="W426" s="15">
        <v>12851</v>
      </c>
      <c r="X426" s="15">
        <v>5774</v>
      </c>
      <c r="Y426" s="4">
        <v>820</v>
      </c>
      <c r="Z426" s="4">
        <v>820</v>
      </c>
      <c r="AA426" s="4">
        <v>0</v>
      </c>
      <c r="AB426" s="15">
        <v>259904</v>
      </c>
      <c r="AC426" s="15">
        <v>261100</v>
      </c>
      <c r="AD426" s="15">
        <v>0</v>
      </c>
      <c r="AE426" s="15">
        <v>200000</v>
      </c>
      <c r="AF426" s="15">
        <v>1747183</v>
      </c>
      <c r="AG426" s="15">
        <v>2045987</v>
      </c>
      <c r="AH426" s="4">
        <v>7.06</v>
      </c>
      <c r="AI426" s="6">
        <v>7.88</v>
      </c>
    </row>
    <row r="427" spans="1:35" x14ac:dyDescent="0.25">
      <c r="A427" s="5" t="str">
        <f>"580404"</f>
        <v>580404</v>
      </c>
      <c r="B427" s="3" t="s">
        <v>529</v>
      </c>
      <c r="C427" s="15">
        <v>174689788</v>
      </c>
      <c r="D427" s="15">
        <v>177856084</v>
      </c>
      <c r="E427" s="4">
        <v>1.81</v>
      </c>
      <c r="F427" s="15">
        <v>149717642</v>
      </c>
      <c r="G427" s="15">
        <v>150628324</v>
      </c>
      <c r="H427" s="15"/>
      <c r="I427" s="15"/>
      <c r="J427" s="15"/>
      <c r="K427" s="15"/>
      <c r="L427" s="15"/>
      <c r="M427" s="15"/>
      <c r="N427" s="15">
        <v>149717642</v>
      </c>
      <c r="O427" s="15">
        <v>150628324</v>
      </c>
      <c r="P427" s="4">
        <v>0.61</v>
      </c>
      <c r="Q427" s="15">
        <v>3136390</v>
      </c>
      <c r="R427" s="15">
        <v>2644889</v>
      </c>
      <c r="S427" s="15">
        <v>148054637</v>
      </c>
      <c r="T427" s="15">
        <v>149757216</v>
      </c>
      <c r="U427" s="15">
        <v>146581252</v>
      </c>
      <c r="V427" s="15">
        <v>147983435</v>
      </c>
      <c r="W427" s="15">
        <v>1473385</v>
      </c>
      <c r="X427" s="15">
        <v>1773781</v>
      </c>
      <c r="Y427" s="4">
        <v>4612</v>
      </c>
      <c r="Z427" s="4">
        <v>4511</v>
      </c>
      <c r="AA427" s="4">
        <v>-2.19</v>
      </c>
      <c r="AB427" s="15">
        <v>16111198</v>
      </c>
      <c r="AC427" s="15">
        <v>10609758</v>
      </c>
      <c r="AD427" s="15">
        <v>2411265</v>
      </c>
      <c r="AE427" s="15">
        <v>2559240</v>
      </c>
      <c r="AF427" s="15">
        <v>6987592</v>
      </c>
      <c r="AG427" s="15">
        <v>7114243</v>
      </c>
      <c r="AH427" s="4">
        <v>4</v>
      </c>
      <c r="AI427" s="6">
        <v>4</v>
      </c>
    </row>
    <row r="428" spans="1:35" x14ac:dyDescent="0.25">
      <c r="A428" s="5" t="str">
        <f>"170901"</f>
        <v>170901</v>
      </c>
      <c r="B428" s="3" t="s">
        <v>176</v>
      </c>
      <c r="C428" s="15">
        <v>12608690</v>
      </c>
      <c r="D428" s="15">
        <v>13410005</v>
      </c>
      <c r="E428" s="4">
        <v>6.36</v>
      </c>
      <c r="F428" s="15">
        <v>7149200</v>
      </c>
      <c r="G428" s="15">
        <v>7240040</v>
      </c>
      <c r="H428" s="15"/>
      <c r="I428" s="15"/>
      <c r="J428" s="15"/>
      <c r="K428" s="15"/>
      <c r="L428" s="15"/>
      <c r="M428" s="15"/>
      <c r="N428" s="15">
        <v>7149200</v>
      </c>
      <c r="O428" s="15">
        <v>7240040</v>
      </c>
      <c r="P428" s="4">
        <v>1.27</v>
      </c>
      <c r="Q428" s="15">
        <v>447618</v>
      </c>
      <c r="R428" s="15">
        <v>366880</v>
      </c>
      <c r="S428" s="15">
        <v>6830956</v>
      </c>
      <c r="T428" s="15">
        <v>6873533</v>
      </c>
      <c r="U428" s="15">
        <v>6701582</v>
      </c>
      <c r="V428" s="15">
        <v>6873160</v>
      </c>
      <c r="W428" s="15">
        <v>129374</v>
      </c>
      <c r="X428" s="15">
        <v>373</v>
      </c>
      <c r="Y428" s="4">
        <v>492</v>
      </c>
      <c r="Z428" s="4">
        <v>490</v>
      </c>
      <c r="AA428" s="4">
        <v>-0.41</v>
      </c>
      <c r="AB428" s="15">
        <v>5959761</v>
      </c>
      <c r="AC428" s="15">
        <v>3150000</v>
      </c>
      <c r="AD428" s="15">
        <v>97000</v>
      </c>
      <c r="AE428" s="15">
        <v>530000</v>
      </c>
      <c r="AF428" s="15">
        <v>2210020</v>
      </c>
      <c r="AG428" s="15">
        <v>1985000</v>
      </c>
      <c r="AH428" s="4">
        <v>17.53</v>
      </c>
      <c r="AI428" s="6">
        <v>14.8</v>
      </c>
    </row>
    <row r="429" spans="1:35" x14ac:dyDescent="0.25">
      <c r="A429" s="5" t="str">
        <f>"081200"</f>
        <v>081200</v>
      </c>
      <c r="B429" s="3" t="s">
        <v>80</v>
      </c>
      <c r="C429" s="15">
        <v>42726627</v>
      </c>
      <c r="D429" s="15">
        <v>45995227</v>
      </c>
      <c r="E429" s="4">
        <v>7.65</v>
      </c>
      <c r="F429" s="15">
        <v>12071311</v>
      </c>
      <c r="G429" s="15">
        <v>12250159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12071311</v>
      </c>
      <c r="O429" s="15">
        <v>12250159</v>
      </c>
      <c r="P429" s="4">
        <v>1.48</v>
      </c>
      <c r="Q429" s="15">
        <v>633028</v>
      </c>
      <c r="R429" s="15">
        <v>565087</v>
      </c>
      <c r="S429" s="15">
        <v>11438283</v>
      </c>
      <c r="T429" s="15">
        <v>11685072</v>
      </c>
      <c r="U429" s="15">
        <v>11438283</v>
      </c>
      <c r="V429" s="15">
        <v>11685072</v>
      </c>
      <c r="W429" s="15">
        <v>0</v>
      </c>
      <c r="X429" s="15">
        <v>0</v>
      </c>
      <c r="Y429" s="4">
        <v>1633</v>
      </c>
      <c r="Z429" s="4">
        <v>1634</v>
      </c>
      <c r="AA429" s="4">
        <v>0.06</v>
      </c>
      <c r="AB429" s="15">
        <v>7640881</v>
      </c>
      <c r="AC429" s="15">
        <v>9289409</v>
      </c>
      <c r="AD429" s="15">
        <v>884866</v>
      </c>
      <c r="AE429" s="15">
        <v>1575711</v>
      </c>
      <c r="AF429" s="15">
        <v>3234945</v>
      </c>
      <c r="AG429" s="15">
        <v>1839809</v>
      </c>
      <c r="AH429" s="4">
        <v>7.57</v>
      </c>
      <c r="AI429" s="6">
        <v>4</v>
      </c>
    </row>
    <row r="430" spans="1:35" x14ac:dyDescent="0.25">
      <c r="A430" s="5" t="str">
        <f>"512201"</f>
        <v>512201</v>
      </c>
      <c r="B430" s="3" t="s">
        <v>449</v>
      </c>
      <c r="C430" s="15">
        <v>24834943</v>
      </c>
      <c r="D430" s="15">
        <v>25973407</v>
      </c>
      <c r="E430" s="4">
        <v>4.58</v>
      </c>
      <c r="F430" s="15">
        <v>6534756</v>
      </c>
      <c r="G430" s="15">
        <v>6534756</v>
      </c>
      <c r="H430" s="15">
        <v>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6534756</v>
      </c>
      <c r="O430" s="15">
        <v>6534756</v>
      </c>
      <c r="P430" s="4">
        <v>0</v>
      </c>
      <c r="Q430" s="15">
        <v>0</v>
      </c>
      <c r="R430" s="15">
        <v>0</v>
      </c>
      <c r="S430" s="15">
        <v>6733500</v>
      </c>
      <c r="T430" s="15">
        <v>6815589</v>
      </c>
      <c r="U430" s="15">
        <v>6534756</v>
      </c>
      <c r="V430" s="15">
        <v>6534756</v>
      </c>
      <c r="W430" s="15">
        <v>198744</v>
      </c>
      <c r="X430" s="15">
        <v>280833</v>
      </c>
      <c r="Y430" s="4">
        <v>964</v>
      </c>
      <c r="Z430" s="4">
        <v>961</v>
      </c>
      <c r="AA430" s="4">
        <v>-0.31</v>
      </c>
      <c r="AB430" s="15">
        <v>5404075</v>
      </c>
      <c r="AC430" s="15">
        <v>7721640</v>
      </c>
      <c r="AD430" s="15">
        <v>731781</v>
      </c>
      <c r="AE430" s="15">
        <v>305878</v>
      </c>
      <c r="AF430" s="15">
        <v>1711633</v>
      </c>
      <c r="AG430" s="15">
        <v>1293570</v>
      </c>
      <c r="AH430" s="4">
        <v>6.89</v>
      </c>
      <c r="AI430" s="6">
        <v>4.9800000000000004</v>
      </c>
    </row>
    <row r="431" spans="1:35" x14ac:dyDescent="0.25">
      <c r="A431" s="5" t="str">
        <f>"411504"</f>
        <v>411504</v>
      </c>
      <c r="B431" s="3" t="s">
        <v>331</v>
      </c>
      <c r="C431" s="15">
        <v>15495435</v>
      </c>
      <c r="D431" s="15">
        <v>15945575</v>
      </c>
      <c r="E431" s="4">
        <v>2.9</v>
      </c>
      <c r="F431" s="15">
        <v>8117286</v>
      </c>
      <c r="G431" s="15">
        <v>8117286</v>
      </c>
      <c r="H431" s="15"/>
      <c r="I431" s="15"/>
      <c r="J431" s="15"/>
      <c r="K431" s="15"/>
      <c r="L431" s="15"/>
      <c r="M431" s="15"/>
      <c r="N431" s="15">
        <v>8117286</v>
      </c>
      <c r="O431" s="15">
        <v>8117286</v>
      </c>
      <c r="P431" s="4">
        <v>0</v>
      </c>
      <c r="Q431" s="15">
        <v>243082</v>
      </c>
      <c r="R431" s="15">
        <v>243470</v>
      </c>
      <c r="S431" s="15">
        <v>7874204</v>
      </c>
      <c r="T431" s="15">
        <v>7873816</v>
      </c>
      <c r="U431" s="15">
        <v>7874204</v>
      </c>
      <c r="V431" s="15">
        <v>7873816</v>
      </c>
      <c r="W431" s="15">
        <v>0</v>
      </c>
      <c r="X431" s="15">
        <v>0</v>
      </c>
      <c r="Y431" s="4">
        <v>560</v>
      </c>
      <c r="Z431" s="4">
        <v>560</v>
      </c>
      <c r="AA431" s="4">
        <v>0</v>
      </c>
      <c r="AB431" s="15">
        <v>1108215</v>
      </c>
      <c r="AC431" s="15">
        <v>1108215</v>
      </c>
      <c r="AD431" s="15">
        <v>1464000</v>
      </c>
      <c r="AE431" s="15">
        <v>1464000</v>
      </c>
      <c r="AF431" s="15">
        <v>582174</v>
      </c>
      <c r="AG431" s="15">
        <v>637823</v>
      </c>
      <c r="AH431" s="4">
        <v>3.76</v>
      </c>
      <c r="AI431" s="6">
        <v>4</v>
      </c>
    </row>
    <row r="432" spans="1:35" x14ac:dyDescent="0.25">
      <c r="A432" s="5" t="str">
        <f>"500304"</f>
        <v>500304</v>
      </c>
      <c r="B432" s="3" t="s">
        <v>434</v>
      </c>
      <c r="C432" s="15">
        <v>91388000</v>
      </c>
      <c r="D432" s="15">
        <v>100159000</v>
      </c>
      <c r="E432" s="4">
        <v>9.6</v>
      </c>
      <c r="F432" s="15">
        <v>73020260</v>
      </c>
      <c r="G432" s="15">
        <v>74812610</v>
      </c>
      <c r="H432" s="15"/>
      <c r="I432" s="15"/>
      <c r="J432" s="15"/>
      <c r="K432" s="15"/>
      <c r="L432" s="15"/>
      <c r="M432" s="15"/>
      <c r="N432" s="15">
        <v>73020260</v>
      </c>
      <c r="O432" s="15">
        <v>74812610</v>
      </c>
      <c r="P432" s="4">
        <v>2.4500000000000002</v>
      </c>
      <c r="Q432" s="15">
        <v>888858</v>
      </c>
      <c r="R432" s="15">
        <v>913537</v>
      </c>
      <c r="S432" s="15">
        <v>73024978</v>
      </c>
      <c r="T432" s="15">
        <v>73899073</v>
      </c>
      <c r="U432" s="15">
        <v>72131402</v>
      </c>
      <c r="V432" s="15">
        <v>73899073</v>
      </c>
      <c r="W432" s="15">
        <v>893576</v>
      </c>
      <c r="X432" s="15">
        <v>0</v>
      </c>
      <c r="Y432" s="4">
        <v>2804</v>
      </c>
      <c r="Z432" s="4">
        <v>2839</v>
      </c>
      <c r="AA432" s="4">
        <v>1.25</v>
      </c>
      <c r="AB432" s="15">
        <v>24993848</v>
      </c>
      <c r="AC432" s="15">
        <v>18850281</v>
      </c>
      <c r="AD432" s="15">
        <v>6467912</v>
      </c>
      <c r="AE432" s="15">
        <v>11175000</v>
      </c>
      <c r="AF432" s="15">
        <v>3655520</v>
      </c>
      <c r="AG432" s="15">
        <v>4006360</v>
      </c>
      <c r="AH432" s="4">
        <v>4</v>
      </c>
      <c r="AI432" s="6">
        <v>4</v>
      </c>
    </row>
    <row r="433" spans="1:35" x14ac:dyDescent="0.25">
      <c r="A433" s="5" t="str">
        <f>"181101"</f>
        <v>181101</v>
      </c>
      <c r="B433" s="3" t="s">
        <v>183</v>
      </c>
      <c r="C433" s="15">
        <v>21356442</v>
      </c>
      <c r="D433" s="15">
        <v>23589606</v>
      </c>
      <c r="E433" s="4">
        <v>10.46</v>
      </c>
      <c r="F433" s="15">
        <v>5416941</v>
      </c>
      <c r="G433" s="15">
        <v>5476527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5416941</v>
      </c>
      <c r="O433" s="15">
        <v>5476527</v>
      </c>
      <c r="P433" s="4">
        <v>1.1000000000000001</v>
      </c>
      <c r="Q433" s="15">
        <v>148428</v>
      </c>
      <c r="R433" s="15">
        <v>431208</v>
      </c>
      <c r="S433" s="15">
        <v>5268513</v>
      </c>
      <c r="T433" s="15">
        <v>5092561</v>
      </c>
      <c r="U433" s="15">
        <v>5268513</v>
      </c>
      <c r="V433" s="15">
        <v>5045319</v>
      </c>
      <c r="W433" s="15">
        <v>0</v>
      </c>
      <c r="X433" s="15">
        <v>47242</v>
      </c>
      <c r="Y433" s="4">
        <v>765</v>
      </c>
      <c r="Z433" s="4">
        <v>763</v>
      </c>
      <c r="AA433" s="4">
        <v>-0.26</v>
      </c>
      <c r="AB433" s="15">
        <v>4967388</v>
      </c>
      <c r="AC433" s="15">
        <v>5712388</v>
      </c>
      <c r="AD433" s="15">
        <v>656902</v>
      </c>
      <c r="AE433" s="15">
        <v>616298</v>
      </c>
      <c r="AF433" s="15">
        <v>935734</v>
      </c>
      <c r="AG433" s="15">
        <v>943584</v>
      </c>
      <c r="AH433" s="4">
        <v>4.38</v>
      </c>
      <c r="AI433" s="6">
        <v>4</v>
      </c>
    </row>
    <row r="434" spans="1:35" x14ac:dyDescent="0.25">
      <c r="A434" s="5" t="str">
        <f>"280211"</f>
        <v>280211</v>
      </c>
      <c r="B434" s="3" t="s">
        <v>275</v>
      </c>
      <c r="C434" s="15">
        <v>163403521</v>
      </c>
      <c r="D434" s="15">
        <v>167951857</v>
      </c>
      <c r="E434" s="4">
        <v>2.78</v>
      </c>
      <c r="F434" s="15">
        <v>132739385</v>
      </c>
      <c r="G434" s="15">
        <v>132962189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132739385</v>
      </c>
      <c r="O434" s="15">
        <v>132962189</v>
      </c>
      <c r="P434" s="4">
        <v>0.17</v>
      </c>
      <c r="Q434" s="15">
        <v>5004130</v>
      </c>
      <c r="R434" s="15">
        <v>5107576</v>
      </c>
      <c r="S434" s="15">
        <v>127784259</v>
      </c>
      <c r="T434" s="15">
        <v>130828643</v>
      </c>
      <c r="U434" s="15">
        <v>127735255</v>
      </c>
      <c r="V434" s="15">
        <v>127854613</v>
      </c>
      <c r="W434" s="15">
        <v>49004</v>
      </c>
      <c r="X434" s="15">
        <v>2974030</v>
      </c>
      <c r="Y434" s="4">
        <v>5450</v>
      </c>
      <c r="Z434" s="4">
        <v>5500</v>
      </c>
      <c r="AA434" s="4">
        <v>0.92</v>
      </c>
      <c r="AB434" s="15">
        <v>33347565</v>
      </c>
      <c r="AC434" s="15">
        <v>37347565</v>
      </c>
      <c r="AD434" s="15">
        <v>3050000</v>
      </c>
      <c r="AE434" s="15">
        <v>3050000</v>
      </c>
      <c r="AF434" s="15">
        <v>6536141</v>
      </c>
      <c r="AG434" s="15">
        <v>6718075</v>
      </c>
      <c r="AH434" s="4">
        <v>4</v>
      </c>
      <c r="AI434" s="6">
        <v>4</v>
      </c>
    </row>
    <row r="435" spans="1:35" x14ac:dyDescent="0.25">
      <c r="A435" s="5" t="str">
        <f>"550101"</f>
        <v>550101</v>
      </c>
      <c r="B435" s="3" t="s">
        <v>479</v>
      </c>
      <c r="C435" s="15">
        <v>17880462</v>
      </c>
      <c r="D435" s="15">
        <v>18452087</v>
      </c>
      <c r="E435" s="4">
        <v>3.2</v>
      </c>
      <c r="F435" s="15">
        <v>5210384</v>
      </c>
      <c r="G435" s="15">
        <v>5366435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5210384</v>
      </c>
      <c r="O435" s="15">
        <v>5366435</v>
      </c>
      <c r="P435" s="4">
        <v>2.99</v>
      </c>
      <c r="Q435" s="15">
        <v>0</v>
      </c>
      <c r="R435" s="15">
        <v>0</v>
      </c>
      <c r="S435" s="15">
        <v>5302421</v>
      </c>
      <c r="T435" s="15">
        <v>5432982</v>
      </c>
      <c r="U435" s="15">
        <v>5210384</v>
      </c>
      <c r="V435" s="15">
        <v>5366435</v>
      </c>
      <c r="W435" s="15">
        <v>92037</v>
      </c>
      <c r="X435" s="15">
        <v>66547</v>
      </c>
      <c r="Y435" s="4">
        <v>683</v>
      </c>
      <c r="Z435" s="4">
        <v>693</v>
      </c>
      <c r="AA435" s="4">
        <v>1.46</v>
      </c>
      <c r="AB435" s="15">
        <v>4650576</v>
      </c>
      <c r="AC435" s="15">
        <v>6891981</v>
      </c>
      <c r="AD435" s="15">
        <v>500000</v>
      </c>
      <c r="AE435" s="15">
        <v>467580</v>
      </c>
      <c r="AF435" s="15">
        <v>2159024</v>
      </c>
      <c r="AG435" s="15">
        <v>737742</v>
      </c>
      <c r="AH435" s="4">
        <v>12.07</v>
      </c>
      <c r="AI435" s="6">
        <v>4</v>
      </c>
    </row>
    <row r="436" spans="1:35" x14ac:dyDescent="0.25">
      <c r="A436" s="5" t="str">
        <f>"512300"</f>
        <v>512300</v>
      </c>
      <c r="B436" s="3" t="s">
        <v>450</v>
      </c>
      <c r="C436" s="15">
        <v>49388000</v>
      </c>
      <c r="D436" s="15">
        <v>53537655</v>
      </c>
      <c r="E436" s="4">
        <v>8.4</v>
      </c>
      <c r="F436" s="15">
        <v>10598360</v>
      </c>
      <c r="G436" s="15">
        <v>10598360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10598360</v>
      </c>
      <c r="O436" s="15">
        <v>10598360</v>
      </c>
      <c r="P436" s="4">
        <v>0</v>
      </c>
      <c r="Q436" s="15">
        <v>0</v>
      </c>
      <c r="R436" s="15">
        <v>0</v>
      </c>
      <c r="S436" s="15">
        <v>10654427</v>
      </c>
      <c r="T436" s="15">
        <v>13209259</v>
      </c>
      <c r="U436" s="15">
        <v>10598360</v>
      </c>
      <c r="V436" s="15">
        <v>10598360</v>
      </c>
      <c r="W436" s="15">
        <v>56067</v>
      </c>
      <c r="X436" s="15">
        <v>2610899</v>
      </c>
      <c r="Y436" s="4">
        <v>1537</v>
      </c>
      <c r="Z436" s="4">
        <v>1537</v>
      </c>
      <c r="AA436" s="4">
        <v>0</v>
      </c>
      <c r="AB436" s="15">
        <v>7072704</v>
      </c>
      <c r="AC436" s="15">
        <v>8086540</v>
      </c>
      <c r="AD436" s="15">
        <v>5175353</v>
      </c>
      <c r="AE436" s="15">
        <v>4245531</v>
      </c>
      <c r="AF436" s="15">
        <v>1975520</v>
      </c>
      <c r="AG436" s="15">
        <v>2141506</v>
      </c>
      <c r="AH436" s="4">
        <v>4</v>
      </c>
      <c r="AI436" s="6">
        <v>4</v>
      </c>
    </row>
    <row r="437" spans="1:35" x14ac:dyDescent="0.25">
      <c r="A437" s="5" t="str">
        <f>"042400"</f>
        <v>042400</v>
      </c>
      <c r="B437" s="3" t="s">
        <v>42</v>
      </c>
      <c r="C437" s="15">
        <v>43684152</v>
      </c>
      <c r="D437" s="15">
        <v>47334987</v>
      </c>
      <c r="E437" s="4">
        <v>8.36</v>
      </c>
      <c r="F437" s="15">
        <v>13888098</v>
      </c>
      <c r="G437" s="15">
        <v>13888098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13888098</v>
      </c>
      <c r="O437" s="15">
        <v>13888098</v>
      </c>
      <c r="P437" s="4">
        <v>0</v>
      </c>
      <c r="Q437" s="15">
        <v>156331</v>
      </c>
      <c r="R437" s="15">
        <v>262292</v>
      </c>
      <c r="S437" s="15">
        <v>13871525</v>
      </c>
      <c r="T437" s="15">
        <v>14004774</v>
      </c>
      <c r="U437" s="15">
        <v>13731767</v>
      </c>
      <c r="V437" s="15">
        <v>13625806</v>
      </c>
      <c r="W437" s="15">
        <v>139758</v>
      </c>
      <c r="X437" s="15">
        <v>378968</v>
      </c>
      <c r="Y437" s="4">
        <v>2032</v>
      </c>
      <c r="Z437" s="4">
        <v>2016</v>
      </c>
      <c r="AA437" s="4">
        <v>-0.79</v>
      </c>
      <c r="AB437" s="15">
        <v>10875271</v>
      </c>
      <c r="AC437" s="15">
        <v>11018868</v>
      </c>
      <c r="AD437" s="15">
        <v>600000</v>
      </c>
      <c r="AE437" s="15">
        <v>600000</v>
      </c>
      <c r="AF437" s="15">
        <v>2036996</v>
      </c>
      <c r="AG437" s="15">
        <v>1893399</v>
      </c>
      <c r="AH437" s="4">
        <v>4.66</v>
      </c>
      <c r="AI437" s="6">
        <v>4</v>
      </c>
    </row>
    <row r="438" spans="1:35" x14ac:dyDescent="0.25">
      <c r="A438" s="5" t="str">
        <f>"251400"</f>
        <v>251400</v>
      </c>
      <c r="B438" s="3" t="s">
        <v>239</v>
      </c>
      <c r="C438" s="15">
        <v>48072943</v>
      </c>
      <c r="D438" s="15">
        <v>49445203</v>
      </c>
      <c r="E438" s="4">
        <v>2.85</v>
      </c>
      <c r="F438" s="15">
        <v>18459676</v>
      </c>
      <c r="G438" s="15">
        <v>19013222</v>
      </c>
      <c r="H438" s="15"/>
      <c r="I438" s="15"/>
      <c r="J438" s="15"/>
      <c r="K438" s="15"/>
      <c r="L438" s="15"/>
      <c r="M438" s="15"/>
      <c r="N438" s="15">
        <v>18459676</v>
      </c>
      <c r="O438" s="15">
        <v>19013222</v>
      </c>
      <c r="P438" s="4">
        <v>3</v>
      </c>
      <c r="Q438" s="15">
        <v>590492</v>
      </c>
      <c r="R438" s="15">
        <v>679391</v>
      </c>
      <c r="S438" s="15">
        <v>17869184</v>
      </c>
      <c r="T438" s="15">
        <v>18333831</v>
      </c>
      <c r="U438" s="15">
        <v>17869184</v>
      </c>
      <c r="V438" s="15">
        <v>18333831</v>
      </c>
      <c r="W438" s="15">
        <v>0</v>
      </c>
      <c r="X438" s="15">
        <v>0</v>
      </c>
      <c r="Y438" s="4">
        <v>1858</v>
      </c>
      <c r="Z438" s="4">
        <v>1810</v>
      </c>
      <c r="AA438" s="4">
        <v>-2.58</v>
      </c>
      <c r="AB438" s="15">
        <v>7209968</v>
      </c>
      <c r="AC438" s="15">
        <v>8815375</v>
      </c>
      <c r="AD438" s="15">
        <v>2585813</v>
      </c>
      <c r="AE438" s="15">
        <v>3008218</v>
      </c>
      <c r="AF438" s="15">
        <v>3222916</v>
      </c>
      <c r="AG438" s="15">
        <v>2400511</v>
      </c>
      <c r="AH438" s="4">
        <v>6.7</v>
      </c>
      <c r="AI438" s="6">
        <v>4.8499999999999996</v>
      </c>
    </row>
    <row r="439" spans="1:35" x14ac:dyDescent="0.25">
      <c r="A439" s="5" t="str">
        <f>"471400"</f>
        <v>471400</v>
      </c>
      <c r="B439" s="3" t="s">
        <v>405</v>
      </c>
      <c r="C439" s="15">
        <v>42112198</v>
      </c>
      <c r="D439" s="15">
        <v>42262416</v>
      </c>
      <c r="E439" s="4">
        <v>0.36</v>
      </c>
      <c r="F439" s="15">
        <v>22176861</v>
      </c>
      <c r="G439" s="15">
        <v>22294864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22176861</v>
      </c>
      <c r="O439" s="15">
        <v>22294864</v>
      </c>
      <c r="P439" s="4">
        <v>0.53</v>
      </c>
      <c r="Q439" s="15">
        <v>984426</v>
      </c>
      <c r="R439" s="15">
        <v>753988</v>
      </c>
      <c r="S439" s="15">
        <v>21192435</v>
      </c>
      <c r="T439" s="15">
        <v>21540876</v>
      </c>
      <c r="U439" s="15">
        <v>21192435</v>
      </c>
      <c r="V439" s="15">
        <v>21540876</v>
      </c>
      <c r="W439" s="15">
        <v>0</v>
      </c>
      <c r="X439" s="15">
        <v>0</v>
      </c>
      <c r="Y439" s="4">
        <v>1621</v>
      </c>
      <c r="Z439" s="4">
        <v>1620</v>
      </c>
      <c r="AA439" s="4">
        <v>-0.06</v>
      </c>
      <c r="AB439" s="15">
        <v>663637</v>
      </c>
      <c r="AC439" s="15">
        <v>2673952</v>
      </c>
      <c r="AD439" s="15">
        <v>1141482</v>
      </c>
      <c r="AE439" s="15">
        <v>946580</v>
      </c>
      <c r="AF439" s="15">
        <v>3307048</v>
      </c>
      <c r="AG439" s="15">
        <v>2450300</v>
      </c>
      <c r="AH439" s="4">
        <v>7.85</v>
      </c>
      <c r="AI439" s="6">
        <v>5.8</v>
      </c>
    </row>
    <row r="440" spans="1:35" x14ac:dyDescent="0.25">
      <c r="A440" s="5" t="str">
        <f>"421201"</f>
        <v>421201</v>
      </c>
      <c r="B440" s="3" t="s">
        <v>354</v>
      </c>
      <c r="C440" s="15">
        <v>23190109</v>
      </c>
      <c r="D440" s="15">
        <v>24884255</v>
      </c>
      <c r="E440" s="4">
        <v>7.31</v>
      </c>
      <c r="F440" s="15">
        <v>10422681</v>
      </c>
      <c r="G440" s="15">
        <v>10626138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10422681</v>
      </c>
      <c r="O440" s="15">
        <v>10626138</v>
      </c>
      <c r="P440" s="4">
        <v>1.95</v>
      </c>
      <c r="Q440" s="15">
        <v>295760</v>
      </c>
      <c r="R440" s="15">
        <v>271165</v>
      </c>
      <c r="S440" s="15">
        <v>10202006</v>
      </c>
      <c r="T440" s="15">
        <v>10354973</v>
      </c>
      <c r="U440" s="15">
        <v>10126921</v>
      </c>
      <c r="V440" s="15">
        <v>10354973</v>
      </c>
      <c r="W440" s="15">
        <v>75085</v>
      </c>
      <c r="X440" s="15">
        <v>0</v>
      </c>
      <c r="Y440" s="4">
        <v>845</v>
      </c>
      <c r="Z440" s="4">
        <v>839</v>
      </c>
      <c r="AA440" s="4">
        <v>-0.71</v>
      </c>
      <c r="AB440" s="15">
        <v>3373115</v>
      </c>
      <c r="AC440" s="15">
        <v>3715115</v>
      </c>
      <c r="AD440" s="15">
        <v>729727</v>
      </c>
      <c r="AE440" s="15">
        <v>864037</v>
      </c>
      <c r="AF440" s="15">
        <v>1443240</v>
      </c>
      <c r="AG440" s="15">
        <v>995370</v>
      </c>
      <c r="AH440" s="4">
        <v>6.22</v>
      </c>
      <c r="AI440" s="6">
        <v>4</v>
      </c>
    </row>
    <row r="441" spans="1:35" x14ac:dyDescent="0.25">
      <c r="A441" s="5" t="str">
        <f>"621201"</f>
        <v>621201</v>
      </c>
      <c r="B441" s="3" t="s">
        <v>590</v>
      </c>
      <c r="C441" s="15">
        <v>58784143</v>
      </c>
      <c r="D441" s="15">
        <v>59991639</v>
      </c>
      <c r="E441" s="4">
        <v>2.0499999999999998</v>
      </c>
      <c r="F441" s="15">
        <v>45486297</v>
      </c>
      <c r="G441" s="15">
        <v>46101388</v>
      </c>
      <c r="H441" s="15"/>
      <c r="I441" s="15"/>
      <c r="J441" s="15"/>
      <c r="K441" s="15"/>
      <c r="L441" s="15"/>
      <c r="M441" s="15"/>
      <c r="N441" s="15">
        <v>45486297</v>
      </c>
      <c r="O441" s="15">
        <v>46101388</v>
      </c>
      <c r="P441" s="4">
        <v>1.35</v>
      </c>
      <c r="Q441" s="15">
        <v>402720</v>
      </c>
      <c r="R441" s="15">
        <v>600040</v>
      </c>
      <c r="S441" s="15">
        <v>45083577</v>
      </c>
      <c r="T441" s="15">
        <v>45501348</v>
      </c>
      <c r="U441" s="15">
        <v>45083577</v>
      </c>
      <c r="V441" s="15">
        <v>45501348</v>
      </c>
      <c r="W441" s="15">
        <v>0</v>
      </c>
      <c r="X441" s="15">
        <v>0</v>
      </c>
      <c r="Y441" s="4">
        <v>1230</v>
      </c>
      <c r="Z441" s="4">
        <v>1159</v>
      </c>
      <c r="AA441" s="4">
        <v>-5.77</v>
      </c>
      <c r="AB441" s="15">
        <v>15909652</v>
      </c>
      <c r="AC441" s="15">
        <v>15906279</v>
      </c>
      <c r="AD441" s="15">
        <v>2775000</v>
      </c>
      <c r="AE441" s="15">
        <v>2962206</v>
      </c>
      <c r="AF441" s="15">
        <v>2351446</v>
      </c>
      <c r="AG441" s="15">
        <v>2399665</v>
      </c>
      <c r="AH441" s="4">
        <v>4</v>
      </c>
      <c r="AI441" s="6">
        <v>4</v>
      </c>
    </row>
    <row r="442" spans="1:35" x14ac:dyDescent="0.25">
      <c r="A442" s="5" t="str">
        <f>"271201"</f>
        <v>271201</v>
      </c>
      <c r="B442" s="3" t="s">
        <v>263</v>
      </c>
      <c r="C442" s="15">
        <v>21297061</v>
      </c>
      <c r="D442" s="15">
        <v>21993284</v>
      </c>
      <c r="E442" s="4">
        <v>3.27</v>
      </c>
      <c r="F442" s="15">
        <v>4992857</v>
      </c>
      <c r="G442" s="15">
        <v>5091716</v>
      </c>
      <c r="H442" s="15"/>
      <c r="I442" s="15"/>
      <c r="J442" s="15"/>
      <c r="K442" s="15"/>
      <c r="L442" s="15"/>
      <c r="M442" s="15"/>
      <c r="N442" s="15">
        <v>4992857</v>
      </c>
      <c r="O442" s="15">
        <v>5091716</v>
      </c>
      <c r="P442" s="4">
        <v>1.98</v>
      </c>
      <c r="Q442" s="15">
        <v>0</v>
      </c>
      <c r="R442" s="15">
        <v>0</v>
      </c>
      <c r="S442" s="15">
        <v>5059358</v>
      </c>
      <c r="T442" s="15">
        <v>5160392</v>
      </c>
      <c r="U442" s="15">
        <v>4992857</v>
      </c>
      <c r="V442" s="15">
        <v>5091716</v>
      </c>
      <c r="W442" s="15">
        <v>66501</v>
      </c>
      <c r="X442" s="15">
        <v>68676</v>
      </c>
      <c r="Y442" s="4">
        <v>731</v>
      </c>
      <c r="Z442" s="4">
        <v>742</v>
      </c>
      <c r="AA442" s="4">
        <v>1.5</v>
      </c>
      <c r="AB442" s="15">
        <v>13060997</v>
      </c>
      <c r="AC442" s="15">
        <v>9673725</v>
      </c>
      <c r="AD442" s="15">
        <v>1200000</v>
      </c>
      <c r="AE442" s="15">
        <v>250000</v>
      </c>
      <c r="AF442" s="15">
        <v>851882</v>
      </c>
      <c r="AG442" s="15">
        <v>879732</v>
      </c>
      <c r="AH442" s="4">
        <v>4</v>
      </c>
      <c r="AI442" s="6">
        <v>4</v>
      </c>
    </row>
    <row r="443" spans="1:35" x14ac:dyDescent="0.25">
      <c r="A443" s="5" t="str">
        <f>"142301"</f>
        <v>142301</v>
      </c>
      <c r="B443" s="3" t="s">
        <v>151</v>
      </c>
      <c r="C443" s="15">
        <v>111978005</v>
      </c>
      <c r="D443" s="15">
        <v>114660569</v>
      </c>
      <c r="E443" s="4">
        <v>2.4</v>
      </c>
      <c r="F443" s="15">
        <v>69826734</v>
      </c>
      <c r="G443" s="15">
        <v>69826734</v>
      </c>
      <c r="H443" s="15">
        <v>0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69826734</v>
      </c>
      <c r="O443" s="15">
        <v>69826734</v>
      </c>
      <c r="P443" s="4">
        <v>0</v>
      </c>
      <c r="Q443" s="15">
        <v>3914527</v>
      </c>
      <c r="R443" s="15">
        <v>3994996</v>
      </c>
      <c r="S443" s="15">
        <v>65912207</v>
      </c>
      <c r="T443" s="15">
        <v>65831738</v>
      </c>
      <c r="U443" s="15">
        <v>65912207</v>
      </c>
      <c r="V443" s="15">
        <v>65831738</v>
      </c>
      <c r="W443" s="15">
        <v>0</v>
      </c>
      <c r="X443" s="15">
        <v>0</v>
      </c>
      <c r="Y443" s="4">
        <v>5026</v>
      </c>
      <c r="Z443" s="4">
        <v>5098</v>
      </c>
      <c r="AA443" s="4">
        <v>1.43</v>
      </c>
      <c r="AB443" s="15">
        <v>9368587</v>
      </c>
      <c r="AC443" s="15">
        <v>11322747</v>
      </c>
      <c r="AD443" s="15">
        <v>5500000</v>
      </c>
      <c r="AE443" s="15">
        <v>5500000</v>
      </c>
      <c r="AF443" s="15">
        <v>7261739</v>
      </c>
      <c r="AG443" s="15">
        <v>3945316</v>
      </c>
      <c r="AH443" s="4">
        <v>6.48</v>
      </c>
      <c r="AI443" s="6">
        <v>3.44</v>
      </c>
    </row>
    <row r="444" spans="1:35" x14ac:dyDescent="0.25">
      <c r="A444" s="5" t="str">
        <f>"412901"</f>
        <v>412901</v>
      </c>
      <c r="B444" s="3" t="s">
        <v>340</v>
      </c>
      <c r="C444" s="15">
        <v>16325098</v>
      </c>
      <c r="D444" s="15">
        <v>16688766</v>
      </c>
      <c r="E444" s="4">
        <v>2.23</v>
      </c>
      <c r="F444" s="15">
        <v>6331405</v>
      </c>
      <c r="G444" s="15">
        <v>6618827</v>
      </c>
      <c r="H444" s="15">
        <v>0</v>
      </c>
      <c r="I444" s="15"/>
      <c r="J444" s="15">
        <v>0</v>
      </c>
      <c r="K444" s="15"/>
      <c r="L444" s="15">
        <v>0</v>
      </c>
      <c r="M444" s="15"/>
      <c r="N444" s="15">
        <v>6331405</v>
      </c>
      <c r="O444" s="15">
        <v>6618827</v>
      </c>
      <c r="P444" s="4">
        <v>4.54</v>
      </c>
      <c r="Q444" s="15">
        <v>301618</v>
      </c>
      <c r="R444" s="15">
        <v>301620</v>
      </c>
      <c r="S444" s="15">
        <v>6029787</v>
      </c>
      <c r="T444" s="15">
        <v>6317207</v>
      </c>
      <c r="U444" s="15">
        <v>6029787</v>
      </c>
      <c r="V444" s="15">
        <v>6317207</v>
      </c>
      <c r="W444" s="15">
        <v>0</v>
      </c>
      <c r="X444" s="15">
        <v>0</v>
      </c>
      <c r="Y444" s="4">
        <v>554</v>
      </c>
      <c r="Z444" s="4">
        <v>554</v>
      </c>
      <c r="AA444" s="4">
        <v>0</v>
      </c>
      <c r="AB444" s="15">
        <v>7189372</v>
      </c>
      <c r="AC444" s="15">
        <v>5113807</v>
      </c>
      <c r="AD444" s="15">
        <v>1680164</v>
      </c>
      <c r="AE444" s="15">
        <v>1680587</v>
      </c>
      <c r="AF444" s="15">
        <v>982005</v>
      </c>
      <c r="AG444" s="15">
        <v>667551</v>
      </c>
      <c r="AH444" s="4">
        <v>6.02</v>
      </c>
      <c r="AI444" s="6">
        <v>4</v>
      </c>
    </row>
    <row r="445" spans="1:35" x14ac:dyDescent="0.25">
      <c r="A445" s="5" t="str">
        <f>"661401"</f>
        <v>661401</v>
      </c>
      <c r="B445" s="3" t="s">
        <v>651</v>
      </c>
      <c r="C445" s="15">
        <v>139817795</v>
      </c>
      <c r="D445" s="15">
        <v>151521044</v>
      </c>
      <c r="E445" s="4">
        <v>8.3699999999999992</v>
      </c>
      <c r="F445" s="15">
        <v>102081146</v>
      </c>
      <c r="G445" s="15">
        <v>101564634</v>
      </c>
      <c r="H445" s="15">
        <v>1221163</v>
      </c>
      <c r="I445" s="15">
        <v>1221163</v>
      </c>
      <c r="J445" s="15">
        <v>0</v>
      </c>
      <c r="K445" s="15">
        <v>0</v>
      </c>
      <c r="L445" s="15">
        <v>0</v>
      </c>
      <c r="M445" s="15">
        <v>0</v>
      </c>
      <c r="N445" s="15">
        <v>103302309</v>
      </c>
      <c r="O445" s="15">
        <v>102785797</v>
      </c>
      <c r="P445" s="4">
        <v>-0.5</v>
      </c>
      <c r="Q445" s="15">
        <v>7658678</v>
      </c>
      <c r="R445" s="15">
        <v>6830774</v>
      </c>
      <c r="S445" s="15">
        <v>95835381</v>
      </c>
      <c r="T445" s="15">
        <v>97204821</v>
      </c>
      <c r="U445" s="15">
        <v>94422468</v>
      </c>
      <c r="V445" s="15">
        <v>94733860</v>
      </c>
      <c r="W445" s="15">
        <v>1412913</v>
      </c>
      <c r="X445" s="15">
        <v>2470961</v>
      </c>
      <c r="Y445" s="4">
        <v>4795</v>
      </c>
      <c r="Z445" s="4">
        <v>4639</v>
      </c>
      <c r="AA445" s="4">
        <v>-3.25</v>
      </c>
      <c r="AB445" s="15">
        <v>42012790</v>
      </c>
      <c r="AC445" s="15">
        <v>50687179</v>
      </c>
      <c r="AD445" s="15">
        <v>3625768</v>
      </c>
      <c r="AE445" s="15">
        <v>5072340</v>
      </c>
      <c r="AF445" s="15">
        <v>14828842</v>
      </c>
      <c r="AG445" s="15">
        <v>6060842</v>
      </c>
      <c r="AH445" s="4">
        <v>10.61</v>
      </c>
      <c r="AI445" s="6">
        <v>4</v>
      </c>
    </row>
    <row r="446" spans="1:35" x14ac:dyDescent="0.25">
      <c r="A446" s="5" t="str">
        <f>"461300"</f>
        <v>461300</v>
      </c>
      <c r="B446" s="3" t="s">
        <v>395</v>
      </c>
      <c r="C446" s="15">
        <v>91159811</v>
      </c>
      <c r="D446" s="15">
        <v>97160976</v>
      </c>
      <c r="E446" s="4">
        <v>6.58</v>
      </c>
      <c r="F446" s="15">
        <v>26643448</v>
      </c>
      <c r="G446" s="15">
        <v>26643448</v>
      </c>
      <c r="H446" s="15"/>
      <c r="I446" s="15"/>
      <c r="J446" s="15"/>
      <c r="K446" s="15"/>
      <c r="L446" s="15"/>
      <c r="M446" s="15"/>
      <c r="N446" s="15">
        <v>26643448</v>
      </c>
      <c r="O446" s="15">
        <v>26643448</v>
      </c>
      <c r="P446" s="4">
        <v>0</v>
      </c>
      <c r="Q446" s="15">
        <v>1916533</v>
      </c>
      <c r="R446" s="15">
        <v>3919287</v>
      </c>
      <c r="S446" s="15">
        <v>27958521</v>
      </c>
      <c r="T446" s="15">
        <v>29663135</v>
      </c>
      <c r="U446" s="15">
        <v>24726915</v>
      </c>
      <c r="V446" s="15">
        <v>22724161</v>
      </c>
      <c r="W446" s="15">
        <v>3231606</v>
      </c>
      <c r="X446" s="15">
        <v>6938974</v>
      </c>
      <c r="Y446" s="4">
        <v>3620</v>
      </c>
      <c r="Z446" s="4">
        <v>3640</v>
      </c>
      <c r="AA446" s="4">
        <v>0.55000000000000004</v>
      </c>
      <c r="AB446" s="15">
        <v>0</v>
      </c>
      <c r="AC446" s="15">
        <v>0</v>
      </c>
      <c r="AD446" s="15">
        <v>0</v>
      </c>
      <c r="AE446" s="15">
        <v>0</v>
      </c>
      <c r="AF446" s="15">
        <v>3646392</v>
      </c>
      <c r="AG446" s="15">
        <v>3886439</v>
      </c>
      <c r="AH446" s="4">
        <v>4</v>
      </c>
      <c r="AI446" s="6">
        <v>4</v>
      </c>
    </row>
    <row r="447" spans="1:35" x14ac:dyDescent="0.25">
      <c r="A447" s="5" t="str">
        <f>"471601"</f>
        <v>471601</v>
      </c>
      <c r="B447" s="3" t="s">
        <v>406</v>
      </c>
      <c r="C447" s="15">
        <v>23293288</v>
      </c>
      <c r="D447" s="15">
        <v>23802607</v>
      </c>
      <c r="E447" s="4">
        <v>2.19</v>
      </c>
      <c r="F447" s="15">
        <v>7420915</v>
      </c>
      <c r="G447" s="15">
        <v>7530745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7420915</v>
      </c>
      <c r="O447" s="15">
        <v>7530745</v>
      </c>
      <c r="P447" s="4">
        <v>1.48</v>
      </c>
      <c r="Q447" s="15">
        <v>374800</v>
      </c>
      <c r="R447" s="15">
        <v>400357</v>
      </c>
      <c r="S447" s="15">
        <v>7154176</v>
      </c>
      <c r="T447" s="15">
        <v>7222363</v>
      </c>
      <c r="U447" s="15">
        <v>7046115</v>
      </c>
      <c r="V447" s="15">
        <v>7130388</v>
      </c>
      <c r="W447" s="15">
        <v>108061</v>
      </c>
      <c r="X447" s="15">
        <v>91975</v>
      </c>
      <c r="Y447" s="4">
        <v>685</v>
      </c>
      <c r="Z447" s="4">
        <v>680</v>
      </c>
      <c r="AA447" s="4">
        <v>-0.73</v>
      </c>
      <c r="AB447" s="15">
        <v>2517176</v>
      </c>
      <c r="AC447" s="15">
        <v>2605350</v>
      </c>
      <c r="AD447" s="15">
        <v>760812</v>
      </c>
      <c r="AE447" s="15">
        <v>674832</v>
      </c>
      <c r="AF447" s="15">
        <v>2735211</v>
      </c>
      <c r="AG447" s="15">
        <v>2800000</v>
      </c>
      <c r="AH447" s="4">
        <v>11.74</v>
      </c>
      <c r="AI447" s="6">
        <v>11.76</v>
      </c>
    </row>
    <row r="448" spans="1:35" x14ac:dyDescent="0.25">
      <c r="A448" s="5" t="str">
        <f>"600601"</f>
        <v>600601</v>
      </c>
      <c r="B448" s="3" t="s">
        <v>576</v>
      </c>
      <c r="C448" s="15">
        <v>49835497</v>
      </c>
      <c r="D448" s="15">
        <v>52861174</v>
      </c>
      <c r="E448" s="4">
        <v>6.07</v>
      </c>
      <c r="F448" s="15">
        <v>17900212</v>
      </c>
      <c r="G448" s="15">
        <v>17900212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17900212</v>
      </c>
      <c r="O448" s="15">
        <v>17900212</v>
      </c>
      <c r="P448" s="4">
        <v>0</v>
      </c>
      <c r="Q448" s="15">
        <v>472985</v>
      </c>
      <c r="R448" s="15">
        <v>623527</v>
      </c>
      <c r="S448" s="15">
        <v>17729620</v>
      </c>
      <c r="T448" s="15">
        <v>17888020</v>
      </c>
      <c r="U448" s="15">
        <v>17427227</v>
      </c>
      <c r="V448" s="15">
        <v>17276685</v>
      </c>
      <c r="W448" s="15">
        <v>302393</v>
      </c>
      <c r="X448" s="15">
        <v>611335</v>
      </c>
      <c r="Y448" s="4">
        <v>1908</v>
      </c>
      <c r="Z448" s="4">
        <v>1908</v>
      </c>
      <c r="AA448" s="4">
        <v>0</v>
      </c>
      <c r="AB448" s="15">
        <v>5368820</v>
      </c>
      <c r="AC448" s="15">
        <v>5036753</v>
      </c>
      <c r="AD448" s="15">
        <v>2500000</v>
      </c>
      <c r="AE448" s="15">
        <v>2500000</v>
      </c>
      <c r="AF448" s="15">
        <v>2469900</v>
      </c>
      <c r="AG448" s="15">
        <v>1904757</v>
      </c>
      <c r="AH448" s="4">
        <v>4.96</v>
      </c>
      <c r="AI448" s="6">
        <v>3.6</v>
      </c>
    </row>
    <row r="449" spans="1:35" x14ac:dyDescent="0.25">
      <c r="A449" s="5" t="str">
        <f>"081501"</f>
        <v>081501</v>
      </c>
      <c r="B449" s="3" t="s">
        <v>82</v>
      </c>
      <c r="C449" s="15">
        <v>19475132</v>
      </c>
      <c r="D449" s="15">
        <v>20898159</v>
      </c>
      <c r="E449" s="4">
        <v>7.31</v>
      </c>
      <c r="F449" s="15">
        <v>5091160</v>
      </c>
      <c r="G449" s="15">
        <v>5190393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5091160</v>
      </c>
      <c r="O449" s="15">
        <v>5190393</v>
      </c>
      <c r="P449" s="4">
        <v>1.95</v>
      </c>
      <c r="Q449" s="15">
        <v>132505</v>
      </c>
      <c r="R449" s="15">
        <v>132505</v>
      </c>
      <c r="S449" s="15">
        <v>4958655</v>
      </c>
      <c r="T449" s="15">
        <v>5057888</v>
      </c>
      <c r="U449" s="15">
        <v>4958655</v>
      </c>
      <c r="V449" s="15">
        <v>5057888</v>
      </c>
      <c r="W449" s="15">
        <v>0</v>
      </c>
      <c r="X449" s="15">
        <v>0</v>
      </c>
      <c r="Y449" s="4">
        <v>690</v>
      </c>
      <c r="Z449" s="4">
        <v>694</v>
      </c>
      <c r="AA449" s="4">
        <v>0.57999999999999996</v>
      </c>
      <c r="AB449" s="15">
        <v>1273457</v>
      </c>
      <c r="AC449" s="15">
        <v>2523456</v>
      </c>
      <c r="AD449" s="15">
        <v>62790</v>
      </c>
      <c r="AE449" s="15">
        <v>62790</v>
      </c>
      <c r="AF449" s="15">
        <v>2391626</v>
      </c>
      <c r="AG449" s="15">
        <v>2191626</v>
      </c>
      <c r="AH449" s="4">
        <v>12.28</v>
      </c>
      <c r="AI449" s="6">
        <v>10.49</v>
      </c>
    </row>
    <row r="450" spans="1:35" x14ac:dyDescent="0.25">
      <c r="A450" s="5" t="str">
        <f>"280506"</f>
        <v>280506</v>
      </c>
      <c r="B450" s="3" t="s">
        <v>310</v>
      </c>
      <c r="C450" s="15">
        <v>61409503</v>
      </c>
      <c r="D450" s="15">
        <v>62107217</v>
      </c>
      <c r="E450" s="4">
        <v>1.1399999999999999</v>
      </c>
      <c r="F450" s="15">
        <v>54416060</v>
      </c>
      <c r="G450" s="15">
        <v>55523620</v>
      </c>
      <c r="H450" s="15"/>
      <c r="I450" s="15"/>
      <c r="J450" s="15"/>
      <c r="K450" s="15"/>
      <c r="L450" s="15"/>
      <c r="M450" s="15"/>
      <c r="N450" s="15">
        <v>54416060</v>
      </c>
      <c r="O450" s="15">
        <v>55523620</v>
      </c>
      <c r="P450" s="4">
        <v>2.04</v>
      </c>
      <c r="Q450" s="15">
        <v>2130743</v>
      </c>
      <c r="R450" s="15">
        <v>2055308</v>
      </c>
      <c r="S450" s="15">
        <v>52285318</v>
      </c>
      <c r="T450" s="15">
        <v>53468312</v>
      </c>
      <c r="U450" s="15">
        <v>52285317</v>
      </c>
      <c r="V450" s="15">
        <v>53468312</v>
      </c>
      <c r="W450" s="15">
        <v>1</v>
      </c>
      <c r="X450" s="15">
        <v>0</v>
      </c>
      <c r="Y450" s="4">
        <v>1558</v>
      </c>
      <c r="Z450" s="4">
        <v>1421</v>
      </c>
      <c r="AA450" s="4">
        <v>-8.7899999999999991</v>
      </c>
      <c r="AB450" s="15">
        <v>9584119</v>
      </c>
      <c r="AC450" s="15">
        <v>9947412</v>
      </c>
      <c r="AD450" s="15">
        <v>1228081</v>
      </c>
      <c r="AE450" s="15">
        <v>1228081</v>
      </c>
      <c r="AF450" s="15">
        <v>2456380</v>
      </c>
      <c r="AG450" s="15">
        <v>2484288</v>
      </c>
      <c r="AH450" s="4">
        <v>4</v>
      </c>
      <c r="AI450" s="6">
        <v>4</v>
      </c>
    </row>
    <row r="451" spans="1:35" x14ac:dyDescent="0.25">
      <c r="A451" s="5" t="str">
        <f>"581002"</f>
        <v>581002</v>
      </c>
      <c r="B451" s="3" t="s">
        <v>560</v>
      </c>
      <c r="C451" s="15">
        <v>5681041</v>
      </c>
      <c r="D451" s="15">
        <v>5582353</v>
      </c>
      <c r="E451" s="4">
        <v>-1.74</v>
      </c>
      <c r="F451" s="15">
        <v>4739041</v>
      </c>
      <c r="G451" s="15">
        <v>4918422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0</v>
      </c>
      <c r="N451" s="15">
        <v>4739041</v>
      </c>
      <c r="O451" s="15">
        <v>4918422</v>
      </c>
      <c r="P451" s="4">
        <v>3.79</v>
      </c>
      <c r="Q451" s="15">
        <v>0</v>
      </c>
      <c r="R451" s="15">
        <v>0</v>
      </c>
      <c r="S451" s="15">
        <v>5285790</v>
      </c>
      <c r="T451" s="15">
        <v>4918422</v>
      </c>
      <c r="U451" s="15">
        <v>4739041</v>
      </c>
      <c r="V451" s="15">
        <v>4918422</v>
      </c>
      <c r="W451" s="15">
        <v>546749</v>
      </c>
      <c r="X451" s="15">
        <v>0</v>
      </c>
      <c r="Y451" s="4">
        <v>144</v>
      </c>
      <c r="Z451" s="4">
        <v>140</v>
      </c>
      <c r="AA451" s="4">
        <v>-2.78</v>
      </c>
      <c r="AB451" s="15">
        <v>1451830</v>
      </c>
      <c r="AC451" s="15">
        <v>1121830</v>
      </c>
      <c r="AD451" s="15">
        <v>450000</v>
      </c>
      <c r="AE451" s="15">
        <v>125000</v>
      </c>
      <c r="AF451" s="15">
        <v>1723213</v>
      </c>
      <c r="AG451" s="15">
        <v>1200000</v>
      </c>
      <c r="AH451" s="4">
        <v>30.33</v>
      </c>
      <c r="AI451" s="6">
        <v>21.5</v>
      </c>
    </row>
    <row r="452" spans="1:35" x14ac:dyDescent="0.25">
      <c r="A452" s="5" t="str">
        <f>"650901"</f>
        <v>650901</v>
      </c>
      <c r="B452" s="3" t="s">
        <v>619</v>
      </c>
      <c r="C452" s="15">
        <v>43521000</v>
      </c>
      <c r="D452" s="15">
        <v>45651000</v>
      </c>
      <c r="E452" s="4">
        <v>4.8899999999999997</v>
      </c>
      <c r="F452" s="15">
        <v>20094000</v>
      </c>
      <c r="G452" s="15">
        <v>20437000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20094000</v>
      </c>
      <c r="O452" s="15">
        <v>20437000</v>
      </c>
      <c r="P452" s="4">
        <v>1.71</v>
      </c>
      <c r="Q452" s="15">
        <v>0</v>
      </c>
      <c r="R452" s="15">
        <v>0</v>
      </c>
      <c r="S452" s="15">
        <v>20164110</v>
      </c>
      <c r="T452" s="15">
        <v>20705357</v>
      </c>
      <c r="U452" s="15">
        <v>20094000</v>
      </c>
      <c r="V452" s="15">
        <v>20437000</v>
      </c>
      <c r="W452" s="15">
        <v>70110</v>
      </c>
      <c r="X452" s="15">
        <v>268357</v>
      </c>
      <c r="Y452" s="4">
        <v>1763</v>
      </c>
      <c r="Z452" s="4">
        <v>1755</v>
      </c>
      <c r="AA452" s="4">
        <v>-0.45</v>
      </c>
      <c r="AB452" s="15">
        <v>15353265</v>
      </c>
      <c r="AC452" s="15">
        <v>9855000</v>
      </c>
      <c r="AD452" s="15">
        <v>0</v>
      </c>
      <c r="AE452" s="15">
        <v>0</v>
      </c>
      <c r="AF452" s="15">
        <v>1702361</v>
      </c>
      <c r="AG452" s="15">
        <v>1826000</v>
      </c>
      <c r="AH452" s="4">
        <v>3.91</v>
      </c>
      <c r="AI452" s="6">
        <v>4</v>
      </c>
    </row>
    <row r="453" spans="1:35" x14ac:dyDescent="0.25">
      <c r="A453" s="5" t="str">
        <f>"061601"</f>
        <v>061601</v>
      </c>
      <c r="B453" s="3" t="s">
        <v>66</v>
      </c>
      <c r="C453" s="15">
        <v>12933775</v>
      </c>
      <c r="D453" s="15">
        <v>13522638</v>
      </c>
      <c r="E453" s="4">
        <v>4.55</v>
      </c>
      <c r="F453" s="15">
        <v>3464980</v>
      </c>
      <c r="G453" s="15">
        <v>3464980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3464980</v>
      </c>
      <c r="O453" s="15">
        <v>3464980</v>
      </c>
      <c r="P453" s="4">
        <v>0</v>
      </c>
      <c r="Q453" s="15">
        <v>183687</v>
      </c>
      <c r="R453" s="15">
        <v>166164</v>
      </c>
      <c r="S453" s="15">
        <v>3553236</v>
      </c>
      <c r="T453" s="15">
        <v>3521058</v>
      </c>
      <c r="U453" s="15">
        <v>3281293</v>
      </c>
      <c r="V453" s="15">
        <v>3298816</v>
      </c>
      <c r="W453" s="15">
        <v>271943</v>
      </c>
      <c r="X453" s="15">
        <v>222242</v>
      </c>
      <c r="Y453" s="4">
        <v>433</v>
      </c>
      <c r="Z453" s="4">
        <v>445</v>
      </c>
      <c r="AA453" s="4">
        <v>2.77</v>
      </c>
      <c r="AB453" s="15">
        <v>3047185</v>
      </c>
      <c r="AC453" s="15">
        <v>3732418</v>
      </c>
      <c r="AD453" s="15">
        <v>694000</v>
      </c>
      <c r="AE453" s="15">
        <v>753000</v>
      </c>
      <c r="AF453" s="15">
        <v>1633789</v>
      </c>
      <c r="AG453" s="15">
        <v>2260022</v>
      </c>
      <c r="AH453" s="4">
        <v>12.63</v>
      </c>
      <c r="AI453" s="6">
        <v>16.71</v>
      </c>
    </row>
    <row r="454" spans="1:35" x14ac:dyDescent="0.25">
      <c r="A454" s="5" t="str">
        <f>"512501"</f>
        <v>512501</v>
      </c>
      <c r="B454" s="3" t="s">
        <v>452</v>
      </c>
      <c r="C454" s="15">
        <v>12354826</v>
      </c>
      <c r="D454" s="15">
        <v>12913484</v>
      </c>
      <c r="E454" s="4">
        <v>4.5199999999999996</v>
      </c>
      <c r="F454" s="15">
        <v>4161858</v>
      </c>
      <c r="G454" s="15">
        <v>4282178</v>
      </c>
      <c r="H454" s="15"/>
      <c r="I454" s="15"/>
      <c r="J454" s="15"/>
      <c r="K454" s="15"/>
      <c r="L454" s="15"/>
      <c r="M454" s="15"/>
      <c r="N454" s="15">
        <v>4161858</v>
      </c>
      <c r="O454" s="15">
        <v>4282178</v>
      </c>
      <c r="P454" s="4">
        <v>2.89</v>
      </c>
      <c r="Q454" s="15">
        <v>445658</v>
      </c>
      <c r="R454" s="15">
        <v>267237</v>
      </c>
      <c r="S454" s="15">
        <v>3716200</v>
      </c>
      <c r="T454" s="15">
        <v>4014941</v>
      </c>
      <c r="U454" s="15">
        <v>3716200</v>
      </c>
      <c r="V454" s="15">
        <v>4014941</v>
      </c>
      <c r="W454" s="15">
        <v>0</v>
      </c>
      <c r="X454" s="15">
        <v>0</v>
      </c>
      <c r="Y454" s="4">
        <v>340</v>
      </c>
      <c r="Z454" s="4">
        <v>320</v>
      </c>
      <c r="AA454" s="4">
        <v>-5.88</v>
      </c>
      <c r="AB454" s="15">
        <v>2239882</v>
      </c>
      <c r="AC454" s="15">
        <v>2346733</v>
      </c>
      <c r="AD454" s="15">
        <v>1002786</v>
      </c>
      <c r="AE454" s="15">
        <v>990000</v>
      </c>
      <c r="AF454" s="15">
        <v>854304</v>
      </c>
      <c r="AG454" s="15">
        <v>750000</v>
      </c>
      <c r="AH454" s="4">
        <v>6.91</v>
      </c>
      <c r="AI454" s="6">
        <v>5.81</v>
      </c>
    </row>
    <row r="455" spans="1:35" x14ac:dyDescent="0.25">
      <c r="A455" s="5" t="str">
        <f>"580224"</f>
        <v>580224</v>
      </c>
      <c r="B455" s="3" t="s">
        <v>515</v>
      </c>
      <c r="C455" s="15">
        <v>198935170</v>
      </c>
      <c r="D455" s="15">
        <v>211181877</v>
      </c>
      <c r="E455" s="4">
        <v>6.16</v>
      </c>
      <c r="F455" s="15">
        <v>119129254</v>
      </c>
      <c r="G455" s="15">
        <v>123273681</v>
      </c>
      <c r="H455" s="15"/>
      <c r="I455" s="15"/>
      <c r="J455" s="15"/>
      <c r="K455" s="15"/>
      <c r="L455" s="15"/>
      <c r="M455" s="15"/>
      <c r="N455" s="15">
        <v>119129254</v>
      </c>
      <c r="O455" s="15">
        <v>123273681</v>
      </c>
      <c r="P455" s="4">
        <v>3.48</v>
      </c>
      <c r="Q455" s="15">
        <v>3719685</v>
      </c>
      <c r="R455" s="15">
        <v>5022881</v>
      </c>
      <c r="S455" s="15">
        <v>115409569</v>
      </c>
      <c r="T455" s="15">
        <v>118250800</v>
      </c>
      <c r="U455" s="15">
        <v>115409569</v>
      </c>
      <c r="V455" s="15">
        <v>118250800</v>
      </c>
      <c r="W455" s="15">
        <v>0</v>
      </c>
      <c r="X455" s="15">
        <v>0</v>
      </c>
      <c r="Y455" s="4">
        <v>7231</v>
      </c>
      <c r="Z455" s="4">
        <v>7487</v>
      </c>
      <c r="AA455" s="4">
        <v>3.54</v>
      </c>
      <c r="AB455" s="15">
        <v>20419980</v>
      </c>
      <c r="AC455" s="15">
        <v>24652191</v>
      </c>
      <c r="AD455" s="15">
        <v>0</v>
      </c>
      <c r="AE455" s="15">
        <v>0</v>
      </c>
      <c r="AF455" s="15">
        <v>6453075</v>
      </c>
      <c r="AG455" s="15">
        <v>7159828</v>
      </c>
      <c r="AH455" s="4">
        <v>3.24</v>
      </c>
      <c r="AI455" s="6">
        <v>3.39</v>
      </c>
    </row>
    <row r="456" spans="1:35" x14ac:dyDescent="0.25">
      <c r="A456" s="5" t="str">
        <f>"181201"</f>
        <v>181201</v>
      </c>
      <c r="B456" s="3" t="s">
        <v>184</v>
      </c>
      <c r="C456" s="15">
        <v>17576861</v>
      </c>
      <c r="D456" s="15">
        <v>18287351</v>
      </c>
      <c r="E456" s="4">
        <v>4.04</v>
      </c>
      <c r="F456" s="15">
        <v>5622703</v>
      </c>
      <c r="G456" s="15">
        <v>5692987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5622703</v>
      </c>
      <c r="O456" s="15">
        <v>5692987</v>
      </c>
      <c r="P456" s="4">
        <v>1.25</v>
      </c>
      <c r="Q456" s="15">
        <v>0</v>
      </c>
      <c r="R456" s="15">
        <v>0</v>
      </c>
      <c r="S456" s="15">
        <v>5836191</v>
      </c>
      <c r="T456" s="15">
        <v>5834952</v>
      </c>
      <c r="U456" s="15">
        <v>5622703</v>
      </c>
      <c r="V456" s="15">
        <v>5692987</v>
      </c>
      <c r="W456" s="15">
        <v>213488</v>
      </c>
      <c r="X456" s="15">
        <v>141965</v>
      </c>
      <c r="Y456" s="4">
        <v>655</v>
      </c>
      <c r="Z456" s="4">
        <v>655</v>
      </c>
      <c r="AA456" s="4">
        <v>0</v>
      </c>
      <c r="AB456" s="15">
        <v>4951387</v>
      </c>
      <c r="AC456" s="15">
        <v>5000000</v>
      </c>
      <c r="AD456" s="15">
        <v>1238428</v>
      </c>
      <c r="AE456" s="15">
        <v>1000000</v>
      </c>
      <c r="AF456" s="15">
        <v>702556</v>
      </c>
      <c r="AG456" s="15">
        <v>731494</v>
      </c>
      <c r="AH456" s="4">
        <v>4</v>
      </c>
      <c r="AI456" s="6">
        <v>4</v>
      </c>
    </row>
    <row r="457" spans="1:35" x14ac:dyDescent="0.25">
      <c r="A457" s="5" t="str">
        <f>"131201"</f>
        <v>131201</v>
      </c>
      <c r="B457" s="3" t="s">
        <v>119</v>
      </c>
      <c r="C457" s="15">
        <v>40981628</v>
      </c>
      <c r="D457" s="15">
        <v>41980503</v>
      </c>
      <c r="E457" s="4">
        <v>2.44</v>
      </c>
      <c r="F457" s="15">
        <v>29934500</v>
      </c>
      <c r="G457" s="15">
        <v>30232000</v>
      </c>
      <c r="H457" s="15"/>
      <c r="I457" s="15"/>
      <c r="J457" s="15"/>
      <c r="K457" s="15"/>
      <c r="L457" s="15"/>
      <c r="M457" s="15"/>
      <c r="N457" s="15">
        <v>29934500</v>
      </c>
      <c r="O457" s="15">
        <v>30232000</v>
      </c>
      <c r="P457" s="4">
        <v>0.99</v>
      </c>
      <c r="Q457" s="15">
        <v>2104542</v>
      </c>
      <c r="R457" s="15">
        <v>1667042</v>
      </c>
      <c r="S457" s="15">
        <v>27830159</v>
      </c>
      <c r="T457" s="15">
        <v>28598120</v>
      </c>
      <c r="U457" s="15">
        <v>27829958</v>
      </c>
      <c r="V457" s="15">
        <v>28564958</v>
      </c>
      <c r="W457" s="15">
        <v>201</v>
      </c>
      <c r="X457" s="15">
        <v>33162</v>
      </c>
      <c r="Y457" s="4">
        <v>1103</v>
      </c>
      <c r="Z457" s="4">
        <v>1073</v>
      </c>
      <c r="AA457" s="4">
        <v>-2.72</v>
      </c>
      <c r="AB457" s="15">
        <v>5968934</v>
      </c>
      <c r="AC457" s="15">
        <v>6968934</v>
      </c>
      <c r="AD457" s="15">
        <v>2677697</v>
      </c>
      <c r="AE457" s="15">
        <v>2085050</v>
      </c>
      <c r="AF457" s="15">
        <v>1632679</v>
      </c>
      <c r="AG457" s="15">
        <v>1679220</v>
      </c>
      <c r="AH457" s="4">
        <v>3.98</v>
      </c>
      <c r="AI457" s="6">
        <v>4</v>
      </c>
    </row>
    <row r="458" spans="1:35" x14ac:dyDescent="0.25">
      <c r="A458" s="5" t="str">
        <f>"500308"</f>
        <v>500308</v>
      </c>
      <c r="B458" s="3" t="s">
        <v>435</v>
      </c>
      <c r="C458" s="15">
        <v>73976753</v>
      </c>
      <c r="D458" s="15">
        <v>77509312</v>
      </c>
      <c r="E458" s="4">
        <v>4.78</v>
      </c>
      <c r="F458" s="15">
        <v>58926118</v>
      </c>
      <c r="G458" s="15">
        <v>60602084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58926118</v>
      </c>
      <c r="O458" s="15">
        <v>60602084</v>
      </c>
      <c r="P458" s="4">
        <v>2.84</v>
      </c>
      <c r="Q458" s="15">
        <v>723535</v>
      </c>
      <c r="R458" s="15">
        <v>1102060</v>
      </c>
      <c r="S458" s="15">
        <v>58202583</v>
      </c>
      <c r="T458" s="15">
        <v>59500024</v>
      </c>
      <c r="U458" s="15">
        <v>58202583</v>
      </c>
      <c r="V458" s="15">
        <v>59500024</v>
      </c>
      <c r="W458" s="15">
        <v>0</v>
      </c>
      <c r="X458" s="15">
        <v>0</v>
      </c>
      <c r="Y458" s="4">
        <v>2300</v>
      </c>
      <c r="Z458" s="4">
        <v>2300</v>
      </c>
      <c r="AA458" s="4">
        <v>0</v>
      </c>
      <c r="AB458" s="15">
        <v>500000</v>
      </c>
      <c r="AC458" s="15">
        <v>135000</v>
      </c>
      <c r="AD458" s="15">
        <v>2111465</v>
      </c>
      <c r="AE458" s="15">
        <v>950000</v>
      </c>
      <c r="AF458" s="15">
        <v>2959070</v>
      </c>
      <c r="AG458" s="15">
        <v>3100372</v>
      </c>
      <c r="AH458" s="4">
        <v>4</v>
      </c>
      <c r="AI458" s="6">
        <v>4</v>
      </c>
    </row>
    <row r="459" spans="1:35" x14ac:dyDescent="0.25">
      <c r="A459" s="5" t="str">
        <f>"661500"</f>
        <v>661500</v>
      </c>
      <c r="B459" s="3" t="s">
        <v>653</v>
      </c>
      <c r="C459" s="15">
        <v>101368973</v>
      </c>
      <c r="D459" s="15">
        <v>105395111</v>
      </c>
      <c r="E459" s="4">
        <v>3.97</v>
      </c>
      <c r="F459" s="15">
        <v>42738279</v>
      </c>
      <c r="G459" s="15">
        <v>43593045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42738279</v>
      </c>
      <c r="O459" s="15">
        <v>43593045</v>
      </c>
      <c r="P459" s="4">
        <v>2</v>
      </c>
      <c r="Q459" s="15">
        <v>2014980</v>
      </c>
      <c r="R459" s="15">
        <v>2062027</v>
      </c>
      <c r="S459" s="15">
        <v>40723299</v>
      </c>
      <c r="T459" s="15">
        <v>41565604</v>
      </c>
      <c r="U459" s="15">
        <v>40723299</v>
      </c>
      <c r="V459" s="15">
        <v>41531018</v>
      </c>
      <c r="W459" s="15">
        <v>0</v>
      </c>
      <c r="X459" s="15">
        <v>34586</v>
      </c>
      <c r="Y459" s="4">
        <v>3496</v>
      </c>
      <c r="Z459" s="4">
        <v>3514</v>
      </c>
      <c r="AA459" s="4">
        <v>0.51</v>
      </c>
      <c r="AB459" s="15">
        <v>19206493</v>
      </c>
      <c r="AC459" s="15">
        <v>23939990</v>
      </c>
      <c r="AD459" s="15">
        <v>4685099</v>
      </c>
      <c r="AE459" s="15">
        <v>2612772</v>
      </c>
      <c r="AF459" s="15">
        <v>3980746</v>
      </c>
      <c r="AG459" s="15">
        <v>4213408</v>
      </c>
      <c r="AH459" s="4">
        <v>3.93</v>
      </c>
      <c r="AI459" s="6">
        <v>4</v>
      </c>
    </row>
    <row r="460" spans="1:35" x14ac:dyDescent="0.25">
      <c r="A460" s="5" t="str">
        <f>"661601"</f>
        <v>661601</v>
      </c>
      <c r="B460" s="3" t="s">
        <v>654</v>
      </c>
      <c r="C460" s="15">
        <v>80280000</v>
      </c>
      <c r="D460" s="15">
        <v>84240000</v>
      </c>
      <c r="E460" s="4">
        <v>4.93</v>
      </c>
      <c r="F460" s="15">
        <v>67271881</v>
      </c>
      <c r="G460" s="15">
        <v>68581807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67271881</v>
      </c>
      <c r="O460" s="15">
        <v>68581807</v>
      </c>
      <c r="P460" s="4">
        <v>1.95</v>
      </c>
      <c r="Q460" s="15">
        <v>3002238</v>
      </c>
      <c r="R460" s="15">
        <v>2587620</v>
      </c>
      <c r="S460" s="15">
        <v>64269643</v>
      </c>
      <c r="T460" s="15">
        <v>65994187</v>
      </c>
      <c r="U460" s="15">
        <v>64269643</v>
      </c>
      <c r="V460" s="15">
        <v>65994187</v>
      </c>
      <c r="W460" s="15">
        <v>0</v>
      </c>
      <c r="X460" s="15">
        <v>0</v>
      </c>
      <c r="Y460" s="4">
        <v>2802</v>
      </c>
      <c r="Z460" s="4">
        <v>2726</v>
      </c>
      <c r="AA460" s="4">
        <v>-2.71</v>
      </c>
      <c r="AB460" s="15">
        <v>17054237</v>
      </c>
      <c r="AC460" s="15">
        <v>16890198</v>
      </c>
      <c r="AD460" s="15">
        <v>450000</v>
      </c>
      <c r="AE460" s="15">
        <v>820000</v>
      </c>
      <c r="AF460" s="15">
        <v>3211209</v>
      </c>
      <c r="AG460" s="15">
        <v>3369600</v>
      </c>
      <c r="AH460" s="4">
        <v>4</v>
      </c>
      <c r="AI460" s="6">
        <v>4</v>
      </c>
    </row>
    <row r="461" spans="1:35" x14ac:dyDescent="0.25">
      <c r="A461" s="5" t="str">
        <f>"181302"</f>
        <v>181302</v>
      </c>
      <c r="B461" s="3" t="s">
        <v>185</v>
      </c>
      <c r="C461" s="15">
        <v>24599082</v>
      </c>
      <c r="D461" s="15">
        <v>25657954</v>
      </c>
      <c r="E461" s="4">
        <v>4.3</v>
      </c>
      <c r="F461" s="15">
        <v>8481399</v>
      </c>
      <c r="G461" s="15">
        <v>8651027</v>
      </c>
      <c r="H461" s="15"/>
      <c r="I461" s="15"/>
      <c r="J461" s="15"/>
      <c r="K461" s="15"/>
      <c r="L461" s="15"/>
      <c r="M461" s="15"/>
      <c r="N461" s="15">
        <v>8481399</v>
      </c>
      <c r="O461" s="15">
        <v>8651027</v>
      </c>
      <c r="P461" s="4">
        <v>2</v>
      </c>
      <c r="Q461" s="15">
        <v>297720</v>
      </c>
      <c r="R461" s="15">
        <v>351131</v>
      </c>
      <c r="S461" s="15">
        <v>8324422</v>
      </c>
      <c r="T461" s="15">
        <v>8421434</v>
      </c>
      <c r="U461" s="15">
        <v>8183679</v>
      </c>
      <c r="V461" s="15">
        <v>8299896</v>
      </c>
      <c r="W461" s="15">
        <v>140743</v>
      </c>
      <c r="X461" s="15">
        <v>121538</v>
      </c>
      <c r="Y461" s="4">
        <v>874</v>
      </c>
      <c r="Z461" s="4">
        <v>875</v>
      </c>
      <c r="AA461" s="4">
        <v>0.11</v>
      </c>
      <c r="AB461" s="15">
        <v>7523345</v>
      </c>
      <c r="AC461" s="15">
        <v>8537259</v>
      </c>
      <c r="AD461" s="15">
        <v>1643022</v>
      </c>
      <c r="AE461" s="15">
        <v>1583500</v>
      </c>
      <c r="AF461" s="15">
        <v>983964</v>
      </c>
      <c r="AG461" s="15">
        <v>1026318</v>
      </c>
      <c r="AH461" s="4">
        <v>4</v>
      </c>
      <c r="AI461" s="6">
        <v>4</v>
      </c>
    </row>
    <row r="462" spans="1:35" x14ac:dyDescent="0.25">
      <c r="A462" s="5" t="str">
        <f>"261201"</f>
        <v>261201</v>
      </c>
      <c r="B462" s="3" t="s">
        <v>250</v>
      </c>
      <c r="C462" s="15">
        <v>104343650</v>
      </c>
      <c r="D462" s="15">
        <v>109153415</v>
      </c>
      <c r="E462" s="4">
        <v>4.6100000000000003</v>
      </c>
      <c r="F462" s="15">
        <v>66895988</v>
      </c>
      <c r="G462" s="15">
        <v>68311079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66895988</v>
      </c>
      <c r="O462" s="15">
        <v>68311079</v>
      </c>
      <c r="P462" s="4">
        <v>2.12</v>
      </c>
      <c r="Q462" s="15">
        <v>0</v>
      </c>
      <c r="R462" s="15">
        <v>0</v>
      </c>
      <c r="S462" s="15">
        <v>68213558</v>
      </c>
      <c r="T462" s="15">
        <v>69334282</v>
      </c>
      <c r="U462" s="15">
        <v>66895988</v>
      </c>
      <c r="V462" s="15">
        <v>68311079</v>
      </c>
      <c r="W462" s="15">
        <v>1317570</v>
      </c>
      <c r="X462" s="15">
        <v>1023203</v>
      </c>
      <c r="Y462" s="4">
        <v>4493</v>
      </c>
      <c r="Z462" s="4">
        <v>4526</v>
      </c>
      <c r="AA462" s="4">
        <v>0.73</v>
      </c>
      <c r="AB462" s="15">
        <v>43329321</v>
      </c>
      <c r="AC462" s="15">
        <v>30421968</v>
      </c>
      <c r="AD462" s="15">
        <v>459437</v>
      </c>
      <c r="AE462" s="15">
        <v>241807</v>
      </c>
      <c r="AF462" s="15">
        <v>4173746</v>
      </c>
      <c r="AG462" s="15">
        <v>4366137</v>
      </c>
      <c r="AH462" s="4">
        <v>4</v>
      </c>
      <c r="AI462" s="6">
        <v>4</v>
      </c>
    </row>
    <row r="463" spans="1:35" x14ac:dyDescent="0.25">
      <c r="A463" s="5" t="str">
        <f>"680601"</f>
        <v>680601</v>
      </c>
      <c r="B463" s="3" t="s">
        <v>669</v>
      </c>
      <c r="C463" s="15">
        <v>38314584</v>
      </c>
      <c r="D463" s="15">
        <v>39368931</v>
      </c>
      <c r="E463" s="4">
        <v>2.75</v>
      </c>
      <c r="F463" s="15">
        <v>19647159</v>
      </c>
      <c r="G463" s="15">
        <v>20036173</v>
      </c>
      <c r="H463" s="15"/>
      <c r="I463" s="15"/>
      <c r="J463" s="15"/>
      <c r="K463" s="15"/>
      <c r="L463" s="15"/>
      <c r="M463" s="15"/>
      <c r="N463" s="15">
        <v>19647159</v>
      </c>
      <c r="O463" s="15">
        <v>20036173</v>
      </c>
      <c r="P463" s="4">
        <v>1.98</v>
      </c>
      <c r="Q463" s="15">
        <v>2451182</v>
      </c>
      <c r="R463" s="15">
        <v>1996189</v>
      </c>
      <c r="S463" s="15">
        <v>17587029</v>
      </c>
      <c r="T463" s="15">
        <v>18090332</v>
      </c>
      <c r="U463" s="15">
        <v>17195977</v>
      </c>
      <c r="V463" s="15">
        <v>18039984</v>
      </c>
      <c r="W463" s="15">
        <v>391052</v>
      </c>
      <c r="X463" s="15">
        <v>50348</v>
      </c>
      <c r="Y463" s="4">
        <v>1309</v>
      </c>
      <c r="Z463" s="4">
        <v>1280</v>
      </c>
      <c r="AA463" s="4">
        <v>-2.2200000000000002</v>
      </c>
      <c r="AB463" s="15">
        <v>11537342</v>
      </c>
      <c r="AC463" s="15">
        <v>14537342</v>
      </c>
      <c r="AD463" s="15">
        <v>424721</v>
      </c>
      <c r="AE463" s="15">
        <v>431316</v>
      </c>
      <c r="AF463" s="15">
        <v>1532585</v>
      </c>
      <c r="AG463" s="15">
        <v>1574757</v>
      </c>
      <c r="AH463" s="4">
        <v>4</v>
      </c>
      <c r="AI463" s="6">
        <v>4</v>
      </c>
    </row>
    <row r="464" spans="1:35" x14ac:dyDescent="0.25">
      <c r="A464" s="5" t="str">
        <f>"671201"</f>
        <v>671201</v>
      </c>
      <c r="B464" s="3" t="s">
        <v>667</v>
      </c>
      <c r="C464" s="15">
        <v>18958735</v>
      </c>
      <c r="D464" s="15">
        <v>19554407</v>
      </c>
      <c r="E464" s="4">
        <v>3.14</v>
      </c>
      <c r="F464" s="15">
        <v>6306982</v>
      </c>
      <c r="G464" s="15">
        <v>6424922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6306982</v>
      </c>
      <c r="O464" s="15">
        <v>6424922</v>
      </c>
      <c r="P464" s="4">
        <v>1.87</v>
      </c>
      <c r="Q464" s="15">
        <v>197514</v>
      </c>
      <c r="R464" s="15">
        <v>193139</v>
      </c>
      <c r="S464" s="15">
        <v>6173595</v>
      </c>
      <c r="T464" s="15">
        <v>6231872</v>
      </c>
      <c r="U464" s="15">
        <v>6109468</v>
      </c>
      <c r="V464" s="15">
        <v>6231783</v>
      </c>
      <c r="W464" s="15">
        <v>64127</v>
      </c>
      <c r="X464" s="15">
        <v>89</v>
      </c>
      <c r="Y464" s="4">
        <v>760</v>
      </c>
      <c r="Z464" s="4">
        <v>763</v>
      </c>
      <c r="AA464" s="4">
        <v>0.39</v>
      </c>
      <c r="AB464" s="15">
        <v>10077080</v>
      </c>
      <c r="AC464" s="15">
        <v>9249968</v>
      </c>
      <c r="AD464" s="15">
        <v>356113</v>
      </c>
      <c r="AE464" s="15">
        <v>356113</v>
      </c>
      <c r="AF464" s="15">
        <v>758349</v>
      </c>
      <c r="AG464" s="15">
        <v>782176</v>
      </c>
      <c r="AH464" s="4">
        <v>4</v>
      </c>
      <c r="AI464" s="6">
        <v>4</v>
      </c>
    </row>
    <row r="465" spans="1:35" x14ac:dyDescent="0.25">
      <c r="A465" s="5" t="str">
        <f>"091101"</f>
        <v>091101</v>
      </c>
      <c r="B465" s="3" t="s">
        <v>89</v>
      </c>
      <c r="C465" s="15">
        <v>49982897</v>
      </c>
      <c r="D465" s="15">
        <v>51956962</v>
      </c>
      <c r="E465" s="4">
        <v>3.95</v>
      </c>
      <c r="F465" s="15">
        <v>18457313</v>
      </c>
      <c r="G465" s="15">
        <v>19011762</v>
      </c>
      <c r="H465" s="15"/>
      <c r="I465" s="15"/>
      <c r="J465" s="15"/>
      <c r="K465" s="15"/>
      <c r="L465" s="15"/>
      <c r="M465" s="15"/>
      <c r="N465" s="15">
        <v>18457313</v>
      </c>
      <c r="O465" s="15">
        <v>19011762</v>
      </c>
      <c r="P465" s="4">
        <v>3</v>
      </c>
      <c r="Q465" s="15">
        <v>44461</v>
      </c>
      <c r="R465" s="15">
        <v>0</v>
      </c>
      <c r="S465" s="15">
        <v>18412852</v>
      </c>
      <c r="T465" s="15">
        <v>19011762</v>
      </c>
      <c r="U465" s="15">
        <v>18412852</v>
      </c>
      <c r="V465" s="15">
        <v>19011762</v>
      </c>
      <c r="W465" s="15">
        <v>0</v>
      </c>
      <c r="X465" s="15">
        <v>0</v>
      </c>
      <c r="Y465" s="4">
        <v>1779</v>
      </c>
      <c r="Z465" s="4">
        <v>1802</v>
      </c>
      <c r="AA465" s="4">
        <v>1.29</v>
      </c>
      <c r="AB465" s="15">
        <v>2389623</v>
      </c>
      <c r="AC465" s="15">
        <v>2396896</v>
      </c>
      <c r="AD465" s="15">
        <v>2801520</v>
      </c>
      <c r="AE465" s="15">
        <v>3830388</v>
      </c>
      <c r="AF465" s="15">
        <v>5274054</v>
      </c>
      <c r="AG465" s="15">
        <v>3650000</v>
      </c>
      <c r="AH465" s="4">
        <v>10.55</v>
      </c>
      <c r="AI465" s="6">
        <v>7.03</v>
      </c>
    </row>
    <row r="466" spans="1:35" x14ac:dyDescent="0.25">
      <c r="A466" s="5" t="str">
        <f>"431301"</f>
        <v>431301</v>
      </c>
      <c r="B466" s="3" t="s">
        <v>365</v>
      </c>
      <c r="C466" s="15">
        <v>38310998</v>
      </c>
      <c r="D466" s="15">
        <v>40636321</v>
      </c>
      <c r="E466" s="4">
        <v>6.07</v>
      </c>
      <c r="F466" s="15">
        <v>14867586</v>
      </c>
      <c r="G466" s="15">
        <v>15164938</v>
      </c>
      <c r="H466" s="15">
        <v>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14867586</v>
      </c>
      <c r="O466" s="15">
        <v>15164938</v>
      </c>
      <c r="P466" s="4">
        <v>2</v>
      </c>
      <c r="Q466" s="15">
        <v>0</v>
      </c>
      <c r="R466" s="15">
        <v>0</v>
      </c>
      <c r="S466" s="15">
        <v>15345830</v>
      </c>
      <c r="T466" s="15">
        <v>15485323</v>
      </c>
      <c r="U466" s="15">
        <v>14867586</v>
      </c>
      <c r="V466" s="15">
        <v>15164938</v>
      </c>
      <c r="W466" s="15">
        <v>478244</v>
      </c>
      <c r="X466" s="15">
        <v>320385</v>
      </c>
      <c r="Y466" s="4">
        <v>1565</v>
      </c>
      <c r="Z466" s="4">
        <v>1531</v>
      </c>
      <c r="AA466" s="4">
        <v>-2.17</v>
      </c>
      <c r="AB466" s="15">
        <v>9664427</v>
      </c>
      <c r="AC466" s="15">
        <v>9664427</v>
      </c>
      <c r="AD466" s="15">
        <v>0</v>
      </c>
      <c r="AE466" s="15">
        <v>125000</v>
      </c>
      <c r="AF466" s="15">
        <v>1532440</v>
      </c>
      <c r="AG466" s="15">
        <v>1626459</v>
      </c>
      <c r="AH466" s="4">
        <v>4</v>
      </c>
      <c r="AI466" s="6">
        <v>4</v>
      </c>
    </row>
    <row r="467" spans="1:35" x14ac:dyDescent="0.25">
      <c r="A467" s="5" t="str">
        <f>"462001"</f>
        <v>462001</v>
      </c>
      <c r="B467" s="3" t="s">
        <v>398</v>
      </c>
      <c r="C467" s="15">
        <v>49518145</v>
      </c>
      <c r="D467" s="15">
        <v>50361271</v>
      </c>
      <c r="E467" s="4">
        <v>1.7</v>
      </c>
      <c r="F467" s="15">
        <v>17426873</v>
      </c>
      <c r="G467" s="15">
        <v>17600873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17426873</v>
      </c>
      <c r="O467" s="15">
        <v>17600873</v>
      </c>
      <c r="P467" s="4">
        <v>1</v>
      </c>
      <c r="Q467" s="15">
        <v>339477</v>
      </c>
      <c r="R467" s="15">
        <v>83350</v>
      </c>
      <c r="S467" s="15">
        <v>17626201</v>
      </c>
      <c r="T467" s="15">
        <v>17866456</v>
      </c>
      <c r="U467" s="15">
        <v>17087396</v>
      </c>
      <c r="V467" s="15">
        <v>17517523</v>
      </c>
      <c r="W467" s="15">
        <v>538805</v>
      </c>
      <c r="X467" s="15">
        <v>348933</v>
      </c>
      <c r="Y467" s="4">
        <v>1700</v>
      </c>
      <c r="Z467" s="4">
        <v>1700</v>
      </c>
      <c r="AA467" s="4">
        <v>0</v>
      </c>
      <c r="AB467" s="15">
        <v>22059598</v>
      </c>
      <c r="AC467" s="15">
        <v>23559598</v>
      </c>
      <c r="AD467" s="15">
        <v>0</v>
      </c>
      <c r="AE467" s="15">
        <v>200000</v>
      </c>
      <c r="AF467" s="15">
        <v>3869209</v>
      </c>
      <c r="AG467" s="15">
        <v>2014450</v>
      </c>
      <c r="AH467" s="4">
        <v>7.81</v>
      </c>
      <c r="AI467" s="6">
        <v>4</v>
      </c>
    </row>
    <row r="468" spans="1:35" x14ac:dyDescent="0.25">
      <c r="A468" s="5" t="str">
        <f>"440401"</f>
        <v>440401</v>
      </c>
      <c r="B468" s="3" t="s">
        <v>371</v>
      </c>
      <c r="C468" s="15">
        <v>125891597</v>
      </c>
      <c r="D468" s="15">
        <v>128759335</v>
      </c>
      <c r="E468" s="4">
        <v>2.2799999999999998</v>
      </c>
      <c r="F468" s="15">
        <v>59756092</v>
      </c>
      <c r="G468" s="15">
        <v>60653020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59756092</v>
      </c>
      <c r="O468" s="15">
        <v>60653020</v>
      </c>
      <c r="P468" s="4">
        <v>1.5</v>
      </c>
      <c r="Q468" s="15">
        <v>953229</v>
      </c>
      <c r="R468" s="15">
        <v>1321452</v>
      </c>
      <c r="S468" s="15">
        <v>62038481</v>
      </c>
      <c r="T468" s="15">
        <v>61476568</v>
      </c>
      <c r="U468" s="15">
        <v>58802863</v>
      </c>
      <c r="V468" s="15">
        <v>59331568</v>
      </c>
      <c r="W468" s="15">
        <v>3235618</v>
      </c>
      <c r="X468" s="15">
        <v>2145000</v>
      </c>
      <c r="Y468" s="4">
        <v>4721</v>
      </c>
      <c r="Z468" s="4">
        <v>4639</v>
      </c>
      <c r="AA468" s="4">
        <v>-1.74</v>
      </c>
      <c r="AB468" s="15">
        <v>13453820</v>
      </c>
      <c r="AC468" s="15">
        <v>10500000</v>
      </c>
      <c r="AD468" s="15">
        <v>3936718</v>
      </c>
      <c r="AE468" s="15">
        <v>2996756</v>
      </c>
      <c r="AF468" s="15">
        <v>5850000</v>
      </c>
      <c r="AG468" s="15">
        <v>6000000</v>
      </c>
      <c r="AH468" s="4">
        <v>4.6500000000000004</v>
      </c>
      <c r="AI468" s="6">
        <v>4.66</v>
      </c>
    </row>
    <row r="469" spans="1:35" x14ac:dyDescent="0.25">
      <c r="A469" s="5" t="str">
        <f>"131301"</f>
        <v>131301</v>
      </c>
      <c r="B469" s="3" t="s">
        <v>120</v>
      </c>
      <c r="C469" s="15">
        <v>34176675</v>
      </c>
      <c r="D469" s="15">
        <v>35253160</v>
      </c>
      <c r="E469" s="4">
        <v>3.15</v>
      </c>
      <c r="F469" s="15">
        <v>24710043</v>
      </c>
      <c r="G469" s="15">
        <v>25466368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24710043</v>
      </c>
      <c r="O469" s="15">
        <v>25466368</v>
      </c>
      <c r="P469" s="4">
        <v>3.06</v>
      </c>
      <c r="Q469" s="15">
        <v>0</v>
      </c>
      <c r="R469" s="15">
        <v>0</v>
      </c>
      <c r="S469" s="15">
        <v>24710043</v>
      </c>
      <c r="T469" s="15">
        <v>25466368</v>
      </c>
      <c r="U469" s="15">
        <v>24710043</v>
      </c>
      <c r="V469" s="15">
        <v>25466368</v>
      </c>
      <c r="W469" s="15">
        <v>0</v>
      </c>
      <c r="X469" s="15">
        <v>0</v>
      </c>
      <c r="Y469" s="4">
        <v>870</v>
      </c>
      <c r="Z469" s="4">
        <v>868</v>
      </c>
      <c r="AA469" s="4">
        <v>-0.23</v>
      </c>
      <c r="AB469" s="15">
        <v>11015996</v>
      </c>
      <c r="AC469" s="15">
        <v>7982042</v>
      </c>
      <c r="AD469" s="15">
        <v>1075100</v>
      </c>
      <c r="AE469" s="15">
        <v>1075100</v>
      </c>
      <c r="AF469" s="15">
        <v>1367099</v>
      </c>
      <c r="AG469" s="15">
        <v>1410126</v>
      </c>
      <c r="AH469" s="4">
        <v>4</v>
      </c>
      <c r="AI469" s="6">
        <v>4</v>
      </c>
    </row>
    <row r="470" spans="1:35" x14ac:dyDescent="0.25">
      <c r="A470" s="5" t="str">
        <f>"060601"</f>
        <v>060601</v>
      </c>
      <c r="B470" s="3" t="s">
        <v>59</v>
      </c>
      <c r="C470" s="15">
        <v>16437677</v>
      </c>
      <c r="D470" s="15">
        <v>17597214</v>
      </c>
      <c r="E470" s="4">
        <v>7.05</v>
      </c>
      <c r="F470" s="15">
        <v>3410344</v>
      </c>
      <c r="G470" s="15">
        <v>3410344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3410344</v>
      </c>
      <c r="O470" s="15">
        <v>3410344</v>
      </c>
      <c r="P470" s="4">
        <v>0</v>
      </c>
      <c r="Q470" s="15">
        <v>207922</v>
      </c>
      <c r="R470" s="15">
        <v>139175</v>
      </c>
      <c r="S470" s="15">
        <v>3488591</v>
      </c>
      <c r="T470" s="15">
        <v>3427885</v>
      </c>
      <c r="U470" s="15">
        <v>3202422</v>
      </c>
      <c r="V470" s="15">
        <v>3271169</v>
      </c>
      <c r="W470" s="15">
        <v>286169</v>
      </c>
      <c r="X470" s="15">
        <v>156716</v>
      </c>
      <c r="Y470" s="4">
        <v>544</v>
      </c>
      <c r="Z470" s="4">
        <v>544</v>
      </c>
      <c r="AA470" s="4">
        <v>0</v>
      </c>
      <c r="AB470" s="15">
        <v>3210609</v>
      </c>
      <c r="AC470" s="15">
        <v>4788042</v>
      </c>
      <c r="AD470" s="15">
        <v>446764</v>
      </c>
      <c r="AE470" s="15">
        <v>844992</v>
      </c>
      <c r="AF470" s="15">
        <v>3322268</v>
      </c>
      <c r="AG470" s="15">
        <v>2840716</v>
      </c>
      <c r="AH470" s="4">
        <v>20.21</v>
      </c>
      <c r="AI470" s="6">
        <v>16.14</v>
      </c>
    </row>
    <row r="471" spans="1:35" x14ac:dyDescent="0.25">
      <c r="A471" s="5" t="str">
        <f>"200101"</f>
        <v>200101</v>
      </c>
      <c r="B471" s="3" t="s">
        <v>192</v>
      </c>
      <c r="C471" s="15">
        <v>837275</v>
      </c>
      <c r="D471" s="15">
        <v>795360</v>
      </c>
      <c r="E471" s="4">
        <v>-5.01</v>
      </c>
      <c r="F471" s="15">
        <v>697704</v>
      </c>
      <c r="G471" s="15">
        <v>697704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697704</v>
      </c>
      <c r="O471" s="15">
        <v>697704</v>
      </c>
      <c r="P471" s="4">
        <v>0</v>
      </c>
      <c r="Q471" s="15">
        <v>0</v>
      </c>
      <c r="R471" s="15">
        <v>0</v>
      </c>
      <c r="S471" s="15">
        <v>746060</v>
      </c>
      <c r="T471" s="15">
        <v>724808</v>
      </c>
      <c r="U471" s="15">
        <v>697704</v>
      </c>
      <c r="V471" s="15">
        <v>697704</v>
      </c>
      <c r="W471" s="15">
        <v>48356</v>
      </c>
      <c r="X471" s="15">
        <v>27104</v>
      </c>
      <c r="Y471" s="4">
        <v>27</v>
      </c>
      <c r="Z471" s="4">
        <v>21</v>
      </c>
      <c r="AA471" s="4">
        <v>-22.22</v>
      </c>
      <c r="AB471" s="15">
        <v>1212793</v>
      </c>
      <c r="AC471" s="15">
        <v>1212793</v>
      </c>
      <c r="AD471" s="15">
        <v>115797</v>
      </c>
      <c r="AE471" s="15">
        <v>125000</v>
      </c>
      <c r="AF471" s="15">
        <v>1038879</v>
      </c>
      <c r="AG471" s="15">
        <v>887207</v>
      </c>
      <c r="AH471" s="4">
        <v>124.08</v>
      </c>
      <c r="AI471" s="6">
        <v>111.55</v>
      </c>
    </row>
    <row r="472" spans="1:35" x14ac:dyDescent="0.25">
      <c r="A472" s="5" t="str">
        <f>"261401"</f>
        <v>261401</v>
      </c>
      <c r="B472" s="3" t="s">
        <v>253</v>
      </c>
      <c r="C472" s="15">
        <v>143925548</v>
      </c>
      <c r="D472" s="15">
        <v>149598788</v>
      </c>
      <c r="E472" s="4">
        <v>3.94</v>
      </c>
      <c r="F472" s="15">
        <v>109113596</v>
      </c>
      <c r="G472" s="15">
        <v>111869614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109113596</v>
      </c>
      <c r="O472" s="15">
        <v>111869614</v>
      </c>
      <c r="P472" s="4">
        <v>2.5299999999999998</v>
      </c>
      <c r="Q472" s="15">
        <v>5536335</v>
      </c>
      <c r="R472" s="15">
        <v>5568223</v>
      </c>
      <c r="S472" s="15">
        <v>103577261</v>
      </c>
      <c r="T472" s="15">
        <v>106301391</v>
      </c>
      <c r="U472" s="15">
        <v>103577261</v>
      </c>
      <c r="V472" s="15">
        <v>106301391</v>
      </c>
      <c r="W472" s="15">
        <v>0</v>
      </c>
      <c r="X472" s="15">
        <v>0</v>
      </c>
      <c r="Y472" s="4">
        <v>5554</v>
      </c>
      <c r="Z472" s="4">
        <v>5580</v>
      </c>
      <c r="AA472" s="4">
        <v>0.47</v>
      </c>
      <c r="AB472" s="15">
        <v>35612569</v>
      </c>
      <c r="AC472" s="15">
        <v>37605860</v>
      </c>
      <c r="AD472" s="15">
        <v>1541746</v>
      </c>
      <c r="AE472" s="15">
        <v>1341597</v>
      </c>
      <c r="AF472" s="15">
        <v>5757022</v>
      </c>
      <c r="AG472" s="15">
        <v>5983952</v>
      </c>
      <c r="AH472" s="4">
        <v>4</v>
      </c>
      <c r="AI472" s="6">
        <v>4</v>
      </c>
    </row>
    <row r="473" spans="1:35" x14ac:dyDescent="0.25">
      <c r="A473" s="5" t="str">
        <f>"280518"</f>
        <v>280518</v>
      </c>
      <c r="B473" s="3" t="s">
        <v>313</v>
      </c>
      <c r="C473" s="15">
        <v>97640675</v>
      </c>
      <c r="D473" s="15">
        <v>98064926</v>
      </c>
      <c r="E473" s="4">
        <v>0.43</v>
      </c>
      <c r="F473" s="15">
        <v>67680775</v>
      </c>
      <c r="G473" s="15">
        <v>67680775</v>
      </c>
      <c r="H473" s="15"/>
      <c r="I473" s="15"/>
      <c r="J473" s="15"/>
      <c r="K473" s="15"/>
      <c r="L473" s="15"/>
      <c r="M473" s="15"/>
      <c r="N473" s="15">
        <v>67680775</v>
      </c>
      <c r="O473" s="15">
        <v>67680775</v>
      </c>
      <c r="P473" s="4">
        <v>0</v>
      </c>
      <c r="Q473" s="15">
        <v>1251784</v>
      </c>
      <c r="R473" s="15">
        <v>895656</v>
      </c>
      <c r="S473" s="15">
        <v>67680775</v>
      </c>
      <c r="T473" s="15">
        <v>67680775</v>
      </c>
      <c r="U473" s="15">
        <v>66428991</v>
      </c>
      <c r="V473" s="15">
        <v>66785119</v>
      </c>
      <c r="W473" s="15">
        <v>1251784</v>
      </c>
      <c r="X473" s="15">
        <v>895656</v>
      </c>
      <c r="Y473" s="4">
        <v>2852</v>
      </c>
      <c r="Z473" s="4">
        <v>2852</v>
      </c>
      <c r="AA473" s="4">
        <v>0</v>
      </c>
      <c r="AB473" s="15">
        <v>23454500</v>
      </c>
      <c r="AC473" s="15">
        <v>19951883</v>
      </c>
      <c r="AD473" s="15">
        <v>4468420</v>
      </c>
      <c r="AE473" s="15">
        <v>3881992</v>
      </c>
      <c r="AF473" s="15">
        <v>3905627</v>
      </c>
      <c r="AG473" s="15">
        <v>3922597</v>
      </c>
      <c r="AH473" s="4">
        <v>4</v>
      </c>
      <c r="AI473" s="6">
        <v>4</v>
      </c>
    </row>
    <row r="474" spans="1:35" x14ac:dyDescent="0.25">
      <c r="A474" s="5" t="str">
        <f>"280504"</f>
        <v>280504</v>
      </c>
      <c r="B474" s="3" t="s">
        <v>309</v>
      </c>
      <c r="C474" s="15">
        <v>168142155</v>
      </c>
      <c r="D474" s="15">
        <v>174514722</v>
      </c>
      <c r="E474" s="4">
        <v>3.79</v>
      </c>
      <c r="F474" s="15">
        <v>131573208</v>
      </c>
      <c r="G474" s="15">
        <v>134520942</v>
      </c>
      <c r="H474" s="15"/>
      <c r="I474" s="15"/>
      <c r="J474" s="15"/>
      <c r="K474" s="15"/>
      <c r="L474" s="15"/>
      <c r="M474" s="15"/>
      <c r="N474" s="15">
        <v>131573208</v>
      </c>
      <c r="O474" s="15">
        <v>134520942</v>
      </c>
      <c r="P474" s="4">
        <v>2.2400000000000002</v>
      </c>
      <c r="Q474" s="15">
        <v>6021653</v>
      </c>
      <c r="R474" s="15">
        <v>2680284</v>
      </c>
      <c r="S474" s="15">
        <v>125603305</v>
      </c>
      <c r="T474" s="15">
        <v>133175474</v>
      </c>
      <c r="U474" s="15">
        <v>125551555</v>
      </c>
      <c r="V474" s="15">
        <v>131840658</v>
      </c>
      <c r="W474" s="15">
        <v>51750</v>
      </c>
      <c r="X474" s="15">
        <v>1334816</v>
      </c>
      <c r="Y474" s="4">
        <v>5069</v>
      </c>
      <c r="Z474" s="4">
        <v>5082</v>
      </c>
      <c r="AA474" s="4">
        <v>0.26</v>
      </c>
      <c r="AB474" s="15">
        <v>30586619</v>
      </c>
      <c r="AC474" s="15">
        <v>33826151</v>
      </c>
      <c r="AD474" s="15">
        <v>2600000</v>
      </c>
      <c r="AE474" s="15">
        <v>2700000</v>
      </c>
      <c r="AF474" s="15">
        <v>6725686</v>
      </c>
      <c r="AG474" s="15">
        <v>6980589</v>
      </c>
      <c r="AH474" s="4">
        <v>4</v>
      </c>
      <c r="AI474" s="6">
        <v>4</v>
      </c>
    </row>
    <row r="475" spans="1:35" x14ac:dyDescent="0.25">
      <c r="A475" s="5" t="str">
        <f>"091200"</f>
        <v>091200</v>
      </c>
      <c r="B475" s="3" t="s">
        <v>90</v>
      </c>
      <c r="C475" s="15">
        <v>46413990</v>
      </c>
      <c r="D475" s="15">
        <v>48303122</v>
      </c>
      <c r="E475" s="4">
        <v>4.07</v>
      </c>
      <c r="F475" s="15">
        <v>24045198</v>
      </c>
      <c r="G475" s="15">
        <v>24525714</v>
      </c>
      <c r="H475" s="15"/>
      <c r="I475" s="15"/>
      <c r="J475" s="15"/>
      <c r="K475" s="15"/>
      <c r="L475" s="15"/>
      <c r="M475" s="15"/>
      <c r="N475" s="15">
        <v>24045198</v>
      </c>
      <c r="O475" s="15">
        <v>24525714</v>
      </c>
      <c r="P475" s="4">
        <v>2</v>
      </c>
      <c r="Q475" s="15">
        <v>385353</v>
      </c>
      <c r="R475" s="15">
        <v>385353</v>
      </c>
      <c r="S475" s="15">
        <v>23659845</v>
      </c>
      <c r="T475" s="15">
        <v>24140361</v>
      </c>
      <c r="U475" s="15">
        <v>23659845</v>
      </c>
      <c r="V475" s="15">
        <v>24140361</v>
      </c>
      <c r="W475" s="15">
        <v>0</v>
      </c>
      <c r="X475" s="15">
        <v>0</v>
      </c>
      <c r="Y475" s="4">
        <v>1781</v>
      </c>
      <c r="Z475" s="4">
        <v>1700</v>
      </c>
      <c r="AA475" s="4">
        <v>-4.55</v>
      </c>
      <c r="AB475" s="15">
        <v>2008007</v>
      </c>
      <c r="AC475" s="15">
        <v>2128802</v>
      </c>
      <c r="AD475" s="15">
        <v>1500000</v>
      </c>
      <c r="AE475" s="15">
        <v>1797892</v>
      </c>
      <c r="AF475" s="15">
        <v>4236800</v>
      </c>
      <c r="AG475" s="15">
        <v>4300000</v>
      </c>
      <c r="AH475" s="4">
        <v>9.1300000000000008</v>
      </c>
      <c r="AI475" s="6">
        <v>8.9</v>
      </c>
    </row>
    <row r="476" spans="1:35" x14ac:dyDescent="0.25">
      <c r="A476" s="5" t="str">
        <f>"660809"</f>
        <v>660809</v>
      </c>
      <c r="B476" s="3" t="s">
        <v>645</v>
      </c>
      <c r="C476" s="15">
        <v>53834774</v>
      </c>
      <c r="D476" s="15">
        <v>57712488</v>
      </c>
      <c r="E476" s="4">
        <v>7.2</v>
      </c>
      <c r="F476" s="15">
        <v>38579724</v>
      </c>
      <c r="G476" s="15">
        <v>39242611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38579724</v>
      </c>
      <c r="O476" s="15">
        <v>39242611</v>
      </c>
      <c r="P476" s="4">
        <v>1.72</v>
      </c>
      <c r="Q476" s="15">
        <v>1878361</v>
      </c>
      <c r="R476" s="15">
        <v>1876523</v>
      </c>
      <c r="S476" s="15">
        <v>37326265</v>
      </c>
      <c r="T476" s="15">
        <v>37517830</v>
      </c>
      <c r="U476" s="15">
        <v>36701363</v>
      </c>
      <c r="V476" s="15">
        <v>37366088</v>
      </c>
      <c r="W476" s="15">
        <v>624902</v>
      </c>
      <c r="X476" s="15">
        <v>151742</v>
      </c>
      <c r="Y476" s="4">
        <v>1610</v>
      </c>
      <c r="Z476" s="4">
        <v>1603</v>
      </c>
      <c r="AA476" s="4">
        <v>-0.43</v>
      </c>
      <c r="AB476" s="15">
        <v>6139578</v>
      </c>
      <c r="AC476" s="15">
        <v>5514578</v>
      </c>
      <c r="AD476" s="15">
        <v>1437464</v>
      </c>
      <c r="AE476" s="15">
        <v>2658339</v>
      </c>
      <c r="AF476" s="15">
        <v>3229023</v>
      </c>
      <c r="AG476" s="15">
        <v>2308499</v>
      </c>
      <c r="AH476" s="4">
        <v>6</v>
      </c>
      <c r="AI476" s="6">
        <v>4</v>
      </c>
    </row>
    <row r="477" spans="1:35" x14ac:dyDescent="0.25">
      <c r="A477" s="5" t="str">
        <f>"660802"</f>
        <v>660802</v>
      </c>
      <c r="B477" s="3" t="s">
        <v>643</v>
      </c>
      <c r="C477" s="15">
        <v>30274755</v>
      </c>
      <c r="D477" s="15">
        <v>29724775</v>
      </c>
      <c r="E477" s="4">
        <v>-1.82</v>
      </c>
      <c r="F477" s="15">
        <v>25560054</v>
      </c>
      <c r="G477" s="15">
        <v>25432000</v>
      </c>
      <c r="H477" s="15"/>
      <c r="I477" s="15"/>
      <c r="J477" s="15"/>
      <c r="K477" s="15"/>
      <c r="L477" s="15"/>
      <c r="M477" s="15"/>
      <c r="N477" s="15">
        <v>25560054</v>
      </c>
      <c r="O477" s="15">
        <v>25432000</v>
      </c>
      <c r="P477" s="4">
        <v>-0.5</v>
      </c>
      <c r="Q477" s="15">
        <v>928871</v>
      </c>
      <c r="R477" s="15">
        <v>904000</v>
      </c>
      <c r="S477" s="15">
        <v>25560054</v>
      </c>
      <c r="T477" s="15">
        <v>25858004</v>
      </c>
      <c r="U477" s="15">
        <v>24631183</v>
      </c>
      <c r="V477" s="15">
        <v>24528000</v>
      </c>
      <c r="W477" s="15">
        <v>928871</v>
      </c>
      <c r="X477" s="15">
        <v>1330004</v>
      </c>
      <c r="Y477" s="4">
        <v>454</v>
      </c>
      <c r="Z477" s="4">
        <v>452</v>
      </c>
      <c r="AA477" s="4">
        <v>-0.44</v>
      </c>
      <c r="AB477" s="15">
        <v>16031413</v>
      </c>
      <c r="AC477" s="15">
        <v>18093844</v>
      </c>
      <c r="AD477" s="15">
        <v>0</v>
      </c>
      <c r="AE477" s="15">
        <v>0</v>
      </c>
      <c r="AF477" s="15">
        <v>1210989</v>
      </c>
      <c r="AG477" s="15">
        <v>1200000</v>
      </c>
      <c r="AH477" s="4">
        <v>4</v>
      </c>
      <c r="AI477" s="6">
        <v>4.04</v>
      </c>
    </row>
    <row r="478" spans="1:35" x14ac:dyDescent="0.25">
      <c r="A478" s="5" t="str">
        <f>"211103"</f>
        <v>211103</v>
      </c>
      <c r="B478" s="3" t="s">
        <v>203</v>
      </c>
      <c r="C478" s="15">
        <v>15964317</v>
      </c>
      <c r="D478" s="15">
        <v>16384210</v>
      </c>
      <c r="E478" s="4">
        <v>2.63</v>
      </c>
      <c r="F478" s="15">
        <v>7012538</v>
      </c>
      <c r="G478" s="15">
        <v>7152789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  <c r="N478" s="15">
        <v>7012538</v>
      </c>
      <c r="O478" s="15">
        <v>7152789</v>
      </c>
      <c r="P478" s="4">
        <v>2</v>
      </c>
      <c r="Q478" s="15">
        <v>740506</v>
      </c>
      <c r="R478" s="15">
        <v>699848</v>
      </c>
      <c r="S478" s="15">
        <v>6091012</v>
      </c>
      <c r="T478" s="15">
        <v>6467904</v>
      </c>
      <c r="U478" s="15">
        <v>6272032</v>
      </c>
      <c r="V478" s="15">
        <v>6452941</v>
      </c>
      <c r="W478" s="15">
        <v>-181020</v>
      </c>
      <c r="X478" s="15">
        <v>14963</v>
      </c>
      <c r="Y478" s="4">
        <v>535</v>
      </c>
      <c r="Z478" s="4">
        <v>540</v>
      </c>
      <c r="AA478" s="4">
        <v>0.93</v>
      </c>
      <c r="AB478" s="15">
        <v>1243190</v>
      </c>
      <c r="AC478" s="15">
        <v>1319211</v>
      </c>
      <c r="AD478" s="15">
        <v>1104968</v>
      </c>
      <c r="AE478" s="15">
        <v>1029943</v>
      </c>
      <c r="AF478" s="15">
        <v>1298670</v>
      </c>
      <c r="AG478" s="15">
        <v>1231030</v>
      </c>
      <c r="AH478" s="4">
        <v>8.1300000000000008</v>
      </c>
      <c r="AI478" s="6">
        <v>7.51</v>
      </c>
    </row>
    <row r="479" spans="1:35" x14ac:dyDescent="0.25">
      <c r="A479" s="5" t="str">
        <f>"051101"</f>
        <v>051101</v>
      </c>
      <c r="B479" s="3" t="s">
        <v>52</v>
      </c>
      <c r="C479" s="15">
        <v>22720686</v>
      </c>
      <c r="D479" s="15">
        <v>23371116</v>
      </c>
      <c r="E479" s="4">
        <v>2.86</v>
      </c>
      <c r="F479" s="15">
        <v>6345748</v>
      </c>
      <c r="G479" s="15">
        <v>6421897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6345748</v>
      </c>
      <c r="O479" s="15">
        <v>6421897</v>
      </c>
      <c r="P479" s="4">
        <v>1.2</v>
      </c>
      <c r="Q479" s="15">
        <v>92307</v>
      </c>
      <c r="R479" s="15">
        <v>253167</v>
      </c>
      <c r="S479" s="15">
        <v>6550012</v>
      </c>
      <c r="T479" s="15">
        <v>6741877</v>
      </c>
      <c r="U479" s="15">
        <v>6253441</v>
      </c>
      <c r="V479" s="15">
        <v>6168730</v>
      </c>
      <c r="W479" s="15">
        <v>296571</v>
      </c>
      <c r="X479" s="15">
        <v>573147</v>
      </c>
      <c r="Y479" s="4">
        <v>801</v>
      </c>
      <c r="Z479" s="4">
        <v>819</v>
      </c>
      <c r="AA479" s="4">
        <v>2.25</v>
      </c>
      <c r="AB479" s="15">
        <v>4770029</v>
      </c>
      <c r="AC479" s="15">
        <v>4770029</v>
      </c>
      <c r="AD479" s="15">
        <v>350000</v>
      </c>
      <c r="AE479" s="15">
        <v>350000</v>
      </c>
      <c r="AF479" s="15">
        <v>908827</v>
      </c>
      <c r="AG479" s="15">
        <v>934844</v>
      </c>
      <c r="AH479" s="4">
        <v>4</v>
      </c>
      <c r="AI479" s="6">
        <v>4</v>
      </c>
    </row>
    <row r="480" spans="1:35" x14ac:dyDescent="0.25">
      <c r="A480" s="5" t="str">
        <f>"661904"</f>
        <v>661904</v>
      </c>
      <c r="B480" s="3" t="s">
        <v>657</v>
      </c>
      <c r="C480" s="15">
        <v>116509250</v>
      </c>
      <c r="D480" s="15">
        <v>125982994</v>
      </c>
      <c r="E480" s="4">
        <v>8.1300000000000008</v>
      </c>
      <c r="F480" s="15">
        <v>69778540</v>
      </c>
      <c r="G480" s="15">
        <v>69778540</v>
      </c>
      <c r="H480" s="15"/>
      <c r="I480" s="15"/>
      <c r="J480" s="15"/>
      <c r="K480" s="15"/>
      <c r="L480" s="15"/>
      <c r="M480" s="15"/>
      <c r="N480" s="15">
        <v>69778540</v>
      </c>
      <c r="O480" s="15">
        <v>69778540</v>
      </c>
      <c r="P480" s="4">
        <v>0</v>
      </c>
      <c r="Q480" s="15">
        <v>1970046</v>
      </c>
      <c r="R480" s="15">
        <v>2158637</v>
      </c>
      <c r="S480" s="15">
        <v>67808494</v>
      </c>
      <c r="T480" s="15">
        <v>67619903</v>
      </c>
      <c r="U480" s="15">
        <v>67808494</v>
      </c>
      <c r="V480" s="15">
        <v>67619903</v>
      </c>
      <c r="W480" s="15">
        <v>0</v>
      </c>
      <c r="X480" s="15">
        <v>0</v>
      </c>
      <c r="Y480" s="4">
        <v>4747</v>
      </c>
      <c r="Z480" s="4">
        <v>4741</v>
      </c>
      <c r="AA480" s="4">
        <v>-0.13</v>
      </c>
      <c r="AB480" s="15">
        <v>7918596</v>
      </c>
      <c r="AC480" s="15">
        <v>8685539</v>
      </c>
      <c r="AD480" s="15">
        <v>1669647</v>
      </c>
      <c r="AE480" s="15">
        <v>988248</v>
      </c>
      <c r="AF480" s="15">
        <v>4660369</v>
      </c>
      <c r="AG480" s="15">
        <v>5039320</v>
      </c>
      <c r="AH480" s="4">
        <v>4</v>
      </c>
      <c r="AI480" s="6">
        <v>4</v>
      </c>
    </row>
    <row r="481" spans="1:35" x14ac:dyDescent="0.25">
      <c r="A481" s="5" t="str">
        <f>"580206"</f>
        <v>580206</v>
      </c>
      <c r="B481" s="3" t="s">
        <v>509</v>
      </c>
      <c r="C481" s="15">
        <v>45009729</v>
      </c>
      <c r="D481" s="15">
        <v>46114331</v>
      </c>
      <c r="E481" s="4">
        <v>2.4500000000000002</v>
      </c>
      <c r="F481" s="15">
        <v>37886082</v>
      </c>
      <c r="G481" s="15">
        <v>38543814</v>
      </c>
      <c r="H481" s="15"/>
      <c r="I481" s="15"/>
      <c r="J481" s="15"/>
      <c r="K481" s="15"/>
      <c r="L481" s="15"/>
      <c r="M481" s="15"/>
      <c r="N481" s="15">
        <v>37886082</v>
      </c>
      <c r="O481" s="15">
        <v>38543814</v>
      </c>
      <c r="P481" s="4">
        <v>1.74</v>
      </c>
      <c r="Q481" s="15">
        <v>1305094</v>
      </c>
      <c r="R481" s="15">
        <v>1314635</v>
      </c>
      <c r="S481" s="15">
        <v>36581068</v>
      </c>
      <c r="T481" s="15">
        <v>37331088</v>
      </c>
      <c r="U481" s="15">
        <v>36580988</v>
      </c>
      <c r="V481" s="15">
        <v>37229179</v>
      </c>
      <c r="W481" s="15">
        <v>80</v>
      </c>
      <c r="X481" s="15">
        <v>101909</v>
      </c>
      <c r="Y481" s="4">
        <v>936</v>
      </c>
      <c r="Z481" s="4">
        <v>887</v>
      </c>
      <c r="AA481" s="4">
        <v>-5.24</v>
      </c>
      <c r="AB481" s="15">
        <v>17292648</v>
      </c>
      <c r="AC481" s="15">
        <v>16098899</v>
      </c>
      <c r="AD481" s="15">
        <v>773479</v>
      </c>
      <c r="AE481" s="15">
        <v>800000</v>
      </c>
      <c r="AF481" s="15">
        <v>1756496</v>
      </c>
      <c r="AG481" s="15">
        <v>1810000</v>
      </c>
      <c r="AH481" s="4">
        <v>3.9</v>
      </c>
      <c r="AI481" s="6">
        <v>3.93</v>
      </c>
    </row>
    <row r="482" spans="1:35" x14ac:dyDescent="0.25">
      <c r="A482" s="5" t="str">
        <f>"441800"</f>
        <v>441800</v>
      </c>
      <c r="B482" s="3" t="s">
        <v>380</v>
      </c>
      <c r="C482" s="15">
        <v>78977741</v>
      </c>
      <c r="D482" s="15">
        <v>82289067</v>
      </c>
      <c r="E482" s="4">
        <v>4.1900000000000004</v>
      </c>
      <c r="F482" s="15">
        <v>29084046</v>
      </c>
      <c r="G482" s="15">
        <v>29084046</v>
      </c>
      <c r="H482" s="15"/>
      <c r="I482" s="15"/>
      <c r="J482" s="15"/>
      <c r="K482" s="15"/>
      <c r="L482" s="15"/>
      <c r="M482" s="15"/>
      <c r="N482" s="15">
        <v>29084046</v>
      </c>
      <c r="O482" s="15">
        <v>29084046</v>
      </c>
      <c r="P482" s="4">
        <v>0</v>
      </c>
      <c r="Q482" s="15"/>
      <c r="R482" s="15"/>
      <c r="S482" s="15">
        <v>29766603</v>
      </c>
      <c r="T482" s="15">
        <v>30895879</v>
      </c>
      <c r="U482" s="15">
        <v>29084046</v>
      </c>
      <c r="V482" s="15">
        <v>29084046</v>
      </c>
      <c r="W482" s="15">
        <v>682557</v>
      </c>
      <c r="X482" s="15">
        <v>1811833</v>
      </c>
      <c r="Y482" s="4">
        <v>2353</v>
      </c>
      <c r="Z482" s="4">
        <v>2346</v>
      </c>
      <c r="AA482" s="4">
        <v>-0.3</v>
      </c>
      <c r="AB482" s="15">
        <v>10533092</v>
      </c>
      <c r="AC482" s="15">
        <v>11814506</v>
      </c>
      <c r="AD482" s="15">
        <v>986105</v>
      </c>
      <c r="AE482" s="15">
        <v>948000</v>
      </c>
      <c r="AF482" s="15">
        <v>18323323</v>
      </c>
      <c r="AG482" s="15">
        <v>18323323</v>
      </c>
      <c r="AH482" s="4">
        <v>23.2</v>
      </c>
      <c r="AI482" s="6">
        <v>22.27</v>
      </c>
    </row>
    <row r="483" spans="1:35" x14ac:dyDescent="0.25">
      <c r="A483" s="5" t="str">
        <f>"280404"</f>
        <v>280404</v>
      </c>
      <c r="B483" s="3" t="s">
        <v>299</v>
      </c>
      <c r="C483" s="15">
        <v>167268942</v>
      </c>
      <c r="D483" s="15">
        <v>174834928</v>
      </c>
      <c r="E483" s="4">
        <v>4.5199999999999996</v>
      </c>
      <c r="F483" s="15">
        <v>146775940</v>
      </c>
      <c r="G483" s="15">
        <v>150562063</v>
      </c>
      <c r="H483" s="15"/>
      <c r="I483" s="15"/>
      <c r="J483" s="15"/>
      <c r="K483" s="15"/>
      <c r="L483" s="15"/>
      <c r="M483" s="15"/>
      <c r="N483" s="15">
        <v>146775940</v>
      </c>
      <c r="O483" s="15">
        <v>150562063</v>
      </c>
      <c r="P483" s="4">
        <v>2.58</v>
      </c>
      <c r="Q483" s="15">
        <v>8843439</v>
      </c>
      <c r="R483" s="15">
        <v>9958041</v>
      </c>
      <c r="S483" s="15">
        <v>137932501</v>
      </c>
      <c r="T483" s="15">
        <v>140609170</v>
      </c>
      <c r="U483" s="15">
        <v>137932501</v>
      </c>
      <c r="V483" s="15">
        <v>140604022</v>
      </c>
      <c r="W483" s="15">
        <v>0</v>
      </c>
      <c r="X483" s="15">
        <v>5148</v>
      </c>
      <c r="Y483" s="4">
        <v>5298</v>
      </c>
      <c r="Z483" s="4">
        <v>5287</v>
      </c>
      <c r="AA483" s="4">
        <v>-0.21</v>
      </c>
      <c r="AB483" s="15">
        <v>10182999</v>
      </c>
      <c r="AC483" s="15">
        <v>10551700</v>
      </c>
      <c r="AD483" s="15">
        <v>2378300</v>
      </c>
      <c r="AE483" s="15">
        <v>2350000</v>
      </c>
      <c r="AF483" s="15">
        <v>6690758</v>
      </c>
      <c r="AG483" s="15">
        <v>6993397</v>
      </c>
      <c r="AH483" s="4">
        <v>4</v>
      </c>
      <c r="AI483" s="6">
        <v>4</v>
      </c>
    </row>
    <row r="484" spans="1:35" x14ac:dyDescent="0.25">
      <c r="A484" s="5" t="str">
        <f>"042901"</f>
        <v>042901</v>
      </c>
      <c r="B484" s="3" t="s">
        <v>44</v>
      </c>
      <c r="C484" s="15">
        <v>21044197</v>
      </c>
      <c r="D484" s="15">
        <v>22456639</v>
      </c>
      <c r="E484" s="4">
        <v>6.71</v>
      </c>
      <c r="F484" s="15">
        <v>4871122</v>
      </c>
      <c r="G484" s="15">
        <v>4871122</v>
      </c>
      <c r="H484" s="15"/>
      <c r="I484" s="15"/>
      <c r="J484" s="15"/>
      <c r="K484" s="15"/>
      <c r="L484" s="15"/>
      <c r="M484" s="15"/>
      <c r="N484" s="15">
        <v>4871122</v>
      </c>
      <c r="O484" s="15">
        <v>4871122</v>
      </c>
      <c r="P484" s="4">
        <v>0</v>
      </c>
      <c r="Q484" s="15">
        <v>132751</v>
      </c>
      <c r="R484" s="15">
        <v>146584</v>
      </c>
      <c r="S484" s="15">
        <v>4809474</v>
      </c>
      <c r="T484" s="15">
        <v>4839476</v>
      </c>
      <c r="U484" s="15">
        <v>4738371</v>
      </c>
      <c r="V484" s="15">
        <v>4724538</v>
      </c>
      <c r="W484" s="15">
        <v>71103</v>
      </c>
      <c r="X484" s="15">
        <v>114938</v>
      </c>
      <c r="Y484" s="4">
        <v>946</v>
      </c>
      <c r="Z484" s="4">
        <v>995</v>
      </c>
      <c r="AA484" s="4">
        <v>5.18</v>
      </c>
      <c r="AB484" s="15">
        <v>3047736</v>
      </c>
      <c r="AC484" s="15">
        <v>3717736</v>
      </c>
      <c r="AD484" s="15">
        <v>768699</v>
      </c>
      <c r="AE484" s="15">
        <v>407324</v>
      </c>
      <c r="AF484" s="15">
        <v>1499188</v>
      </c>
      <c r="AG484" s="15">
        <v>1690565</v>
      </c>
      <c r="AH484" s="4">
        <v>7.12</v>
      </c>
      <c r="AI484" s="6">
        <v>7.53</v>
      </c>
    </row>
    <row r="485" spans="1:35" x14ac:dyDescent="0.25">
      <c r="A485" s="5" t="str">
        <f>"512902"</f>
        <v>512902</v>
      </c>
      <c r="B485" s="3" t="s">
        <v>453</v>
      </c>
      <c r="C485" s="15">
        <v>35815351</v>
      </c>
      <c r="D485" s="15">
        <v>36589182</v>
      </c>
      <c r="E485" s="4">
        <v>2.16</v>
      </c>
      <c r="F485" s="15">
        <v>14167364</v>
      </c>
      <c r="G485" s="15">
        <v>14740107</v>
      </c>
      <c r="H485" s="15"/>
      <c r="I485" s="15"/>
      <c r="J485" s="15"/>
      <c r="K485" s="15"/>
      <c r="L485" s="15"/>
      <c r="M485" s="15"/>
      <c r="N485" s="15">
        <v>14167364</v>
      </c>
      <c r="O485" s="15">
        <v>14740107</v>
      </c>
      <c r="P485" s="4">
        <v>4.04</v>
      </c>
      <c r="Q485" s="15">
        <v>371690</v>
      </c>
      <c r="R485" s="15">
        <v>470323</v>
      </c>
      <c r="S485" s="15">
        <v>13795674</v>
      </c>
      <c r="T485" s="15">
        <v>14269784</v>
      </c>
      <c r="U485" s="15">
        <v>13795674</v>
      </c>
      <c r="V485" s="15">
        <v>14269784</v>
      </c>
      <c r="W485" s="15">
        <v>0</v>
      </c>
      <c r="X485" s="15">
        <v>0</v>
      </c>
      <c r="Y485" s="4">
        <v>1280</v>
      </c>
      <c r="Z485" s="4">
        <v>1280</v>
      </c>
      <c r="AA485" s="4">
        <v>0</v>
      </c>
      <c r="AB485" s="15">
        <v>3671831</v>
      </c>
      <c r="AC485" s="15">
        <v>3272891</v>
      </c>
      <c r="AD485" s="15">
        <v>2365034</v>
      </c>
      <c r="AE485" s="15">
        <v>2933541</v>
      </c>
      <c r="AF485" s="15">
        <v>3664942</v>
      </c>
      <c r="AG485" s="15">
        <v>2926660</v>
      </c>
      <c r="AH485" s="4">
        <v>10.23</v>
      </c>
      <c r="AI485" s="6">
        <v>8</v>
      </c>
    </row>
    <row r="486" spans="1:35" x14ac:dyDescent="0.25">
      <c r="A486" s="5" t="str">
        <f>"131500"</f>
        <v>131500</v>
      </c>
      <c r="B486" s="3" t="s">
        <v>121</v>
      </c>
      <c r="C486" s="15">
        <v>108190818</v>
      </c>
      <c r="D486" s="15">
        <v>118334485</v>
      </c>
      <c r="E486" s="4">
        <v>9.3800000000000008</v>
      </c>
      <c r="F486" s="15">
        <v>31029290</v>
      </c>
      <c r="G486" s="15">
        <v>31258258</v>
      </c>
      <c r="H486" s="15">
        <v>0</v>
      </c>
      <c r="I486" s="15">
        <v>0</v>
      </c>
      <c r="J486" s="15"/>
      <c r="K486" s="15"/>
      <c r="L486" s="15"/>
      <c r="M486" s="15"/>
      <c r="N486" s="15">
        <v>31029290</v>
      </c>
      <c r="O486" s="15">
        <v>31258258</v>
      </c>
      <c r="P486" s="4">
        <v>0.74</v>
      </c>
      <c r="Q486" s="15">
        <v>2328868</v>
      </c>
      <c r="R486" s="15">
        <v>1766602</v>
      </c>
      <c r="S486" s="15">
        <v>28700422</v>
      </c>
      <c r="T486" s="15">
        <v>29491656</v>
      </c>
      <c r="U486" s="15">
        <v>28700422</v>
      </c>
      <c r="V486" s="15">
        <v>29491656</v>
      </c>
      <c r="W486" s="15">
        <v>0</v>
      </c>
      <c r="X486" s="15">
        <v>0</v>
      </c>
      <c r="Y486" s="4">
        <v>4133</v>
      </c>
      <c r="Z486" s="4">
        <v>4107</v>
      </c>
      <c r="AA486" s="4">
        <v>-0.63</v>
      </c>
      <c r="AB486" s="15">
        <v>7563217</v>
      </c>
      <c r="AC486" s="15">
        <v>7563217</v>
      </c>
      <c r="AD486" s="15">
        <v>1683540</v>
      </c>
      <c r="AE486" s="15">
        <v>3000000</v>
      </c>
      <c r="AF486" s="15">
        <v>12600954</v>
      </c>
      <c r="AG486" s="15">
        <v>3000000</v>
      </c>
      <c r="AH486" s="4">
        <v>11.65</v>
      </c>
      <c r="AI486" s="6">
        <v>2.54</v>
      </c>
    </row>
    <row r="487" spans="1:35" x14ac:dyDescent="0.25">
      <c r="A487" s="5" t="str">
        <f>"572301"</f>
        <v>572301</v>
      </c>
      <c r="B487" s="3" t="s">
        <v>494</v>
      </c>
      <c r="C487" s="15">
        <v>10187414</v>
      </c>
      <c r="D487" s="15">
        <v>10491163</v>
      </c>
      <c r="E487" s="4">
        <v>2.98</v>
      </c>
      <c r="F487" s="15">
        <v>2595000</v>
      </c>
      <c r="G487" s="15">
        <v>2595000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2595000</v>
      </c>
      <c r="O487" s="15">
        <v>2595000</v>
      </c>
      <c r="P487" s="4">
        <v>0</v>
      </c>
      <c r="Q487" s="15">
        <v>0</v>
      </c>
      <c r="R487" s="15">
        <v>0</v>
      </c>
      <c r="S487" s="15">
        <v>2631668</v>
      </c>
      <c r="T487" s="15">
        <v>2608827</v>
      </c>
      <c r="U487" s="15">
        <v>2595000</v>
      </c>
      <c r="V487" s="15">
        <v>2595000</v>
      </c>
      <c r="W487" s="15">
        <v>36668</v>
      </c>
      <c r="X487" s="15">
        <v>13827</v>
      </c>
      <c r="Y487" s="4">
        <v>367</v>
      </c>
      <c r="Z487" s="4">
        <v>372</v>
      </c>
      <c r="AA487" s="4">
        <v>1.36</v>
      </c>
      <c r="AB487" s="15">
        <v>1891168</v>
      </c>
      <c r="AC487" s="15">
        <v>1589168</v>
      </c>
      <c r="AD487" s="15">
        <v>554017</v>
      </c>
      <c r="AE487" s="15">
        <v>200000</v>
      </c>
      <c r="AF487" s="15">
        <v>1764305</v>
      </c>
      <c r="AG487" s="15">
        <v>419646</v>
      </c>
      <c r="AH487" s="4">
        <v>17.32</v>
      </c>
      <c r="AI487" s="6">
        <v>4</v>
      </c>
    </row>
    <row r="488" spans="1:35" x14ac:dyDescent="0.25">
      <c r="A488" s="5" t="str">
        <f>"461801"</f>
        <v>461801</v>
      </c>
      <c r="B488" s="3" t="s">
        <v>396</v>
      </c>
      <c r="C488" s="15">
        <v>27929000</v>
      </c>
      <c r="D488" s="15">
        <v>28919000</v>
      </c>
      <c r="E488" s="4">
        <v>3.54</v>
      </c>
      <c r="F488" s="15">
        <v>7120035</v>
      </c>
      <c r="G488" s="15">
        <v>7262376</v>
      </c>
      <c r="H488" s="15"/>
      <c r="I488" s="15"/>
      <c r="J488" s="15"/>
      <c r="K488" s="15"/>
      <c r="L488" s="15"/>
      <c r="M488" s="15"/>
      <c r="N488" s="15">
        <v>7120035</v>
      </c>
      <c r="O488" s="15">
        <v>7262376</v>
      </c>
      <c r="P488" s="4">
        <v>2</v>
      </c>
      <c r="Q488" s="15">
        <v>206412</v>
      </c>
      <c r="R488" s="15">
        <v>137565</v>
      </c>
      <c r="S488" s="15">
        <v>7056118</v>
      </c>
      <c r="T488" s="15">
        <v>7124811</v>
      </c>
      <c r="U488" s="15">
        <v>6913623</v>
      </c>
      <c r="V488" s="15">
        <v>7124811</v>
      </c>
      <c r="W488" s="15">
        <v>142495</v>
      </c>
      <c r="X488" s="15">
        <v>0</v>
      </c>
      <c r="Y488" s="4">
        <v>980</v>
      </c>
      <c r="Z488" s="4">
        <v>991</v>
      </c>
      <c r="AA488" s="4">
        <v>1.1200000000000001</v>
      </c>
      <c r="AB488" s="15">
        <v>4153623</v>
      </c>
      <c r="AC488" s="15">
        <v>3986623</v>
      </c>
      <c r="AD488" s="15">
        <v>1140891</v>
      </c>
      <c r="AE488" s="15">
        <v>1292000</v>
      </c>
      <c r="AF488" s="15">
        <v>1109902</v>
      </c>
      <c r="AG488" s="15">
        <v>1156760</v>
      </c>
      <c r="AH488" s="4">
        <v>3.97</v>
      </c>
      <c r="AI488" s="6">
        <v>4</v>
      </c>
    </row>
    <row r="489" spans="1:35" x14ac:dyDescent="0.25">
      <c r="A489" s="5" t="str">
        <f>"641401"</f>
        <v>641401</v>
      </c>
      <c r="B489" s="3" t="s">
        <v>610</v>
      </c>
      <c r="C489" s="15">
        <v>2679839</v>
      </c>
      <c r="D489" s="15">
        <v>2755076</v>
      </c>
      <c r="E489" s="4">
        <v>2.81</v>
      </c>
      <c r="F489" s="15">
        <v>1992071</v>
      </c>
      <c r="G489" s="15">
        <v>1992071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1992071</v>
      </c>
      <c r="O489" s="15">
        <v>1992071</v>
      </c>
      <c r="P489" s="4">
        <v>0</v>
      </c>
      <c r="Q489" s="15">
        <v>0</v>
      </c>
      <c r="R489" s="15">
        <v>0</v>
      </c>
      <c r="S489" s="15">
        <v>1992071</v>
      </c>
      <c r="T489" s="15">
        <v>1992071</v>
      </c>
      <c r="U489" s="15">
        <v>1992071</v>
      </c>
      <c r="V489" s="15">
        <v>1992071</v>
      </c>
      <c r="W489" s="15">
        <v>0</v>
      </c>
      <c r="X489" s="15">
        <v>0</v>
      </c>
      <c r="Y489" s="4">
        <v>61</v>
      </c>
      <c r="Z489" s="4">
        <v>61</v>
      </c>
      <c r="AA489" s="4">
        <v>0</v>
      </c>
      <c r="AB489" s="15">
        <v>76837</v>
      </c>
      <c r="AC489" s="15">
        <v>76273</v>
      </c>
      <c r="AD489" s="15">
        <v>186425</v>
      </c>
      <c r="AE489" s="15">
        <v>234845</v>
      </c>
      <c r="AF489" s="15">
        <v>1912447</v>
      </c>
      <c r="AG489" s="15">
        <v>1327466</v>
      </c>
      <c r="AH489" s="4">
        <v>71.36</v>
      </c>
      <c r="AI489" s="6">
        <v>48.18</v>
      </c>
    </row>
    <row r="490" spans="1:35" x14ac:dyDescent="0.25">
      <c r="A490" s="5" t="str">
        <f>"480503"</f>
        <v>480503</v>
      </c>
      <c r="B490" s="3" t="s">
        <v>416</v>
      </c>
      <c r="C490" s="15">
        <v>53196449</v>
      </c>
      <c r="D490" s="15">
        <v>55823530</v>
      </c>
      <c r="E490" s="4">
        <v>4.9400000000000004</v>
      </c>
      <c r="F490" s="15">
        <v>38755967</v>
      </c>
      <c r="G490" s="15">
        <v>39334859</v>
      </c>
      <c r="H490" s="15"/>
      <c r="I490" s="15"/>
      <c r="J490" s="15"/>
      <c r="K490" s="15"/>
      <c r="L490" s="15"/>
      <c r="M490" s="15"/>
      <c r="N490" s="15">
        <v>38755967</v>
      </c>
      <c r="O490" s="15">
        <v>39334859</v>
      </c>
      <c r="P490" s="4">
        <v>1.49</v>
      </c>
      <c r="Q490" s="15">
        <v>1335827</v>
      </c>
      <c r="R490" s="15">
        <v>1027673</v>
      </c>
      <c r="S490" s="15">
        <v>37444854</v>
      </c>
      <c r="T490" s="15">
        <v>38350386</v>
      </c>
      <c r="U490" s="15">
        <v>37420140</v>
      </c>
      <c r="V490" s="15">
        <v>38307186</v>
      </c>
      <c r="W490" s="15">
        <v>24714</v>
      </c>
      <c r="X490" s="15">
        <v>43200</v>
      </c>
      <c r="Y490" s="4">
        <v>1588</v>
      </c>
      <c r="Z490" s="4">
        <v>1537</v>
      </c>
      <c r="AA490" s="4">
        <v>-3.21</v>
      </c>
      <c r="AB490" s="15">
        <v>8781250</v>
      </c>
      <c r="AC490" s="15">
        <v>7600000</v>
      </c>
      <c r="AD490" s="15">
        <v>800000</v>
      </c>
      <c r="AE490" s="15">
        <v>800000</v>
      </c>
      <c r="AF490" s="15">
        <v>2128000</v>
      </c>
      <c r="AG490" s="15">
        <v>2200000</v>
      </c>
      <c r="AH490" s="4">
        <v>4</v>
      </c>
      <c r="AI490" s="6">
        <v>3.94</v>
      </c>
    </row>
    <row r="491" spans="1:35" x14ac:dyDescent="0.25">
      <c r="A491" s="5" t="str">
        <f>"630902"</f>
        <v>630902</v>
      </c>
      <c r="B491" s="3" t="s">
        <v>600</v>
      </c>
      <c r="C491" s="15">
        <v>69855050</v>
      </c>
      <c r="D491" s="15">
        <v>72644898</v>
      </c>
      <c r="E491" s="4">
        <v>3.99</v>
      </c>
      <c r="F491" s="15">
        <v>36988033</v>
      </c>
      <c r="G491" s="15">
        <v>37727793</v>
      </c>
      <c r="H491" s="15"/>
      <c r="I491" s="15"/>
      <c r="J491" s="15"/>
      <c r="K491" s="15"/>
      <c r="L491" s="15" t="s">
        <v>415</v>
      </c>
      <c r="M491" s="15" t="s">
        <v>415</v>
      </c>
      <c r="N491" s="15">
        <v>36988033</v>
      </c>
      <c r="O491" s="15">
        <v>37727793</v>
      </c>
      <c r="P491" s="4">
        <v>2</v>
      </c>
      <c r="Q491" s="15">
        <v>3193184</v>
      </c>
      <c r="R491" s="15">
        <v>3087387</v>
      </c>
      <c r="S491" s="15">
        <v>33794849</v>
      </c>
      <c r="T491" s="15">
        <v>34640406</v>
      </c>
      <c r="U491" s="15">
        <v>33794849</v>
      </c>
      <c r="V491" s="15">
        <v>34640406</v>
      </c>
      <c r="W491" s="15">
        <v>0</v>
      </c>
      <c r="X491" s="15">
        <v>0</v>
      </c>
      <c r="Y491" s="4">
        <v>3036</v>
      </c>
      <c r="Z491" s="4">
        <v>3001</v>
      </c>
      <c r="AA491" s="4">
        <v>-1.1499999999999999</v>
      </c>
      <c r="AB491" s="15">
        <v>3162509</v>
      </c>
      <c r="AC491" s="15">
        <v>5004112</v>
      </c>
      <c r="AD491" s="15">
        <v>5964831</v>
      </c>
      <c r="AE491" s="15">
        <v>4312818</v>
      </c>
      <c r="AF491" s="15">
        <v>2794202</v>
      </c>
      <c r="AG491" s="15">
        <v>2905796</v>
      </c>
      <c r="AH491" s="4">
        <v>4</v>
      </c>
      <c r="AI491" s="6">
        <v>4</v>
      </c>
    </row>
    <row r="492" spans="1:35" x14ac:dyDescent="0.25">
      <c r="A492" s="5" t="str">
        <f>"580903"</f>
        <v>580903</v>
      </c>
      <c r="B492" s="3" t="s">
        <v>552</v>
      </c>
      <c r="C492" s="15">
        <v>9455999</v>
      </c>
      <c r="D492" s="15">
        <v>9739180</v>
      </c>
      <c r="E492" s="4">
        <v>2.99</v>
      </c>
      <c r="F492" s="15">
        <v>8007904</v>
      </c>
      <c r="G492" s="15">
        <v>8274629</v>
      </c>
      <c r="H492" s="15"/>
      <c r="I492" s="15"/>
      <c r="J492" s="15"/>
      <c r="K492" s="15"/>
      <c r="L492" s="15" t="s">
        <v>415</v>
      </c>
      <c r="M492" s="15" t="s">
        <v>415</v>
      </c>
      <c r="N492" s="15">
        <v>8007904</v>
      </c>
      <c r="O492" s="15">
        <v>8274629</v>
      </c>
      <c r="P492" s="4">
        <v>3.33</v>
      </c>
      <c r="Q492" s="15">
        <v>50794</v>
      </c>
      <c r="R492" s="15">
        <v>53299</v>
      </c>
      <c r="S492" s="15">
        <v>7957110</v>
      </c>
      <c r="T492" s="15">
        <v>8221330</v>
      </c>
      <c r="U492" s="15">
        <v>7957110</v>
      </c>
      <c r="V492" s="15">
        <v>8221330</v>
      </c>
      <c r="W492" s="15">
        <v>0</v>
      </c>
      <c r="X492" s="15">
        <v>0</v>
      </c>
      <c r="Y492" s="4">
        <v>120</v>
      </c>
      <c r="Z492" s="4">
        <v>90</v>
      </c>
      <c r="AA492" s="4">
        <v>-25</v>
      </c>
      <c r="AB492" s="15">
        <v>2226000</v>
      </c>
      <c r="AC492" s="15">
        <v>2290000</v>
      </c>
      <c r="AD492" s="15">
        <v>969945</v>
      </c>
      <c r="AE492" s="15">
        <v>970000</v>
      </c>
      <c r="AF492" s="15">
        <v>1500000</v>
      </c>
      <c r="AG492" s="15">
        <v>1300000</v>
      </c>
      <c r="AH492" s="4">
        <v>15.86</v>
      </c>
      <c r="AI492" s="6">
        <v>13.35</v>
      </c>
    </row>
    <row r="493" spans="1:35" x14ac:dyDescent="0.25">
      <c r="A493" s="5" t="str">
        <f>"043001"</f>
        <v>043001</v>
      </c>
      <c r="B493" s="3" t="s">
        <v>45</v>
      </c>
      <c r="C493" s="15">
        <v>20477498</v>
      </c>
      <c r="D493" s="15">
        <v>20930008</v>
      </c>
      <c r="E493" s="4">
        <v>2.21</v>
      </c>
      <c r="F493" s="15">
        <v>4675060</v>
      </c>
      <c r="G493" s="15">
        <v>4777911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4675060</v>
      </c>
      <c r="O493" s="15">
        <v>4777911</v>
      </c>
      <c r="P493" s="4">
        <v>2.2000000000000002</v>
      </c>
      <c r="Q493" s="15">
        <v>0</v>
      </c>
      <c r="R493" s="15">
        <v>0</v>
      </c>
      <c r="S493" s="15">
        <v>4792123</v>
      </c>
      <c r="T493" s="15">
        <v>4812763</v>
      </c>
      <c r="U493" s="15">
        <v>4675060</v>
      </c>
      <c r="V493" s="15">
        <v>4777911</v>
      </c>
      <c r="W493" s="15">
        <v>117063</v>
      </c>
      <c r="X493" s="15">
        <v>34852</v>
      </c>
      <c r="Y493" s="4">
        <v>891</v>
      </c>
      <c r="Z493" s="4">
        <v>881</v>
      </c>
      <c r="AA493" s="4">
        <v>-1.1200000000000001</v>
      </c>
      <c r="AB493" s="15">
        <v>2882127</v>
      </c>
      <c r="AC493" s="15">
        <v>3882127</v>
      </c>
      <c r="AD493" s="15">
        <v>1455722</v>
      </c>
      <c r="AE493" s="15">
        <v>1480185</v>
      </c>
      <c r="AF493" s="15">
        <v>4121988</v>
      </c>
      <c r="AG493" s="15">
        <v>3844231</v>
      </c>
      <c r="AH493" s="4">
        <v>20.13</v>
      </c>
      <c r="AI493" s="6">
        <v>18.37</v>
      </c>
    </row>
    <row r="494" spans="1:35" x14ac:dyDescent="0.25">
      <c r="A494" s="5" t="str">
        <f>"200702"</f>
        <v>200702</v>
      </c>
      <c r="B494" s="3" t="s">
        <v>196</v>
      </c>
      <c r="C494" s="15">
        <v>316942</v>
      </c>
      <c r="D494" s="15">
        <v>380891</v>
      </c>
      <c r="E494" s="4">
        <v>20.18</v>
      </c>
      <c r="F494" s="15">
        <v>253691</v>
      </c>
      <c r="G494" s="15">
        <v>317640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253691</v>
      </c>
      <c r="O494" s="15">
        <v>317640</v>
      </c>
      <c r="P494" s="4">
        <v>25.21</v>
      </c>
      <c r="Q494" s="15">
        <v>0</v>
      </c>
      <c r="R494" s="15">
        <v>18545</v>
      </c>
      <c r="S494" s="15">
        <v>253691</v>
      </c>
      <c r="T494" s="15">
        <v>278241</v>
      </c>
      <c r="U494" s="15">
        <v>253691</v>
      </c>
      <c r="V494" s="15">
        <v>299095</v>
      </c>
      <c r="W494" s="15">
        <v>0</v>
      </c>
      <c r="X494" s="15">
        <v>-20854</v>
      </c>
      <c r="Y494" s="4">
        <v>8</v>
      </c>
      <c r="Z494" s="4">
        <v>8</v>
      </c>
      <c r="AA494" s="4">
        <v>0</v>
      </c>
      <c r="AB494" s="15">
        <v>51963</v>
      </c>
      <c r="AC494" s="15">
        <v>52000</v>
      </c>
      <c r="AD494" s="15">
        <v>60404</v>
      </c>
      <c r="AE494" s="15">
        <v>62000</v>
      </c>
      <c r="AF494" s="15">
        <v>98000</v>
      </c>
      <c r="AG494" s="15">
        <v>113744</v>
      </c>
      <c r="AH494" s="4">
        <v>30.92</v>
      </c>
      <c r="AI494" s="6">
        <v>29.86</v>
      </c>
    </row>
    <row r="495" spans="1:35" x14ac:dyDescent="0.25">
      <c r="A495" s="5" t="str">
        <f>"010402"</f>
        <v>010402</v>
      </c>
      <c r="B495" s="3" t="s">
        <v>3</v>
      </c>
      <c r="C495" s="15">
        <v>48637301</v>
      </c>
      <c r="D495" s="15">
        <v>51256929</v>
      </c>
      <c r="E495" s="4">
        <v>5.39</v>
      </c>
      <c r="F495" s="15">
        <v>26094290</v>
      </c>
      <c r="G495" s="15">
        <v>26746647</v>
      </c>
      <c r="H495" s="15"/>
      <c r="I495" s="15"/>
      <c r="J495" s="15"/>
      <c r="K495" s="15"/>
      <c r="L495" s="15"/>
      <c r="M495" s="15"/>
      <c r="N495" s="15">
        <v>26094290</v>
      </c>
      <c r="O495" s="15">
        <v>26746647</v>
      </c>
      <c r="P495" s="4">
        <v>2.5</v>
      </c>
      <c r="Q495" s="15">
        <v>662924</v>
      </c>
      <c r="R495" s="15">
        <v>1335204</v>
      </c>
      <c r="S495" s="15">
        <v>26184820</v>
      </c>
      <c r="T495" s="15">
        <v>26048517</v>
      </c>
      <c r="U495" s="15">
        <v>25431366</v>
      </c>
      <c r="V495" s="15">
        <v>25411443</v>
      </c>
      <c r="W495" s="15">
        <v>753454</v>
      </c>
      <c r="X495" s="15">
        <v>637074</v>
      </c>
      <c r="Y495" s="4">
        <v>1734</v>
      </c>
      <c r="Z495" s="4">
        <v>1732</v>
      </c>
      <c r="AA495" s="4">
        <v>-0.12</v>
      </c>
      <c r="AB495" s="15">
        <v>11225763</v>
      </c>
      <c r="AC495" s="15">
        <v>12815565</v>
      </c>
      <c r="AD495" s="15">
        <v>1355749</v>
      </c>
      <c r="AE495" s="15">
        <v>2763563</v>
      </c>
      <c r="AF495" s="15">
        <v>7893540</v>
      </c>
      <c r="AG495" s="15">
        <v>6284588</v>
      </c>
      <c r="AH495" s="4">
        <v>16.23</v>
      </c>
      <c r="AI495" s="6">
        <v>12.26</v>
      </c>
    </row>
    <row r="496" spans="1:35" x14ac:dyDescent="0.25">
      <c r="A496" s="5" t="str">
        <f>"651503"</f>
        <v>651503</v>
      </c>
      <c r="B496" s="3" t="s">
        <v>624</v>
      </c>
      <c r="C496" s="15">
        <v>23702538</v>
      </c>
      <c r="D496" s="15">
        <v>24181814</v>
      </c>
      <c r="E496" s="4">
        <v>2.02</v>
      </c>
      <c r="F496" s="15">
        <v>4675861</v>
      </c>
      <c r="G496" s="15">
        <v>4827214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4675861</v>
      </c>
      <c r="O496" s="15">
        <v>4827214</v>
      </c>
      <c r="P496" s="4">
        <v>3.24</v>
      </c>
      <c r="Q496" s="15">
        <v>0</v>
      </c>
      <c r="R496" s="15">
        <v>0</v>
      </c>
      <c r="S496" s="15">
        <v>4675861</v>
      </c>
      <c r="T496" s="15">
        <v>4827214</v>
      </c>
      <c r="U496" s="15">
        <v>4675861</v>
      </c>
      <c r="V496" s="15">
        <v>4827214</v>
      </c>
      <c r="W496" s="15">
        <v>0</v>
      </c>
      <c r="X496" s="15">
        <v>0</v>
      </c>
      <c r="Y496" s="4">
        <v>825</v>
      </c>
      <c r="Z496" s="4">
        <v>809</v>
      </c>
      <c r="AA496" s="4">
        <v>-1.94</v>
      </c>
      <c r="AB496" s="15">
        <v>4745383</v>
      </c>
      <c r="AC496" s="15">
        <v>4361218</v>
      </c>
      <c r="AD496" s="15">
        <v>355619</v>
      </c>
      <c r="AE496" s="15">
        <v>817672</v>
      </c>
      <c r="AF496" s="15">
        <v>948102</v>
      </c>
      <c r="AG496" s="15">
        <v>967272</v>
      </c>
      <c r="AH496" s="4">
        <v>4</v>
      </c>
      <c r="AI496" s="6">
        <v>4</v>
      </c>
    </row>
    <row r="497" spans="1:35" x14ac:dyDescent="0.25">
      <c r="A497" s="5" t="str">
        <f>"131701"</f>
        <v>131701</v>
      </c>
      <c r="B497" s="3" t="s">
        <v>124</v>
      </c>
      <c r="C497" s="15">
        <v>56416338</v>
      </c>
      <c r="D497" s="15">
        <v>57766224</v>
      </c>
      <c r="E497" s="4">
        <v>2.39</v>
      </c>
      <c r="F497" s="15">
        <v>35997924</v>
      </c>
      <c r="G497" s="15">
        <v>36692683</v>
      </c>
      <c r="H497" s="15"/>
      <c r="I497" s="15"/>
      <c r="J497" s="15"/>
      <c r="K497" s="15"/>
      <c r="L497" s="15"/>
      <c r="M497" s="15"/>
      <c r="N497" s="15">
        <v>35997924</v>
      </c>
      <c r="O497" s="15">
        <v>36692683</v>
      </c>
      <c r="P497" s="4">
        <v>1.93</v>
      </c>
      <c r="Q497" s="15">
        <v>348758</v>
      </c>
      <c r="R497" s="15">
        <v>367699</v>
      </c>
      <c r="S497" s="15">
        <v>35827777</v>
      </c>
      <c r="T497" s="15">
        <v>36686119</v>
      </c>
      <c r="U497" s="15">
        <v>35649166</v>
      </c>
      <c r="V497" s="15">
        <v>36324984</v>
      </c>
      <c r="W497" s="15">
        <v>178611</v>
      </c>
      <c r="X497" s="15">
        <v>361135</v>
      </c>
      <c r="Y497" s="4">
        <v>1639</v>
      </c>
      <c r="Z497" s="4">
        <v>1599</v>
      </c>
      <c r="AA497" s="4">
        <v>-2.44</v>
      </c>
      <c r="AB497" s="15">
        <v>3302509</v>
      </c>
      <c r="AC497" s="15">
        <v>3400000</v>
      </c>
      <c r="AD497" s="15">
        <v>3480416</v>
      </c>
      <c r="AE497" s="15">
        <v>3300000</v>
      </c>
      <c r="AF497" s="15">
        <v>4681378</v>
      </c>
      <c r="AG497" s="15">
        <v>4000000</v>
      </c>
      <c r="AH497" s="4">
        <v>8.3000000000000007</v>
      </c>
      <c r="AI497" s="6">
        <v>6.92</v>
      </c>
    </row>
    <row r="498" spans="1:35" x14ac:dyDescent="0.25">
      <c r="A498" s="5" t="str">
        <f>"411701"</f>
        <v>411701</v>
      </c>
      <c r="B498" s="3" t="s">
        <v>333</v>
      </c>
      <c r="C498" s="15">
        <v>13598332</v>
      </c>
      <c r="D498" s="15">
        <v>13986284</v>
      </c>
      <c r="E498" s="4">
        <v>2.85</v>
      </c>
      <c r="F498" s="15">
        <v>5534568</v>
      </c>
      <c r="G498" s="15">
        <v>5589914</v>
      </c>
      <c r="H498" s="15"/>
      <c r="I498" s="15"/>
      <c r="J498" s="15"/>
      <c r="K498" s="15"/>
      <c r="L498" s="15"/>
      <c r="M498" s="15"/>
      <c r="N498" s="15">
        <v>5534568</v>
      </c>
      <c r="O498" s="15">
        <v>5589914</v>
      </c>
      <c r="P498" s="4">
        <v>1</v>
      </c>
      <c r="Q498" s="15">
        <v>140053</v>
      </c>
      <c r="R498" s="15">
        <v>95697</v>
      </c>
      <c r="S498" s="15">
        <v>5394515</v>
      </c>
      <c r="T498" s="15">
        <v>5513131</v>
      </c>
      <c r="U498" s="15">
        <v>5394515</v>
      </c>
      <c r="V498" s="15">
        <v>5494217</v>
      </c>
      <c r="W498" s="15">
        <v>0</v>
      </c>
      <c r="X498" s="15">
        <v>18914</v>
      </c>
      <c r="Y498" s="4">
        <v>433</v>
      </c>
      <c r="Z498" s="4">
        <v>424</v>
      </c>
      <c r="AA498" s="4">
        <v>-2.08</v>
      </c>
      <c r="AB498" s="15">
        <v>1897589</v>
      </c>
      <c r="AC498" s="15">
        <v>1897589</v>
      </c>
      <c r="AD498" s="15">
        <v>250624</v>
      </c>
      <c r="AE498" s="15">
        <v>348914</v>
      </c>
      <c r="AF498" s="15">
        <v>2797229</v>
      </c>
      <c r="AG498" s="15">
        <v>2448315</v>
      </c>
      <c r="AH498" s="4">
        <v>20.57</v>
      </c>
      <c r="AI498" s="6">
        <v>17.510000000000002</v>
      </c>
    </row>
    <row r="499" spans="1:35" x14ac:dyDescent="0.25">
      <c r="A499" s="5" t="str">
        <f>"580901"</f>
        <v>580901</v>
      </c>
      <c r="B499" s="3" t="s">
        <v>550</v>
      </c>
      <c r="C499" s="15">
        <v>15218795</v>
      </c>
      <c r="D499" s="15">
        <v>15529761</v>
      </c>
      <c r="E499" s="4">
        <v>2.04</v>
      </c>
      <c r="F499" s="15">
        <v>13197240</v>
      </c>
      <c r="G499" s="15">
        <v>13508082</v>
      </c>
      <c r="H499" s="15"/>
      <c r="I499" s="15"/>
      <c r="J499" s="15"/>
      <c r="K499" s="15"/>
      <c r="L499" s="15"/>
      <c r="M499" s="15"/>
      <c r="N499" s="15">
        <v>13197240</v>
      </c>
      <c r="O499" s="15">
        <v>13508082</v>
      </c>
      <c r="P499" s="4">
        <v>2.36</v>
      </c>
      <c r="Q499" s="15">
        <v>248240</v>
      </c>
      <c r="R499" s="15">
        <v>246256</v>
      </c>
      <c r="S499" s="15">
        <v>12949000</v>
      </c>
      <c r="T499" s="15">
        <v>13261826</v>
      </c>
      <c r="U499" s="15">
        <v>12949000</v>
      </c>
      <c r="V499" s="15">
        <v>13261826</v>
      </c>
      <c r="W499" s="15">
        <v>0</v>
      </c>
      <c r="X499" s="15">
        <v>0</v>
      </c>
      <c r="Y499" s="4">
        <v>314</v>
      </c>
      <c r="Z499" s="4">
        <v>295</v>
      </c>
      <c r="AA499" s="4">
        <v>-6.05</v>
      </c>
      <c r="AB499" s="15">
        <v>2446651</v>
      </c>
      <c r="AC499" s="15">
        <v>2495584</v>
      </c>
      <c r="AD499" s="15">
        <v>1267510</v>
      </c>
      <c r="AE499" s="15">
        <v>1267510</v>
      </c>
      <c r="AF499" s="15">
        <v>1665645</v>
      </c>
      <c r="AG499" s="15">
        <v>621190</v>
      </c>
      <c r="AH499" s="4">
        <v>10.94</v>
      </c>
      <c r="AI499" s="6">
        <v>4</v>
      </c>
    </row>
    <row r="500" spans="1:35" x14ac:dyDescent="0.25">
      <c r="A500" s="5" t="str">
        <f>"491200"</f>
        <v>491200</v>
      </c>
      <c r="B500" s="3" t="s">
        <v>425</v>
      </c>
      <c r="C500" s="15">
        <v>27694567</v>
      </c>
      <c r="D500" s="15">
        <v>28682495</v>
      </c>
      <c r="E500" s="4">
        <v>3.57</v>
      </c>
      <c r="F500" s="15">
        <v>8361655</v>
      </c>
      <c r="G500" s="15">
        <v>8854992</v>
      </c>
      <c r="H500" s="15"/>
      <c r="I500" s="15"/>
      <c r="J500" s="15"/>
      <c r="K500" s="15"/>
      <c r="L500" s="15"/>
      <c r="M500" s="15"/>
      <c r="N500" s="15">
        <v>8361655</v>
      </c>
      <c r="O500" s="15">
        <v>8854992</v>
      </c>
      <c r="P500" s="4">
        <v>5.9</v>
      </c>
      <c r="Q500" s="15">
        <v>2373766</v>
      </c>
      <c r="R500" s="15">
        <v>2737702</v>
      </c>
      <c r="S500" s="15">
        <v>6667682</v>
      </c>
      <c r="T500" s="15">
        <v>6168363</v>
      </c>
      <c r="U500" s="15">
        <v>5987889</v>
      </c>
      <c r="V500" s="15">
        <v>6117290</v>
      </c>
      <c r="W500" s="15">
        <v>679793</v>
      </c>
      <c r="X500" s="15">
        <v>51073</v>
      </c>
      <c r="Y500" s="4">
        <v>1071</v>
      </c>
      <c r="Z500" s="4">
        <v>1085</v>
      </c>
      <c r="AA500" s="4">
        <v>1.31</v>
      </c>
      <c r="AB500" s="15">
        <v>47438</v>
      </c>
      <c r="AC500" s="15">
        <v>35000</v>
      </c>
      <c r="AD500" s="15">
        <v>1639837</v>
      </c>
      <c r="AE500" s="15">
        <v>805690</v>
      </c>
      <c r="AF500" s="15">
        <v>575000</v>
      </c>
      <c r="AG500" s="15">
        <v>650000</v>
      </c>
      <c r="AH500" s="4">
        <v>2.08</v>
      </c>
      <c r="AI500" s="6">
        <v>2.27</v>
      </c>
    </row>
    <row r="501" spans="1:35" x14ac:dyDescent="0.25">
      <c r="A501" s="5" t="str">
        <f>"131801"</f>
        <v>131801</v>
      </c>
      <c r="B501" s="3" t="s">
        <v>125</v>
      </c>
      <c r="C501" s="15">
        <v>35380864</v>
      </c>
      <c r="D501" s="15">
        <v>37241300</v>
      </c>
      <c r="E501" s="4">
        <v>5.26</v>
      </c>
      <c r="F501" s="15">
        <v>31462819</v>
      </c>
      <c r="G501" s="15">
        <v>31993462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31462819</v>
      </c>
      <c r="O501" s="15">
        <v>31993462</v>
      </c>
      <c r="P501" s="4">
        <v>1.69</v>
      </c>
      <c r="Q501" s="15">
        <v>0</v>
      </c>
      <c r="R501" s="15">
        <v>0</v>
      </c>
      <c r="S501" s="15">
        <v>31636909</v>
      </c>
      <c r="T501" s="15">
        <v>32470599</v>
      </c>
      <c r="U501" s="15">
        <v>31462819</v>
      </c>
      <c r="V501" s="15">
        <v>31993462</v>
      </c>
      <c r="W501" s="15">
        <v>174090</v>
      </c>
      <c r="X501" s="15">
        <v>477137</v>
      </c>
      <c r="Y501" s="4">
        <v>943</v>
      </c>
      <c r="Z501" s="4">
        <v>944</v>
      </c>
      <c r="AA501" s="4">
        <v>0.11</v>
      </c>
      <c r="AB501" s="15">
        <v>3345749</v>
      </c>
      <c r="AC501" s="15">
        <v>4829630</v>
      </c>
      <c r="AD501" s="15">
        <v>1274619</v>
      </c>
      <c r="AE501" s="15">
        <v>1750000</v>
      </c>
      <c r="AF501" s="15">
        <v>2978835</v>
      </c>
      <c r="AG501" s="15">
        <v>2320370</v>
      </c>
      <c r="AH501" s="4">
        <v>8.42</v>
      </c>
      <c r="AI501" s="6">
        <v>6.23</v>
      </c>
    </row>
    <row r="502" spans="1:35" x14ac:dyDescent="0.25">
      <c r="A502" s="5" t="str">
        <f>"472001"</f>
        <v>472001</v>
      </c>
      <c r="B502" s="3" t="s">
        <v>408</v>
      </c>
      <c r="C502" s="15">
        <v>12688485</v>
      </c>
      <c r="D502" s="15">
        <v>12958572</v>
      </c>
      <c r="E502" s="4">
        <v>2.13</v>
      </c>
      <c r="F502" s="15">
        <v>3736095</v>
      </c>
      <c r="G502" s="15">
        <v>3754095</v>
      </c>
      <c r="H502" s="15"/>
      <c r="I502" s="15"/>
      <c r="J502" s="15"/>
      <c r="K502" s="15"/>
      <c r="L502" s="15"/>
      <c r="M502" s="15"/>
      <c r="N502" s="15">
        <v>3736095</v>
      </c>
      <c r="O502" s="15">
        <v>3754095</v>
      </c>
      <c r="P502" s="4">
        <v>0.48</v>
      </c>
      <c r="Q502" s="15">
        <v>155311</v>
      </c>
      <c r="R502" s="15">
        <v>99405</v>
      </c>
      <c r="S502" s="15">
        <v>3602345</v>
      </c>
      <c r="T502" s="15">
        <v>3654690</v>
      </c>
      <c r="U502" s="15">
        <v>3580784</v>
      </c>
      <c r="V502" s="15">
        <v>3654690</v>
      </c>
      <c r="W502" s="15">
        <v>21561</v>
      </c>
      <c r="X502" s="15">
        <v>0</v>
      </c>
      <c r="Y502" s="4">
        <v>435</v>
      </c>
      <c r="Z502" s="4">
        <v>436</v>
      </c>
      <c r="AA502" s="4">
        <v>0.23</v>
      </c>
      <c r="AB502" s="15">
        <v>262744</v>
      </c>
      <c r="AC502" s="15">
        <v>939818</v>
      </c>
      <c r="AD502" s="15">
        <v>1240239</v>
      </c>
      <c r="AE502" s="15">
        <v>1038279</v>
      </c>
      <c r="AF502" s="15">
        <v>507539</v>
      </c>
      <c r="AG502" s="15">
        <v>518343</v>
      </c>
      <c r="AH502" s="4">
        <v>4</v>
      </c>
      <c r="AI502" s="6">
        <v>4</v>
      </c>
    </row>
    <row r="503" spans="1:35" x14ac:dyDescent="0.25">
      <c r="A503" s="5" t="str">
        <f>"062401"</f>
        <v>062401</v>
      </c>
      <c r="B503" s="3" t="s">
        <v>70</v>
      </c>
      <c r="C503" s="15">
        <v>9746366</v>
      </c>
      <c r="D503" s="15">
        <v>9634122</v>
      </c>
      <c r="E503" s="4">
        <v>-1.1499999999999999</v>
      </c>
      <c r="F503" s="15">
        <v>1862971</v>
      </c>
      <c r="G503" s="15">
        <v>1863681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1862971</v>
      </c>
      <c r="O503" s="15">
        <v>1863681</v>
      </c>
      <c r="P503" s="4">
        <v>0.04</v>
      </c>
      <c r="Q503" s="15">
        <v>134103</v>
      </c>
      <c r="R503" s="15">
        <v>263931</v>
      </c>
      <c r="S503" s="15">
        <v>1867178</v>
      </c>
      <c r="T503" s="15">
        <v>1734235</v>
      </c>
      <c r="U503" s="15">
        <v>1728868</v>
      </c>
      <c r="V503" s="15">
        <v>1599750</v>
      </c>
      <c r="W503" s="15">
        <v>138310</v>
      </c>
      <c r="X503" s="15">
        <v>134485</v>
      </c>
      <c r="Y503" s="4">
        <v>246</v>
      </c>
      <c r="Z503" s="4">
        <v>246</v>
      </c>
      <c r="AA503" s="4">
        <v>0</v>
      </c>
      <c r="AB503" s="15">
        <v>1953016</v>
      </c>
      <c r="AC503" s="15">
        <v>1793016</v>
      </c>
      <c r="AD503" s="15">
        <v>312804</v>
      </c>
      <c r="AE503" s="15">
        <v>525304</v>
      </c>
      <c r="AF503" s="15">
        <v>2089003</v>
      </c>
      <c r="AG503" s="15">
        <v>2036503</v>
      </c>
      <c r="AH503" s="4">
        <v>21.43</v>
      </c>
      <c r="AI503" s="6">
        <v>21.14</v>
      </c>
    </row>
    <row r="504" spans="1:35" x14ac:dyDescent="0.25">
      <c r="A504" s="5" t="str">
        <f>"580602"</f>
        <v>580602</v>
      </c>
      <c r="B504" s="3" t="s">
        <v>546</v>
      </c>
      <c r="C504" s="15">
        <v>159407613</v>
      </c>
      <c r="D504" s="15">
        <v>169750296</v>
      </c>
      <c r="E504" s="4">
        <v>6.49</v>
      </c>
      <c r="F504" s="15">
        <v>104541394</v>
      </c>
      <c r="G504" s="15">
        <v>105586808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104541394</v>
      </c>
      <c r="O504" s="15">
        <v>105586808</v>
      </c>
      <c r="P504" s="4">
        <v>1</v>
      </c>
      <c r="Q504" s="15">
        <v>4342345</v>
      </c>
      <c r="R504" s="15">
        <v>4789058</v>
      </c>
      <c r="S504" s="15">
        <v>101740314</v>
      </c>
      <c r="T504" s="15">
        <v>102127624</v>
      </c>
      <c r="U504" s="15">
        <v>100199049</v>
      </c>
      <c r="V504" s="15">
        <v>100797750</v>
      </c>
      <c r="W504" s="15">
        <v>1541265</v>
      </c>
      <c r="X504" s="15">
        <v>1329874</v>
      </c>
      <c r="Y504" s="4">
        <v>5407</v>
      </c>
      <c r="Z504" s="4">
        <v>5430</v>
      </c>
      <c r="AA504" s="4">
        <v>0.43</v>
      </c>
      <c r="AB504" s="15">
        <v>17086218</v>
      </c>
      <c r="AC504" s="15">
        <v>14714750</v>
      </c>
      <c r="AD504" s="15">
        <v>2649159</v>
      </c>
      <c r="AE504" s="15">
        <v>4149159</v>
      </c>
      <c r="AF504" s="15">
        <v>6404737</v>
      </c>
      <c r="AG504" s="15">
        <v>6790012</v>
      </c>
      <c r="AH504" s="4">
        <v>4.0199999999999996</v>
      </c>
      <c r="AI504" s="6">
        <v>4</v>
      </c>
    </row>
    <row r="505" spans="1:35" x14ac:dyDescent="0.25">
      <c r="A505" s="5" t="str">
        <f>"280221"</f>
        <v>280221</v>
      </c>
      <c r="B505" s="3" t="s">
        <v>285</v>
      </c>
      <c r="C505" s="15">
        <v>124098943</v>
      </c>
      <c r="D505" s="15">
        <v>129050491</v>
      </c>
      <c r="E505" s="4">
        <v>3.99</v>
      </c>
      <c r="F505" s="15">
        <v>99750000</v>
      </c>
      <c r="G505" s="15">
        <v>101850000</v>
      </c>
      <c r="H505" s="15"/>
      <c r="I505" s="15"/>
      <c r="J505" s="15"/>
      <c r="K505" s="15"/>
      <c r="L505" s="15"/>
      <c r="M505" s="15"/>
      <c r="N505" s="15">
        <v>99750000</v>
      </c>
      <c r="O505" s="15">
        <v>101850000</v>
      </c>
      <c r="P505" s="4">
        <v>2.11</v>
      </c>
      <c r="Q505" s="15">
        <v>3090603</v>
      </c>
      <c r="R505" s="15">
        <v>3129646</v>
      </c>
      <c r="S505" s="15">
        <v>96987023</v>
      </c>
      <c r="T505" s="15">
        <v>98765424</v>
      </c>
      <c r="U505" s="15">
        <v>96659397</v>
      </c>
      <c r="V505" s="15">
        <v>98720354</v>
      </c>
      <c r="W505" s="15">
        <v>327626</v>
      </c>
      <c r="X505" s="15">
        <v>45070</v>
      </c>
      <c r="Y505" s="4">
        <v>3471</v>
      </c>
      <c r="Z505" s="4">
        <v>3542</v>
      </c>
      <c r="AA505" s="4">
        <v>2.0499999999999998</v>
      </c>
      <c r="AB505" s="15">
        <v>8630732</v>
      </c>
      <c r="AC505" s="15">
        <v>8923216</v>
      </c>
      <c r="AD505" s="15">
        <v>2800000</v>
      </c>
      <c r="AE505" s="15">
        <v>2800000</v>
      </c>
      <c r="AF505" s="15">
        <v>4889293</v>
      </c>
      <c r="AG505" s="15">
        <v>5058559</v>
      </c>
      <c r="AH505" s="4">
        <v>3.94</v>
      </c>
      <c r="AI505" s="6">
        <v>3.92</v>
      </c>
    </row>
    <row r="506" spans="1:35" x14ac:dyDescent="0.25">
      <c r="A506" s="5" t="str">
        <f>"580209"</f>
        <v>580209</v>
      </c>
      <c r="B506" s="3" t="s">
        <v>512</v>
      </c>
      <c r="C506" s="15">
        <v>85692726</v>
      </c>
      <c r="D506" s="15">
        <v>88019717</v>
      </c>
      <c r="E506" s="4">
        <v>2.72</v>
      </c>
      <c r="F506" s="15">
        <v>52483059</v>
      </c>
      <c r="G506" s="15">
        <v>53608209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  <c r="N506" s="15">
        <v>52483059</v>
      </c>
      <c r="O506" s="15">
        <v>53608209</v>
      </c>
      <c r="P506" s="4">
        <v>2.14</v>
      </c>
      <c r="Q506" s="15">
        <v>156089</v>
      </c>
      <c r="R506" s="15">
        <v>818337</v>
      </c>
      <c r="S506" s="15">
        <v>52795092</v>
      </c>
      <c r="T506" s="15">
        <v>53422564</v>
      </c>
      <c r="U506" s="15">
        <v>52326970</v>
      </c>
      <c r="V506" s="15">
        <v>52789872</v>
      </c>
      <c r="W506" s="15">
        <v>468122</v>
      </c>
      <c r="X506" s="15">
        <v>632692</v>
      </c>
      <c r="Y506" s="4">
        <v>2830</v>
      </c>
      <c r="Z506" s="4">
        <v>2798</v>
      </c>
      <c r="AA506" s="4">
        <v>-1.1299999999999999</v>
      </c>
      <c r="AB506" s="15">
        <v>18017125</v>
      </c>
      <c r="AC506" s="15">
        <v>16833775</v>
      </c>
      <c r="AD506" s="15">
        <v>2575095</v>
      </c>
      <c r="AE506" s="15">
        <v>2550473</v>
      </c>
      <c r="AF506" s="15">
        <v>3427643</v>
      </c>
      <c r="AG506" s="15">
        <v>3520789</v>
      </c>
      <c r="AH506" s="4">
        <v>4</v>
      </c>
      <c r="AI506" s="6">
        <v>4</v>
      </c>
    </row>
    <row r="507" spans="1:35" x14ac:dyDescent="0.25">
      <c r="A507" s="5" t="str">
        <f>"411800"</f>
        <v>411800</v>
      </c>
      <c r="B507" s="3" t="s">
        <v>334</v>
      </c>
      <c r="C507" s="15">
        <v>122980702</v>
      </c>
      <c r="D507" s="15">
        <v>130285026</v>
      </c>
      <c r="E507" s="4">
        <v>5.94</v>
      </c>
      <c r="F507" s="15">
        <v>35651940</v>
      </c>
      <c r="G507" s="15">
        <v>36543239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35651940</v>
      </c>
      <c r="O507" s="15">
        <v>36543239</v>
      </c>
      <c r="P507" s="4">
        <v>2.5</v>
      </c>
      <c r="Q507" s="15">
        <v>0</v>
      </c>
      <c r="R507" s="15">
        <v>0</v>
      </c>
      <c r="S507" s="15">
        <v>35944500</v>
      </c>
      <c r="T507" s="15">
        <v>36902144</v>
      </c>
      <c r="U507" s="15">
        <v>35651940</v>
      </c>
      <c r="V507" s="15">
        <v>36543239</v>
      </c>
      <c r="W507" s="15">
        <v>292560</v>
      </c>
      <c r="X507" s="15">
        <v>358905</v>
      </c>
      <c r="Y507" s="4">
        <v>5431</v>
      </c>
      <c r="Z507" s="4">
        <v>5408</v>
      </c>
      <c r="AA507" s="4">
        <v>-0.42</v>
      </c>
      <c r="AB507" s="15">
        <v>8828274</v>
      </c>
      <c r="AC507" s="15">
        <v>10428274</v>
      </c>
      <c r="AD507" s="15">
        <v>9730779</v>
      </c>
      <c r="AE507" s="15">
        <v>5421453</v>
      </c>
      <c r="AF507" s="15">
        <v>4919238</v>
      </c>
      <c r="AG507" s="15">
        <v>5211401</v>
      </c>
      <c r="AH507" s="4">
        <v>4</v>
      </c>
      <c r="AI507" s="6">
        <v>4</v>
      </c>
    </row>
    <row r="508" spans="1:35" x14ac:dyDescent="0.25">
      <c r="A508" s="5" t="str">
        <f>"560603"</f>
        <v>560603</v>
      </c>
      <c r="B508" s="3" t="s">
        <v>482</v>
      </c>
      <c r="C508" s="15">
        <v>12633899</v>
      </c>
      <c r="D508" s="15">
        <v>12694193</v>
      </c>
      <c r="E508" s="4">
        <v>0.48</v>
      </c>
      <c r="F508" s="15">
        <v>5803576</v>
      </c>
      <c r="G508" s="15">
        <v>5855808</v>
      </c>
      <c r="H508" s="15"/>
      <c r="I508" s="15"/>
      <c r="J508" s="15"/>
      <c r="K508" s="15"/>
      <c r="L508" s="15"/>
      <c r="M508" s="15"/>
      <c r="N508" s="15">
        <v>5803576</v>
      </c>
      <c r="O508" s="15">
        <v>5855808</v>
      </c>
      <c r="P508" s="4">
        <v>0.9</v>
      </c>
      <c r="Q508" s="15">
        <v>0</v>
      </c>
      <c r="R508" s="15">
        <v>0</v>
      </c>
      <c r="S508" s="15">
        <v>5883220</v>
      </c>
      <c r="T508" s="15">
        <v>6016741</v>
      </c>
      <c r="U508" s="15">
        <v>5803576</v>
      </c>
      <c r="V508" s="15">
        <v>5855808</v>
      </c>
      <c r="W508" s="15">
        <v>79644</v>
      </c>
      <c r="X508" s="15">
        <v>160933</v>
      </c>
      <c r="Y508" s="4">
        <v>425</v>
      </c>
      <c r="Z508" s="4">
        <v>425</v>
      </c>
      <c r="AA508" s="4">
        <v>0</v>
      </c>
      <c r="AB508" s="15">
        <v>5246296</v>
      </c>
      <c r="AC508" s="15">
        <v>5300000</v>
      </c>
      <c r="AD508" s="15">
        <v>26281</v>
      </c>
      <c r="AE508" s="15">
        <v>30000</v>
      </c>
      <c r="AF508" s="15">
        <v>505356</v>
      </c>
      <c r="AG508" s="15">
        <v>507768</v>
      </c>
      <c r="AH508" s="4">
        <v>4</v>
      </c>
      <c r="AI508" s="6">
        <v>4</v>
      </c>
    </row>
    <row r="509" spans="1:35" x14ac:dyDescent="0.25">
      <c r="A509" s="5" t="str">
        <f>"620901"</f>
        <v>620901</v>
      </c>
      <c r="B509" s="3" t="s">
        <v>587</v>
      </c>
      <c r="C509" s="15">
        <v>66994479</v>
      </c>
      <c r="D509" s="15">
        <v>71481896</v>
      </c>
      <c r="E509" s="4">
        <v>6.7</v>
      </c>
      <c r="F509" s="15">
        <v>40165552</v>
      </c>
      <c r="G509" s="15">
        <v>42327556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40165552</v>
      </c>
      <c r="O509" s="15">
        <v>42327556</v>
      </c>
      <c r="P509" s="4">
        <v>5.38</v>
      </c>
      <c r="Q509" s="15">
        <v>1866596</v>
      </c>
      <c r="R509" s="15">
        <v>2750011</v>
      </c>
      <c r="S509" s="15">
        <v>38298956</v>
      </c>
      <c r="T509" s="15">
        <v>39577545</v>
      </c>
      <c r="U509" s="15">
        <v>38298956</v>
      </c>
      <c r="V509" s="15">
        <v>39577545</v>
      </c>
      <c r="W509" s="15">
        <v>0</v>
      </c>
      <c r="X509" s="15">
        <v>0</v>
      </c>
      <c r="Y509" s="4">
        <v>1761</v>
      </c>
      <c r="Z509" s="4">
        <v>1729</v>
      </c>
      <c r="AA509" s="4">
        <v>-1.82</v>
      </c>
      <c r="AB509" s="15">
        <v>6636782</v>
      </c>
      <c r="AC509" s="15">
        <v>9506272</v>
      </c>
      <c r="AD509" s="15">
        <v>1081431</v>
      </c>
      <c r="AE509" s="15">
        <v>2404403</v>
      </c>
      <c r="AF509" s="15">
        <v>6214200</v>
      </c>
      <c r="AG509" s="15">
        <v>2861875</v>
      </c>
      <c r="AH509" s="4">
        <v>9.2799999999999994</v>
      </c>
      <c r="AI509" s="6">
        <v>4</v>
      </c>
    </row>
    <row r="510" spans="1:35" x14ac:dyDescent="0.25">
      <c r="A510" s="5" t="str">
        <f>"280208"</f>
        <v>280208</v>
      </c>
      <c r="B510" s="3" t="s">
        <v>272</v>
      </c>
      <c r="C510" s="15">
        <v>110981941</v>
      </c>
      <c r="D510" s="15">
        <v>123222068</v>
      </c>
      <c r="E510" s="4">
        <v>11.03</v>
      </c>
      <c r="F510" s="15">
        <v>23448002</v>
      </c>
      <c r="G510" s="15">
        <v>23682482</v>
      </c>
      <c r="H510" s="15"/>
      <c r="I510" s="15"/>
      <c r="J510" s="15"/>
      <c r="K510" s="15"/>
      <c r="L510" s="15"/>
      <c r="M510" s="15"/>
      <c r="N510" s="15">
        <v>23448002</v>
      </c>
      <c r="O510" s="15">
        <v>23682482</v>
      </c>
      <c r="P510" s="4">
        <v>1</v>
      </c>
      <c r="Q510" s="15">
        <v>0</v>
      </c>
      <c r="R510" s="15">
        <v>0</v>
      </c>
      <c r="S510" s="15">
        <v>23874278</v>
      </c>
      <c r="T510" s="15">
        <v>24343168</v>
      </c>
      <c r="U510" s="15">
        <v>23448002</v>
      </c>
      <c r="V510" s="15">
        <v>23682482</v>
      </c>
      <c r="W510" s="15">
        <v>426276</v>
      </c>
      <c r="X510" s="15">
        <v>660686</v>
      </c>
      <c r="Y510" s="4">
        <v>3352</v>
      </c>
      <c r="Z510" s="4">
        <v>3408</v>
      </c>
      <c r="AA510" s="4">
        <v>1.67</v>
      </c>
      <c r="AB510" s="15">
        <v>22596452</v>
      </c>
      <c r="AC510" s="15">
        <v>23115462</v>
      </c>
      <c r="AD510" s="15">
        <v>28583</v>
      </c>
      <c r="AE510" s="15">
        <v>28583</v>
      </c>
      <c r="AF510" s="15">
        <v>4409873</v>
      </c>
      <c r="AG510" s="15">
        <v>4928883</v>
      </c>
      <c r="AH510" s="4">
        <v>3.97</v>
      </c>
      <c r="AI510" s="6">
        <v>4</v>
      </c>
    </row>
    <row r="511" spans="1:35" x14ac:dyDescent="0.25">
      <c r="A511" s="5" t="str">
        <f>"591301"</f>
        <v>591301</v>
      </c>
      <c r="B511" s="3" t="s">
        <v>569</v>
      </c>
      <c r="C511" s="15">
        <v>9913365</v>
      </c>
      <c r="D511" s="15">
        <v>10251869</v>
      </c>
      <c r="E511" s="4">
        <v>3.41</v>
      </c>
      <c r="F511" s="15">
        <v>5575273</v>
      </c>
      <c r="G511" s="15">
        <v>5511505</v>
      </c>
      <c r="H511" s="15"/>
      <c r="I511" s="15"/>
      <c r="J511" s="15"/>
      <c r="K511" s="15"/>
      <c r="L511" s="15"/>
      <c r="M511" s="15"/>
      <c r="N511" s="15">
        <v>5575273</v>
      </c>
      <c r="O511" s="15">
        <v>5511505</v>
      </c>
      <c r="P511" s="4">
        <v>-1.1399999999999999</v>
      </c>
      <c r="Q511" s="15">
        <v>190322</v>
      </c>
      <c r="R511" s="15">
        <v>0</v>
      </c>
      <c r="S511" s="15">
        <v>5384951</v>
      </c>
      <c r="T511" s="15">
        <v>5511505</v>
      </c>
      <c r="U511" s="15">
        <v>5384951</v>
      </c>
      <c r="V511" s="15">
        <v>5511505</v>
      </c>
      <c r="W511" s="15">
        <v>0</v>
      </c>
      <c r="X511" s="15">
        <v>0</v>
      </c>
      <c r="Y511" s="4">
        <v>255</v>
      </c>
      <c r="Z511" s="4">
        <v>255</v>
      </c>
      <c r="AA511" s="4">
        <v>0</v>
      </c>
      <c r="AB511" s="15">
        <v>1604746</v>
      </c>
      <c r="AC511" s="15">
        <v>1457084</v>
      </c>
      <c r="AD511" s="15">
        <v>444207</v>
      </c>
      <c r="AE511" s="15">
        <v>444207</v>
      </c>
      <c r="AF511" s="15">
        <v>857545</v>
      </c>
      <c r="AG511" s="15">
        <v>439206</v>
      </c>
      <c r="AH511" s="4">
        <v>8.65</v>
      </c>
      <c r="AI511" s="6">
        <v>4.28</v>
      </c>
    </row>
    <row r="512" spans="1:35" x14ac:dyDescent="0.25">
      <c r="A512" s="5" t="str">
        <f>"280403"</f>
        <v>280403</v>
      </c>
      <c r="B512" s="3" t="s">
        <v>298</v>
      </c>
      <c r="C512" s="15">
        <v>118663250</v>
      </c>
      <c r="D512" s="15">
        <v>122145193</v>
      </c>
      <c r="E512" s="4">
        <v>2.93</v>
      </c>
      <c r="F512" s="15">
        <v>98696329</v>
      </c>
      <c r="G512" s="15">
        <v>101148675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98696329</v>
      </c>
      <c r="O512" s="15">
        <v>101148675</v>
      </c>
      <c r="P512" s="4">
        <v>2.48</v>
      </c>
      <c r="Q512" s="15">
        <v>3995411</v>
      </c>
      <c r="R512" s="15">
        <v>3659811</v>
      </c>
      <c r="S512" s="15">
        <v>95160755</v>
      </c>
      <c r="T512" s="15">
        <v>98683373</v>
      </c>
      <c r="U512" s="15">
        <v>94700918</v>
      </c>
      <c r="V512" s="15">
        <v>97488864</v>
      </c>
      <c r="W512" s="15">
        <v>459837</v>
      </c>
      <c r="X512" s="15">
        <v>1194509</v>
      </c>
      <c r="Y512" s="4">
        <v>3197</v>
      </c>
      <c r="Z512" s="4">
        <v>3315</v>
      </c>
      <c r="AA512" s="4">
        <v>3.69</v>
      </c>
      <c r="AB512" s="15">
        <v>27908325</v>
      </c>
      <c r="AC512" s="15">
        <v>28000000</v>
      </c>
      <c r="AD512" s="15">
        <v>700000</v>
      </c>
      <c r="AE512" s="15">
        <v>700000</v>
      </c>
      <c r="AF512" s="15">
        <v>4723771</v>
      </c>
      <c r="AG512" s="15">
        <v>4850000</v>
      </c>
      <c r="AH512" s="4">
        <v>3.98</v>
      </c>
      <c r="AI512" s="6">
        <v>3.97</v>
      </c>
    </row>
    <row r="513" spans="1:35" x14ac:dyDescent="0.25">
      <c r="A513" s="5" t="str">
        <f>"530515"</f>
        <v>530515</v>
      </c>
      <c r="B513" s="3" t="s">
        <v>471</v>
      </c>
      <c r="C513" s="15">
        <v>56500000</v>
      </c>
      <c r="D513" s="15">
        <v>60200000</v>
      </c>
      <c r="E513" s="4">
        <v>6.55</v>
      </c>
      <c r="F513" s="15">
        <v>29504523</v>
      </c>
      <c r="G513" s="15">
        <v>30313796</v>
      </c>
      <c r="H513" s="15"/>
      <c r="I513" s="15"/>
      <c r="J513" s="15"/>
      <c r="K513" s="15"/>
      <c r="L513" s="15"/>
      <c r="M513" s="15"/>
      <c r="N513" s="15">
        <v>29504523</v>
      </c>
      <c r="O513" s="15">
        <v>30313796</v>
      </c>
      <c r="P513" s="4">
        <v>2.74</v>
      </c>
      <c r="Q513" s="15">
        <v>1390839</v>
      </c>
      <c r="R513" s="15">
        <v>1527503</v>
      </c>
      <c r="S513" s="15">
        <v>28113684</v>
      </c>
      <c r="T513" s="15">
        <v>28786293</v>
      </c>
      <c r="U513" s="15">
        <v>28113684</v>
      </c>
      <c r="V513" s="15">
        <v>28786293</v>
      </c>
      <c r="W513" s="15">
        <v>0</v>
      </c>
      <c r="X513" s="15">
        <v>0</v>
      </c>
      <c r="Y513" s="4">
        <v>2742</v>
      </c>
      <c r="Z513" s="4">
        <v>2750</v>
      </c>
      <c r="AA513" s="4">
        <v>0.28999999999999998</v>
      </c>
      <c r="AB513" s="15">
        <v>2973327</v>
      </c>
      <c r="AC513" s="15">
        <v>3600000</v>
      </c>
      <c r="AD513" s="15">
        <v>1200000</v>
      </c>
      <c r="AE513" s="15">
        <v>1250000</v>
      </c>
      <c r="AF513" s="15">
        <v>2260000</v>
      </c>
      <c r="AG513" s="15">
        <v>2408000</v>
      </c>
      <c r="AH513" s="4">
        <v>4</v>
      </c>
      <c r="AI513" s="6">
        <v>4</v>
      </c>
    </row>
    <row r="514" spans="1:35" x14ac:dyDescent="0.25">
      <c r="A514" s="5" t="str">
        <f>"121502"</f>
        <v>121502</v>
      </c>
      <c r="B514" s="3" t="s">
        <v>110</v>
      </c>
      <c r="C514" s="15">
        <v>10209166</v>
      </c>
      <c r="D514" s="15">
        <v>10214367</v>
      </c>
      <c r="E514" s="4">
        <v>0.05</v>
      </c>
      <c r="F514" s="15">
        <v>5969847</v>
      </c>
      <c r="G514" s="15">
        <v>5910313</v>
      </c>
      <c r="H514" s="15"/>
      <c r="I514" s="15"/>
      <c r="J514" s="15"/>
      <c r="K514" s="15"/>
      <c r="L514" s="15"/>
      <c r="M514" s="15"/>
      <c r="N514" s="15">
        <v>5969847</v>
      </c>
      <c r="O514" s="15">
        <v>5910313</v>
      </c>
      <c r="P514" s="4">
        <v>-1</v>
      </c>
      <c r="Q514" s="15">
        <v>20198</v>
      </c>
      <c r="R514" s="15">
        <v>0</v>
      </c>
      <c r="S514" s="15">
        <v>6067946</v>
      </c>
      <c r="T514" s="15">
        <v>6195252</v>
      </c>
      <c r="U514" s="15">
        <v>5949649</v>
      </c>
      <c r="V514" s="15">
        <v>5910313</v>
      </c>
      <c r="W514" s="15">
        <v>118297</v>
      </c>
      <c r="X514" s="15">
        <v>284939</v>
      </c>
      <c r="Y514" s="4">
        <v>258</v>
      </c>
      <c r="Z514" s="4">
        <v>246</v>
      </c>
      <c r="AA514" s="4">
        <v>-4.6500000000000004</v>
      </c>
      <c r="AB514" s="15">
        <v>5095340</v>
      </c>
      <c r="AC514" s="15">
        <v>5095340</v>
      </c>
      <c r="AD514" s="15">
        <v>639228</v>
      </c>
      <c r="AE514" s="15">
        <v>639228</v>
      </c>
      <c r="AF514" s="15">
        <v>1426355</v>
      </c>
      <c r="AG514" s="15">
        <v>1426355</v>
      </c>
      <c r="AH514" s="4">
        <v>13.97</v>
      </c>
      <c r="AI514" s="6">
        <v>13.96</v>
      </c>
    </row>
    <row r="515" spans="1:35" x14ac:dyDescent="0.25">
      <c r="A515" s="5" t="str">
        <f>"401201"</f>
        <v>401201</v>
      </c>
      <c r="B515" s="3" t="s">
        <v>324</v>
      </c>
      <c r="C515" s="15">
        <v>28400987</v>
      </c>
      <c r="D515" s="15">
        <v>29263238</v>
      </c>
      <c r="E515" s="4">
        <v>3.04</v>
      </c>
      <c r="F515" s="15">
        <v>10908072</v>
      </c>
      <c r="G515" s="15">
        <v>11098964</v>
      </c>
      <c r="H515" s="15"/>
      <c r="I515" s="15"/>
      <c r="J515" s="15"/>
      <c r="K515" s="15"/>
      <c r="L515" s="15"/>
      <c r="M515" s="15"/>
      <c r="N515" s="15">
        <v>10908072</v>
      </c>
      <c r="O515" s="15">
        <v>11098964</v>
      </c>
      <c r="P515" s="4">
        <v>1.75</v>
      </c>
      <c r="Q515" s="15">
        <v>0</v>
      </c>
      <c r="R515" s="15">
        <v>0</v>
      </c>
      <c r="S515" s="15">
        <v>10927661</v>
      </c>
      <c r="T515" s="15">
        <v>11217005</v>
      </c>
      <c r="U515" s="15">
        <v>10908072</v>
      </c>
      <c r="V515" s="15">
        <v>11098964</v>
      </c>
      <c r="W515" s="15">
        <v>19589</v>
      </c>
      <c r="X515" s="15">
        <v>118041</v>
      </c>
      <c r="Y515" s="4">
        <v>1157</v>
      </c>
      <c r="Z515" s="4">
        <v>1158</v>
      </c>
      <c r="AA515" s="4">
        <v>0.09</v>
      </c>
      <c r="AB515" s="15">
        <v>11102203</v>
      </c>
      <c r="AC515" s="15">
        <v>14477917</v>
      </c>
      <c r="AD515" s="15">
        <v>1044452</v>
      </c>
      <c r="AE515" s="15">
        <v>635316</v>
      </c>
      <c r="AF515" s="15">
        <v>2543691</v>
      </c>
      <c r="AG515" s="15">
        <v>2808725</v>
      </c>
      <c r="AH515" s="4">
        <v>8.9600000000000009</v>
      </c>
      <c r="AI515" s="6">
        <v>9.6</v>
      </c>
    </row>
    <row r="516" spans="1:35" x14ac:dyDescent="0.25">
      <c r="A516" s="5" t="str">
        <f>"261701"</f>
        <v>261701</v>
      </c>
      <c r="B516" s="3" t="s">
        <v>255</v>
      </c>
      <c r="C516" s="15">
        <v>141093300</v>
      </c>
      <c r="D516" s="15">
        <v>151625968</v>
      </c>
      <c r="E516" s="4">
        <v>7.47</v>
      </c>
      <c r="F516" s="15">
        <v>84575050</v>
      </c>
      <c r="G516" s="15">
        <v>87123380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84575050</v>
      </c>
      <c r="O516" s="15">
        <v>87123380</v>
      </c>
      <c r="P516" s="4">
        <v>3.01</v>
      </c>
      <c r="Q516" s="15">
        <v>0</v>
      </c>
      <c r="R516" s="15">
        <v>0</v>
      </c>
      <c r="S516" s="15">
        <v>86613777</v>
      </c>
      <c r="T516" s="15">
        <v>88494334</v>
      </c>
      <c r="U516" s="15">
        <v>84575050</v>
      </c>
      <c r="V516" s="15">
        <v>87123380</v>
      </c>
      <c r="W516" s="15">
        <v>2038727</v>
      </c>
      <c r="X516" s="15">
        <v>1370954</v>
      </c>
      <c r="Y516" s="4">
        <v>5461</v>
      </c>
      <c r="Z516" s="4">
        <v>5389</v>
      </c>
      <c r="AA516" s="4">
        <v>-1.32</v>
      </c>
      <c r="AB516" s="15">
        <v>47525967</v>
      </c>
      <c r="AC516" s="15">
        <v>36430569</v>
      </c>
      <c r="AD516" s="15">
        <v>2600000</v>
      </c>
      <c r="AE516" s="15">
        <v>900000</v>
      </c>
      <c r="AF516" s="15">
        <v>5643732</v>
      </c>
      <c r="AG516" s="15">
        <v>6065039</v>
      </c>
      <c r="AH516" s="4">
        <v>4</v>
      </c>
      <c r="AI516" s="6">
        <v>4</v>
      </c>
    </row>
    <row r="517" spans="1:35" x14ac:dyDescent="0.25">
      <c r="A517" s="5" t="str">
        <f>"661800"</f>
        <v>661800</v>
      </c>
      <c r="B517" s="3" t="s">
        <v>655</v>
      </c>
      <c r="C517" s="15">
        <v>94237421</v>
      </c>
      <c r="D517" s="15">
        <v>99477734</v>
      </c>
      <c r="E517" s="4">
        <v>5.56</v>
      </c>
      <c r="F517" s="15">
        <v>86350947</v>
      </c>
      <c r="G517" s="15">
        <v>89778350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86350947</v>
      </c>
      <c r="O517" s="15">
        <v>89778350</v>
      </c>
      <c r="P517" s="4">
        <v>3.97</v>
      </c>
      <c r="Q517" s="15">
        <v>3895141</v>
      </c>
      <c r="R517" s="15">
        <v>5285630</v>
      </c>
      <c r="S517" s="15">
        <v>82455806</v>
      </c>
      <c r="T517" s="15">
        <v>84492720</v>
      </c>
      <c r="U517" s="15">
        <v>82455806</v>
      </c>
      <c r="V517" s="15">
        <v>84492720</v>
      </c>
      <c r="W517" s="15">
        <v>0</v>
      </c>
      <c r="X517" s="15">
        <v>0</v>
      </c>
      <c r="Y517" s="4">
        <v>2955</v>
      </c>
      <c r="Z517" s="4">
        <v>2874</v>
      </c>
      <c r="AA517" s="4">
        <v>-2.74</v>
      </c>
      <c r="AB517" s="15">
        <v>11509412</v>
      </c>
      <c r="AC517" s="15">
        <v>11000000</v>
      </c>
      <c r="AD517" s="15">
        <v>2707413</v>
      </c>
      <c r="AE517" s="15">
        <v>2549443</v>
      </c>
      <c r="AF517" s="15">
        <v>3769496</v>
      </c>
      <c r="AG517" s="15">
        <v>3979109</v>
      </c>
      <c r="AH517" s="4">
        <v>4</v>
      </c>
      <c r="AI517" s="6">
        <v>4</v>
      </c>
    </row>
    <row r="518" spans="1:35" x14ac:dyDescent="0.25">
      <c r="A518" s="5" t="str">
        <f>"661901"</f>
        <v>661901</v>
      </c>
      <c r="B518" s="3" t="s">
        <v>656</v>
      </c>
      <c r="C518" s="15">
        <v>46069994</v>
      </c>
      <c r="D518" s="15">
        <v>47570139</v>
      </c>
      <c r="E518" s="4">
        <v>3.26</v>
      </c>
      <c r="F518" s="15">
        <v>40866385</v>
      </c>
      <c r="G518" s="15">
        <v>41618836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40866385</v>
      </c>
      <c r="O518" s="15">
        <v>41618836</v>
      </c>
      <c r="P518" s="4">
        <v>1.84</v>
      </c>
      <c r="Q518" s="15">
        <v>2468516</v>
      </c>
      <c r="R518" s="15">
        <v>2282106</v>
      </c>
      <c r="S518" s="15">
        <v>38397869</v>
      </c>
      <c r="T518" s="15">
        <v>39336730</v>
      </c>
      <c r="U518" s="15">
        <v>38397869</v>
      </c>
      <c r="V518" s="15">
        <v>39336730</v>
      </c>
      <c r="W518" s="15">
        <v>0</v>
      </c>
      <c r="X518" s="15">
        <v>0</v>
      </c>
      <c r="Y518" s="4">
        <v>1512</v>
      </c>
      <c r="Z518" s="4">
        <v>1521</v>
      </c>
      <c r="AA518" s="4">
        <v>0.6</v>
      </c>
      <c r="AB518" s="15">
        <v>12617300</v>
      </c>
      <c r="AC518" s="15">
        <v>11613193</v>
      </c>
      <c r="AD518" s="15">
        <v>615000</v>
      </c>
      <c r="AE518" s="15">
        <v>575000</v>
      </c>
      <c r="AF518" s="15">
        <v>1842799</v>
      </c>
      <c r="AG518" s="15">
        <v>1902806</v>
      </c>
      <c r="AH518" s="4">
        <v>4</v>
      </c>
      <c r="AI518" s="6">
        <v>4</v>
      </c>
    </row>
    <row r="519" spans="1:35" x14ac:dyDescent="0.25">
      <c r="A519" s="5" t="str">
        <f>"580205"</f>
        <v>580205</v>
      </c>
      <c r="B519" s="3" t="s">
        <v>508</v>
      </c>
      <c r="C519" s="15">
        <v>340355897</v>
      </c>
      <c r="D519" s="15">
        <v>349999182</v>
      </c>
      <c r="E519" s="4">
        <v>2.83</v>
      </c>
      <c r="F519" s="15">
        <v>199508705</v>
      </c>
      <c r="G519" s="15">
        <v>203636064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  <c r="N519" s="15">
        <v>199508705</v>
      </c>
      <c r="O519" s="15">
        <v>203636064</v>
      </c>
      <c r="P519" s="4">
        <v>2.0699999999999998</v>
      </c>
      <c r="Q519" s="15">
        <v>11955925</v>
      </c>
      <c r="R519" s="15">
        <v>12064822</v>
      </c>
      <c r="S519" s="15">
        <v>187552780</v>
      </c>
      <c r="T519" s="15">
        <v>191571242</v>
      </c>
      <c r="U519" s="15">
        <v>187552780</v>
      </c>
      <c r="V519" s="15">
        <v>191571242</v>
      </c>
      <c r="W519" s="15">
        <v>0</v>
      </c>
      <c r="X519" s="15">
        <v>0</v>
      </c>
      <c r="Y519" s="4">
        <v>11920</v>
      </c>
      <c r="Z519" s="4">
        <v>11569</v>
      </c>
      <c r="AA519" s="4">
        <v>-2.94</v>
      </c>
      <c r="AB519" s="15">
        <v>41213257</v>
      </c>
      <c r="AC519" s="15">
        <v>40951509</v>
      </c>
      <c r="AD519" s="15">
        <v>3400000</v>
      </c>
      <c r="AE519" s="15">
        <v>6000000</v>
      </c>
      <c r="AF519" s="15">
        <v>13614236</v>
      </c>
      <c r="AG519" s="15">
        <v>13999967</v>
      </c>
      <c r="AH519" s="4">
        <v>4</v>
      </c>
      <c r="AI519" s="6">
        <v>4</v>
      </c>
    </row>
    <row r="520" spans="1:35" x14ac:dyDescent="0.25">
      <c r="A520" s="5" t="str">
        <f>"221001"</f>
        <v>221001</v>
      </c>
      <c r="B520" s="3" t="s">
        <v>214</v>
      </c>
      <c r="C520" s="15">
        <v>9438235</v>
      </c>
      <c r="D520" s="15">
        <v>9674424</v>
      </c>
      <c r="E520" s="4">
        <v>2.5</v>
      </c>
      <c r="F520" s="15">
        <v>4308165</v>
      </c>
      <c r="G520" s="15">
        <v>4355655</v>
      </c>
      <c r="H520" s="15"/>
      <c r="I520" s="15"/>
      <c r="J520" s="15"/>
      <c r="K520" s="15"/>
      <c r="L520" s="15"/>
      <c r="M520" s="15"/>
      <c r="N520" s="15">
        <v>4308165</v>
      </c>
      <c r="O520" s="15">
        <v>4355655</v>
      </c>
      <c r="P520" s="4">
        <v>1.1000000000000001</v>
      </c>
      <c r="Q520" s="15">
        <v>193638</v>
      </c>
      <c r="R520" s="15">
        <v>130609</v>
      </c>
      <c r="S520" s="15">
        <v>4117354</v>
      </c>
      <c r="T520" s="15">
        <v>4225046</v>
      </c>
      <c r="U520" s="15">
        <v>4114527</v>
      </c>
      <c r="V520" s="15">
        <v>4225046</v>
      </c>
      <c r="W520" s="15">
        <v>2827</v>
      </c>
      <c r="X520" s="15">
        <v>0</v>
      </c>
      <c r="Y520" s="4">
        <v>392</v>
      </c>
      <c r="Z520" s="4">
        <v>401</v>
      </c>
      <c r="AA520" s="4">
        <v>2.2999999999999998</v>
      </c>
      <c r="AB520" s="15">
        <v>1675221</v>
      </c>
      <c r="AC520" s="15">
        <v>2001060</v>
      </c>
      <c r="AD520" s="15">
        <v>385000</v>
      </c>
      <c r="AE520" s="15">
        <v>590000</v>
      </c>
      <c r="AF520" s="15">
        <v>751413</v>
      </c>
      <c r="AG520" s="15">
        <v>345724</v>
      </c>
      <c r="AH520" s="4">
        <v>7.96</v>
      </c>
      <c r="AI520" s="6">
        <v>3.57</v>
      </c>
    </row>
    <row r="521" spans="1:35" x14ac:dyDescent="0.25">
      <c r="A521" s="5" t="str">
        <f>"580305"</f>
        <v>580305</v>
      </c>
      <c r="B521" s="3" t="s">
        <v>524</v>
      </c>
      <c r="C521" s="15">
        <v>44871539</v>
      </c>
      <c r="D521" s="15">
        <v>45993327</v>
      </c>
      <c r="E521" s="4">
        <v>2.5</v>
      </c>
      <c r="F521" s="15">
        <v>40325730</v>
      </c>
      <c r="G521" s="15">
        <v>41333873</v>
      </c>
      <c r="H521" s="15"/>
      <c r="I521" s="15"/>
      <c r="J521" s="15"/>
      <c r="K521" s="15"/>
      <c r="L521" s="15"/>
      <c r="M521" s="15"/>
      <c r="N521" s="15">
        <v>40325730</v>
      </c>
      <c r="O521" s="15">
        <v>41333873</v>
      </c>
      <c r="P521" s="4">
        <v>2.5</v>
      </c>
      <c r="Q521" s="15">
        <v>1684360</v>
      </c>
      <c r="R521" s="15">
        <v>1368248</v>
      </c>
      <c r="S521" s="15">
        <v>38646606</v>
      </c>
      <c r="T521" s="15">
        <v>40060060</v>
      </c>
      <c r="U521" s="15">
        <v>38641370</v>
      </c>
      <c r="V521" s="15">
        <v>39965625</v>
      </c>
      <c r="W521" s="15">
        <v>5236</v>
      </c>
      <c r="X521" s="15">
        <v>94435</v>
      </c>
      <c r="Y521" s="4">
        <v>954</v>
      </c>
      <c r="Z521" s="4">
        <v>950</v>
      </c>
      <c r="AA521" s="4">
        <v>-0.42</v>
      </c>
      <c r="AB521" s="15">
        <v>15652020</v>
      </c>
      <c r="AC521" s="15">
        <v>17524578</v>
      </c>
      <c r="AD521" s="15">
        <v>981045</v>
      </c>
      <c r="AE521" s="15">
        <v>529455</v>
      </c>
      <c r="AF521" s="15">
        <v>1794839</v>
      </c>
      <c r="AG521" s="15">
        <v>1839733</v>
      </c>
      <c r="AH521" s="4">
        <v>4</v>
      </c>
      <c r="AI521" s="6">
        <v>4</v>
      </c>
    </row>
    <row r="522" spans="1:35" x14ac:dyDescent="0.25">
      <c r="A522" s="5" t="str">
        <f>"580910"</f>
        <v>580910</v>
      </c>
      <c r="B522" s="3" t="s">
        <v>556</v>
      </c>
      <c r="C522" s="15">
        <v>1732664</v>
      </c>
      <c r="D522" s="15">
        <v>1871748</v>
      </c>
      <c r="E522" s="4">
        <v>8.0299999999999994</v>
      </c>
      <c r="F522" s="15">
        <v>1400589</v>
      </c>
      <c r="G522" s="15">
        <v>1640398</v>
      </c>
      <c r="H522" s="15">
        <v>0</v>
      </c>
      <c r="I522" s="15"/>
      <c r="J522" s="15">
        <v>0</v>
      </c>
      <c r="K522" s="15"/>
      <c r="L522" s="15">
        <v>0</v>
      </c>
      <c r="M522" s="15"/>
      <c r="N522" s="15">
        <v>1400589</v>
      </c>
      <c r="O522" s="15">
        <v>1640398</v>
      </c>
      <c r="P522" s="4">
        <v>17.12</v>
      </c>
      <c r="Q522" s="15">
        <v>12822</v>
      </c>
      <c r="R522" s="15">
        <v>13865</v>
      </c>
      <c r="S522" s="15">
        <v>1298760</v>
      </c>
      <c r="T522" s="15">
        <v>1441398</v>
      </c>
      <c r="U522" s="15">
        <v>1387767</v>
      </c>
      <c r="V522" s="15">
        <v>1626533</v>
      </c>
      <c r="W522" s="15">
        <v>-89007</v>
      </c>
      <c r="X522" s="15">
        <v>-185135</v>
      </c>
      <c r="Y522" s="4">
        <v>37</v>
      </c>
      <c r="Z522" s="4">
        <v>37</v>
      </c>
      <c r="AA522" s="4">
        <v>0</v>
      </c>
      <c r="AB522" s="15">
        <v>485050</v>
      </c>
      <c r="AC522" s="15">
        <v>494751</v>
      </c>
      <c r="AD522" s="15">
        <v>300000</v>
      </c>
      <c r="AE522" s="15">
        <v>200000</v>
      </c>
      <c r="AF522" s="15">
        <v>552520</v>
      </c>
      <c r="AG522" s="15">
        <v>475520</v>
      </c>
      <c r="AH522" s="4">
        <v>31.89</v>
      </c>
      <c r="AI522" s="6">
        <v>25.41</v>
      </c>
    </row>
    <row r="523" spans="1:35" x14ac:dyDescent="0.25">
      <c r="A523" s="5" t="str">
        <f>"043200"</f>
        <v>043200</v>
      </c>
      <c r="B523" s="3" t="s">
        <v>46</v>
      </c>
      <c r="C523" s="15">
        <v>47718272</v>
      </c>
      <c r="D523" s="15">
        <v>47434191</v>
      </c>
      <c r="E523" s="4">
        <v>-0.6</v>
      </c>
      <c r="F523" s="15">
        <v>250000</v>
      </c>
      <c r="G523" s="15">
        <v>250000</v>
      </c>
      <c r="H523" s="15"/>
      <c r="I523" s="15"/>
      <c r="J523" s="15"/>
      <c r="K523" s="15"/>
      <c r="L523" s="15"/>
      <c r="M523" s="15"/>
      <c r="N523" s="15">
        <v>250000</v>
      </c>
      <c r="O523" s="15">
        <v>250000</v>
      </c>
      <c r="P523" s="4">
        <v>0</v>
      </c>
      <c r="Q523" s="15">
        <v>1005143</v>
      </c>
      <c r="R523" s="15">
        <v>1027975</v>
      </c>
      <c r="S523" s="15">
        <v>-207364</v>
      </c>
      <c r="T523" s="15">
        <v>-769505</v>
      </c>
      <c r="U523" s="15">
        <v>-755143</v>
      </c>
      <c r="V523" s="15">
        <v>-777975</v>
      </c>
      <c r="W523" s="15">
        <v>547779</v>
      </c>
      <c r="X523" s="15">
        <v>8470</v>
      </c>
      <c r="Y523" s="4">
        <v>1401</v>
      </c>
      <c r="Z523" s="4">
        <v>1412</v>
      </c>
      <c r="AA523" s="4">
        <v>0.79</v>
      </c>
      <c r="AB523" s="15">
        <v>5132783</v>
      </c>
      <c r="AC523" s="15">
        <v>6063250</v>
      </c>
      <c r="AD523" s="15">
        <v>3366402</v>
      </c>
      <c r="AE523" s="15">
        <v>3500000</v>
      </c>
      <c r="AF523" s="15">
        <v>25034648</v>
      </c>
      <c r="AG523" s="15">
        <v>27618477</v>
      </c>
      <c r="AH523" s="4">
        <v>52.46</v>
      </c>
      <c r="AI523" s="6">
        <v>58.22</v>
      </c>
    </row>
    <row r="524" spans="1:35" x14ac:dyDescent="0.25">
      <c r="A524" s="5" t="str">
        <f>"641501"</f>
        <v>641501</v>
      </c>
      <c r="B524" s="3" t="s">
        <v>611</v>
      </c>
      <c r="C524" s="15">
        <v>15631195</v>
      </c>
      <c r="D524" s="15">
        <v>15702992</v>
      </c>
      <c r="E524" s="4">
        <v>0.46</v>
      </c>
      <c r="F524" s="15">
        <v>5223841</v>
      </c>
      <c r="G524" s="15">
        <v>5323518</v>
      </c>
      <c r="H524" s="15">
        <v>0</v>
      </c>
      <c r="I524" s="15">
        <v>0</v>
      </c>
      <c r="J524" s="15"/>
      <c r="K524" s="15"/>
      <c r="L524" s="15">
        <v>0</v>
      </c>
      <c r="M524" s="15">
        <v>228354</v>
      </c>
      <c r="N524" s="15">
        <v>5223841</v>
      </c>
      <c r="O524" s="15">
        <v>5095164</v>
      </c>
      <c r="P524" s="4">
        <v>-2.46</v>
      </c>
      <c r="Q524" s="15">
        <v>231841</v>
      </c>
      <c r="R524" s="15">
        <v>479697</v>
      </c>
      <c r="S524" s="15">
        <v>4991847</v>
      </c>
      <c r="T524" s="15">
        <v>4843821</v>
      </c>
      <c r="U524" s="15">
        <v>4992000</v>
      </c>
      <c r="V524" s="15">
        <v>4843821</v>
      </c>
      <c r="W524" s="15">
        <v>-153</v>
      </c>
      <c r="X524" s="15">
        <v>0</v>
      </c>
      <c r="Y524" s="4">
        <v>560</v>
      </c>
      <c r="Z524" s="4">
        <v>560</v>
      </c>
      <c r="AA524" s="4">
        <v>0</v>
      </c>
      <c r="AB524" s="15">
        <v>2002422</v>
      </c>
      <c r="AC524" s="15">
        <v>2002422</v>
      </c>
      <c r="AD524" s="15">
        <v>1145059</v>
      </c>
      <c r="AE524" s="15">
        <v>92500</v>
      </c>
      <c r="AF524" s="15">
        <v>625248</v>
      </c>
      <c r="AG524" s="15">
        <v>628120</v>
      </c>
      <c r="AH524" s="4">
        <v>4</v>
      </c>
      <c r="AI524" s="6">
        <v>4</v>
      </c>
    </row>
    <row r="525" spans="1:35" x14ac:dyDescent="0.25">
      <c r="A525" s="5" t="str">
        <f>"161201"</f>
        <v>161201</v>
      </c>
      <c r="B525" s="3" t="s">
        <v>167</v>
      </c>
      <c r="C525" s="15">
        <v>34339754</v>
      </c>
      <c r="D525" s="15">
        <v>33625827</v>
      </c>
      <c r="E525" s="4">
        <v>-2.08</v>
      </c>
      <c r="F525" s="15">
        <v>1957568</v>
      </c>
      <c r="G525" s="15">
        <v>1957568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1957568</v>
      </c>
      <c r="O525" s="15">
        <v>1957568</v>
      </c>
      <c r="P525" s="4">
        <v>0</v>
      </c>
      <c r="Q525" s="15">
        <v>155127</v>
      </c>
      <c r="R525" s="15">
        <v>388544</v>
      </c>
      <c r="S525" s="15">
        <v>1802441</v>
      </c>
      <c r="T525" s="15">
        <v>1569024</v>
      </c>
      <c r="U525" s="15">
        <v>1802441</v>
      </c>
      <c r="V525" s="15">
        <v>1569024</v>
      </c>
      <c r="W525" s="15">
        <v>0</v>
      </c>
      <c r="X525" s="15">
        <v>0</v>
      </c>
      <c r="Y525" s="4">
        <v>1389</v>
      </c>
      <c r="Z525" s="4">
        <v>1387</v>
      </c>
      <c r="AA525" s="4">
        <v>-0.14000000000000001</v>
      </c>
      <c r="AB525" s="15">
        <v>6672105</v>
      </c>
      <c r="AC525" s="15">
        <v>6672105</v>
      </c>
      <c r="AD525" s="15">
        <v>557591</v>
      </c>
      <c r="AE525" s="15">
        <v>1094585</v>
      </c>
      <c r="AF525" s="15">
        <v>9750000</v>
      </c>
      <c r="AG525" s="15">
        <v>9500000</v>
      </c>
      <c r="AH525" s="4">
        <v>28.39</v>
      </c>
      <c r="AI525" s="6">
        <v>28.25</v>
      </c>
    </row>
    <row r="526" spans="1:35" x14ac:dyDescent="0.25">
      <c r="A526" s="5" t="str">
        <f>"461901"</f>
        <v>461901</v>
      </c>
      <c r="B526" s="3" t="s">
        <v>397</v>
      </c>
      <c r="C526" s="15">
        <v>24416606</v>
      </c>
      <c r="D526" s="15">
        <v>25283238</v>
      </c>
      <c r="E526" s="4">
        <v>3.55</v>
      </c>
      <c r="F526" s="15">
        <v>6866782</v>
      </c>
      <c r="G526" s="15">
        <v>7038347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6866782</v>
      </c>
      <c r="O526" s="15">
        <v>7038347</v>
      </c>
      <c r="P526" s="4">
        <v>2.5</v>
      </c>
      <c r="Q526" s="15">
        <v>571249</v>
      </c>
      <c r="R526" s="15">
        <v>393322</v>
      </c>
      <c r="S526" s="15">
        <v>6473460</v>
      </c>
      <c r="T526" s="15">
        <v>6717413</v>
      </c>
      <c r="U526" s="15">
        <v>6295533</v>
      </c>
      <c r="V526" s="15">
        <v>6645025</v>
      </c>
      <c r="W526" s="15">
        <v>177927</v>
      </c>
      <c r="X526" s="15">
        <v>72388</v>
      </c>
      <c r="Y526" s="4">
        <v>738</v>
      </c>
      <c r="Z526" s="4">
        <v>762</v>
      </c>
      <c r="AA526" s="4">
        <v>3.25</v>
      </c>
      <c r="AB526" s="15">
        <v>3997125</v>
      </c>
      <c r="AC526" s="15">
        <v>3813000</v>
      </c>
      <c r="AD526" s="15">
        <v>1232277</v>
      </c>
      <c r="AE526" s="15">
        <v>1846000</v>
      </c>
      <c r="AF526" s="15">
        <v>2734773</v>
      </c>
      <c r="AG526" s="15">
        <v>1935879</v>
      </c>
      <c r="AH526" s="4">
        <v>11.2</v>
      </c>
      <c r="AI526" s="6">
        <v>7.66</v>
      </c>
    </row>
    <row r="527" spans="1:35" x14ac:dyDescent="0.25">
      <c r="A527" s="5" t="str">
        <f>"091402"</f>
        <v>091402</v>
      </c>
      <c r="B527" s="3" t="s">
        <v>91</v>
      </c>
      <c r="C527" s="15">
        <v>37280686</v>
      </c>
      <c r="D527" s="15">
        <v>40303794</v>
      </c>
      <c r="E527" s="4">
        <v>8.11</v>
      </c>
      <c r="F527" s="15">
        <v>14142442</v>
      </c>
      <c r="G527" s="15">
        <v>14529153</v>
      </c>
      <c r="H527" s="15">
        <v>0</v>
      </c>
      <c r="I527" s="15">
        <v>0</v>
      </c>
      <c r="J527" s="15">
        <v>0</v>
      </c>
      <c r="K527" s="15">
        <v>0</v>
      </c>
      <c r="L527" s="15">
        <v>0</v>
      </c>
      <c r="M527" s="15">
        <v>0</v>
      </c>
      <c r="N527" s="15">
        <v>14142442</v>
      </c>
      <c r="O527" s="15">
        <v>14529153</v>
      </c>
      <c r="P527" s="4">
        <v>2.73</v>
      </c>
      <c r="Q527" s="15">
        <v>0</v>
      </c>
      <c r="R527" s="15">
        <v>0</v>
      </c>
      <c r="S527" s="15">
        <v>14142442</v>
      </c>
      <c r="T527" s="15">
        <v>14529153</v>
      </c>
      <c r="U527" s="15">
        <v>14142442</v>
      </c>
      <c r="V527" s="15">
        <v>14529153</v>
      </c>
      <c r="W527" s="15">
        <v>0</v>
      </c>
      <c r="X527" s="15">
        <v>0</v>
      </c>
      <c r="Y527" s="4">
        <v>1499</v>
      </c>
      <c r="Z527" s="4">
        <v>1505</v>
      </c>
      <c r="AA527" s="4">
        <v>0.4</v>
      </c>
      <c r="AB527" s="15">
        <v>2765163</v>
      </c>
      <c r="AC527" s="15">
        <v>3015958</v>
      </c>
      <c r="AD527" s="15">
        <v>1264400</v>
      </c>
      <c r="AE527" s="15">
        <v>2570036</v>
      </c>
      <c r="AF527" s="15">
        <v>7888483</v>
      </c>
      <c r="AG527" s="15">
        <v>5552038</v>
      </c>
      <c r="AH527" s="4">
        <v>21.16</v>
      </c>
      <c r="AI527" s="6">
        <v>13.78</v>
      </c>
    </row>
    <row r="528" spans="1:35" x14ac:dyDescent="0.25">
      <c r="A528" s="5" t="str">
        <f>"161401"</f>
        <v>161401</v>
      </c>
      <c r="B528" s="3" t="s">
        <v>168</v>
      </c>
      <c r="C528" s="15">
        <v>33700000</v>
      </c>
      <c r="D528" s="15">
        <v>34600000</v>
      </c>
      <c r="E528" s="4">
        <v>2.67</v>
      </c>
      <c r="F528" s="15">
        <v>22710715</v>
      </c>
      <c r="G528" s="15">
        <v>23264920</v>
      </c>
      <c r="H528" s="15"/>
      <c r="I528" s="15"/>
      <c r="J528" s="15"/>
      <c r="K528" s="15"/>
      <c r="L528" s="15"/>
      <c r="M528" s="15"/>
      <c r="N528" s="15">
        <v>22710715</v>
      </c>
      <c r="O528" s="15">
        <v>23264920</v>
      </c>
      <c r="P528" s="4">
        <v>2.44</v>
      </c>
      <c r="Q528" s="15">
        <v>738344</v>
      </c>
      <c r="R528" s="15">
        <v>710975</v>
      </c>
      <c r="S528" s="15">
        <v>21972371</v>
      </c>
      <c r="T528" s="15">
        <v>22553945</v>
      </c>
      <c r="U528" s="15">
        <v>21972371</v>
      </c>
      <c r="V528" s="15">
        <v>22553945</v>
      </c>
      <c r="W528" s="15">
        <v>0</v>
      </c>
      <c r="X528" s="15">
        <v>0</v>
      </c>
      <c r="Y528" s="4">
        <v>1099</v>
      </c>
      <c r="Z528" s="4">
        <v>1080</v>
      </c>
      <c r="AA528" s="4">
        <v>-1.73</v>
      </c>
      <c r="AB528" s="15">
        <v>4257134</v>
      </c>
      <c r="AC528" s="15">
        <v>4751442</v>
      </c>
      <c r="AD528" s="15">
        <v>1316151</v>
      </c>
      <c r="AE528" s="15">
        <v>1580872</v>
      </c>
      <c r="AF528" s="15">
        <v>5455619</v>
      </c>
      <c r="AG528" s="15">
        <v>5659747</v>
      </c>
      <c r="AH528" s="4">
        <v>16.190000000000001</v>
      </c>
      <c r="AI528" s="6">
        <v>16.36</v>
      </c>
    </row>
    <row r="529" spans="1:35" x14ac:dyDescent="0.25">
      <c r="A529" s="5" t="str">
        <f>"521800"</f>
        <v>521800</v>
      </c>
      <c r="B529" s="3" t="s">
        <v>464</v>
      </c>
      <c r="C529" s="15">
        <v>134623813</v>
      </c>
      <c r="D529" s="15">
        <v>137138255</v>
      </c>
      <c r="E529" s="4">
        <v>1.87</v>
      </c>
      <c r="F529" s="15">
        <v>91038189</v>
      </c>
      <c r="G529" s="15">
        <v>93678296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  <c r="N529" s="15">
        <v>91038189</v>
      </c>
      <c r="O529" s="15">
        <v>93678296</v>
      </c>
      <c r="P529" s="4">
        <v>2.9</v>
      </c>
      <c r="Q529" s="15">
        <v>5506083</v>
      </c>
      <c r="R529" s="15">
        <v>5832036</v>
      </c>
      <c r="S529" s="15">
        <v>85549898</v>
      </c>
      <c r="T529" s="15">
        <v>87875904</v>
      </c>
      <c r="U529" s="15">
        <v>85532106</v>
      </c>
      <c r="V529" s="15">
        <v>87846260</v>
      </c>
      <c r="W529" s="15">
        <v>17792</v>
      </c>
      <c r="X529" s="15">
        <v>29644</v>
      </c>
      <c r="Y529" s="4">
        <v>6121</v>
      </c>
      <c r="Z529" s="4">
        <v>6087</v>
      </c>
      <c r="AA529" s="4">
        <v>-0.56000000000000005</v>
      </c>
      <c r="AB529" s="15">
        <v>17423627</v>
      </c>
      <c r="AC529" s="15">
        <v>17027700</v>
      </c>
      <c r="AD529" s="15">
        <v>6938056</v>
      </c>
      <c r="AE529" s="15">
        <v>6905110</v>
      </c>
      <c r="AF529" s="15">
        <v>8245305</v>
      </c>
      <c r="AG529" s="15">
        <v>8136328</v>
      </c>
      <c r="AH529" s="4">
        <v>6.12</v>
      </c>
      <c r="AI529" s="6">
        <v>5.93</v>
      </c>
    </row>
    <row r="530" spans="1:35" x14ac:dyDescent="0.25">
      <c r="A530" s="5" t="str">
        <f>"621601"</f>
        <v>621601</v>
      </c>
      <c r="B530" s="3" t="s">
        <v>591</v>
      </c>
      <c r="C530" s="15">
        <v>66536965</v>
      </c>
      <c r="D530" s="15">
        <v>66426716</v>
      </c>
      <c r="E530" s="4">
        <v>-0.17</v>
      </c>
      <c r="F530" s="15">
        <v>41522330</v>
      </c>
      <c r="G530" s="15">
        <v>42503847</v>
      </c>
      <c r="H530" s="15"/>
      <c r="I530" s="15"/>
      <c r="J530" s="15"/>
      <c r="K530" s="15"/>
      <c r="L530" s="15"/>
      <c r="M530" s="15"/>
      <c r="N530" s="15">
        <v>41522330</v>
      </c>
      <c r="O530" s="15">
        <v>42503847</v>
      </c>
      <c r="P530" s="4">
        <v>2.36</v>
      </c>
      <c r="Q530" s="15">
        <v>983758</v>
      </c>
      <c r="R530" s="15">
        <v>885151</v>
      </c>
      <c r="S530" s="15">
        <v>40538572</v>
      </c>
      <c r="T530" s="15">
        <v>41618696</v>
      </c>
      <c r="U530" s="15">
        <v>40538572</v>
      </c>
      <c r="V530" s="15">
        <v>41618696</v>
      </c>
      <c r="W530" s="15">
        <v>0</v>
      </c>
      <c r="X530" s="15">
        <v>0</v>
      </c>
      <c r="Y530" s="4">
        <v>2293</v>
      </c>
      <c r="Z530" s="4">
        <v>2264</v>
      </c>
      <c r="AA530" s="4">
        <v>-1.26</v>
      </c>
      <c r="AB530" s="15">
        <v>7402539</v>
      </c>
      <c r="AC530" s="15">
        <v>8481951</v>
      </c>
      <c r="AD530" s="15">
        <v>684918</v>
      </c>
      <c r="AE530" s="15">
        <v>138069</v>
      </c>
      <c r="AF530" s="15">
        <v>2661481</v>
      </c>
      <c r="AG530" s="15">
        <v>2657069</v>
      </c>
      <c r="AH530" s="4">
        <v>4</v>
      </c>
      <c r="AI530" s="6">
        <v>4</v>
      </c>
    </row>
    <row r="531" spans="1:35" x14ac:dyDescent="0.25">
      <c r="A531" s="5" t="str">
        <f>"411603"</f>
        <v>411603</v>
      </c>
      <c r="B531" s="3" t="s">
        <v>332</v>
      </c>
      <c r="C531" s="15">
        <v>24636888</v>
      </c>
      <c r="D531" s="15">
        <v>24173900</v>
      </c>
      <c r="E531" s="4">
        <v>-1.88</v>
      </c>
      <c r="F531" s="15">
        <v>8218220</v>
      </c>
      <c r="G531" s="15">
        <v>8426193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8218220</v>
      </c>
      <c r="O531" s="15">
        <v>8426193</v>
      </c>
      <c r="P531" s="4">
        <v>2.5299999999999998</v>
      </c>
      <c r="Q531" s="15">
        <v>294197</v>
      </c>
      <c r="R531" s="15">
        <v>311836</v>
      </c>
      <c r="S531" s="15">
        <v>7778040</v>
      </c>
      <c r="T531" s="15">
        <v>8114357</v>
      </c>
      <c r="U531" s="15">
        <v>7924023</v>
      </c>
      <c r="V531" s="15">
        <v>8114357</v>
      </c>
      <c r="W531" s="15">
        <v>-145983</v>
      </c>
      <c r="X531" s="15">
        <v>0</v>
      </c>
      <c r="Y531" s="4">
        <v>943</v>
      </c>
      <c r="Z531" s="4">
        <v>950</v>
      </c>
      <c r="AA531" s="4">
        <v>0.74</v>
      </c>
      <c r="AB531" s="15">
        <v>430742</v>
      </c>
      <c r="AC531" s="15">
        <v>500000</v>
      </c>
      <c r="AD531" s="15">
        <v>727080</v>
      </c>
      <c r="AE531" s="15">
        <v>727080</v>
      </c>
      <c r="AF531" s="15">
        <v>711886</v>
      </c>
      <c r="AG531" s="15">
        <v>950000</v>
      </c>
      <c r="AH531" s="4">
        <v>2.89</v>
      </c>
      <c r="AI531" s="6">
        <v>3.93</v>
      </c>
    </row>
    <row r="532" spans="1:35" x14ac:dyDescent="0.25">
      <c r="A532" s="5" t="str">
        <f>"580504"</f>
        <v>580504</v>
      </c>
      <c r="B532" s="3" t="s">
        <v>537</v>
      </c>
      <c r="C532" s="15">
        <v>96978058</v>
      </c>
      <c r="D532" s="15">
        <v>99302157</v>
      </c>
      <c r="E532" s="4">
        <v>2.4</v>
      </c>
      <c r="F532" s="15">
        <v>60837262</v>
      </c>
      <c r="G532" s="15">
        <v>61883366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60837262</v>
      </c>
      <c r="O532" s="15">
        <v>61883366</v>
      </c>
      <c r="P532" s="4">
        <v>1.72</v>
      </c>
      <c r="Q532" s="15">
        <v>2246192</v>
      </c>
      <c r="R532" s="15">
        <v>2065604</v>
      </c>
      <c r="S532" s="15">
        <v>59231327</v>
      </c>
      <c r="T532" s="15">
        <v>59817762</v>
      </c>
      <c r="U532" s="15">
        <v>58591070</v>
      </c>
      <c r="V532" s="15">
        <v>59817762</v>
      </c>
      <c r="W532" s="15">
        <v>640257</v>
      </c>
      <c r="X532" s="15">
        <v>0</v>
      </c>
      <c r="Y532" s="4">
        <v>2661</v>
      </c>
      <c r="Z532" s="4">
        <v>2598</v>
      </c>
      <c r="AA532" s="4">
        <v>-2.37</v>
      </c>
      <c r="AB532" s="15">
        <v>23595680</v>
      </c>
      <c r="AC532" s="15">
        <v>23593731</v>
      </c>
      <c r="AD532" s="15">
        <v>5486898</v>
      </c>
      <c r="AE532" s="15">
        <v>6459539</v>
      </c>
      <c r="AF532" s="15">
        <v>3878538</v>
      </c>
      <c r="AG532" s="15">
        <v>3972087</v>
      </c>
      <c r="AH532" s="4">
        <v>4</v>
      </c>
      <c r="AI532" s="6">
        <v>4</v>
      </c>
    </row>
    <row r="533" spans="1:35" x14ac:dyDescent="0.25">
      <c r="A533" s="5" t="str">
        <f>"662001"</f>
        <v>662001</v>
      </c>
      <c r="B533" s="3" t="s">
        <v>659</v>
      </c>
      <c r="C533" s="15">
        <v>166862755</v>
      </c>
      <c r="D533" s="15">
        <v>173291393</v>
      </c>
      <c r="E533" s="4">
        <v>3.85</v>
      </c>
      <c r="F533" s="15">
        <v>154374399</v>
      </c>
      <c r="G533" s="15">
        <v>159697444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154374399</v>
      </c>
      <c r="O533" s="15">
        <v>159697444</v>
      </c>
      <c r="P533" s="4">
        <v>3.45</v>
      </c>
      <c r="Q533" s="15">
        <v>8074679</v>
      </c>
      <c r="R533" s="15">
        <v>8879784</v>
      </c>
      <c r="S533" s="15">
        <v>146318786</v>
      </c>
      <c r="T533" s="15">
        <v>150892502</v>
      </c>
      <c r="U533" s="15">
        <v>146299720</v>
      </c>
      <c r="V533" s="15">
        <v>150817660</v>
      </c>
      <c r="W533" s="15">
        <v>19066</v>
      </c>
      <c r="X533" s="15">
        <v>74842</v>
      </c>
      <c r="Y533" s="4">
        <v>4717</v>
      </c>
      <c r="Z533" s="4">
        <v>4609</v>
      </c>
      <c r="AA533" s="4">
        <v>-2.29</v>
      </c>
      <c r="AB533" s="15">
        <v>16663028</v>
      </c>
      <c r="AC533" s="15">
        <v>16333029</v>
      </c>
      <c r="AD533" s="15">
        <v>2225000</v>
      </c>
      <c r="AE533" s="15">
        <v>1925000</v>
      </c>
      <c r="AF533" s="15">
        <v>6648396</v>
      </c>
      <c r="AG533" s="15">
        <v>5319229</v>
      </c>
      <c r="AH533" s="4">
        <v>3.98</v>
      </c>
      <c r="AI533" s="6">
        <v>3.07</v>
      </c>
    </row>
    <row r="534" spans="1:35" x14ac:dyDescent="0.25">
      <c r="A534" s="5" t="str">
        <f>"530501"</f>
        <v>530501</v>
      </c>
      <c r="B534" s="3" t="s">
        <v>470</v>
      </c>
      <c r="C534" s="15">
        <v>52397377</v>
      </c>
      <c r="D534" s="15">
        <v>53497990</v>
      </c>
      <c r="E534" s="4">
        <v>2.1</v>
      </c>
      <c r="F534" s="15">
        <v>29973572</v>
      </c>
      <c r="G534" s="15">
        <v>29973572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29973572</v>
      </c>
      <c r="O534" s="15">
        <v>29973572</v>
      </c>
      <c r="P534" s="4">
        <v>0</v>
      </c>
      <c r="Q534" s="15">
        <v>379048</v>
      </c>
      <c r="R534" s="15">
        <v>414693</v>
      </c>
      <c r="S534" s="15">
        <v>30288754</v>
      </c>
      <c r="T534" s="15">
        <v>30821151</v>
      </c>
      <c r="U534" s="15">
        <v>29594524</v>
      </c>
      <c r="V534" s="15">
        <v>29558879</v>
      </c>
      <c r="W534" s="15">
        <v>694230</v>
      </c>
      <c r="X534" s="15">
        <v>1262272</v>
      </c>
      <c r="Y534" s="4">
        <v>1775</v>
      </c>
      <c r="Z534" s="4">
        <v>1781</v>
      </c>
      <c r="AA534" s="4">
        <v>0.34</v>
      </c>
      <c r="AB534" s="15">
        <v>8000000</v>
      </c>
      <c r="AC534" s="15">
        <v>10000000</v>
      </c>
      <c r="AD534" s="15">
        <v>1750000</v>
      </c>
      <c r="AE534" s="15">
        <v>1750000</v>
      </c>
      <c r="AF534" s="15">
        <v>10736978</v>
      </c>
      <c r="AG534" s="15">
        <v>10736978</v>
      </c>
      <c r="AH534" s="4">
        <v>20.49</v>
      </c>
      <c r="AI534" s="6">
        <v>20.07</v>
      </c>
    </row>
    <row r="535" spans="1:35" x14ac:dyDescent="0.25">
      <c r="A535" s="5" t="str">
        <f>"530600"</f>
        <v>530600</v>
      </c>
      <c r="B535" s="3" t="s">
        <v>472</v>
      </c>
      <c r="C535" s="15">
        <v>218831636</v>
      </c>
      <c r="D535" s="15">
        <v>239167067</v>
      </c>
      <c r="E535" s="4">
        <v>9.2899999999999991</v>
      </c>
      <c r="F535" s="15">
        <v>51442923</v>
      </c>
      <c r="G535" s="15">
        <v>51442923</v>
      </c>
      <c r="H535" s="15"/>
      <c r="I535" s="15"/>
      <c r="J535" s="15"/>
      <c r="K535" s="15"/>
      <c r="L535" s="15">
        <v>51442923</v>
      </c>
      <c r="M535" s="15">
        <v>51442923</v>
      </c>
      <c r="N535" s="15">
        <v>0</v>
      </c>
      <c r="O535" s="15">
        <v>0</v>
      </c>
      <c r="P535" s="4">
        <v>0</v>
      </c>
      <c r="Q535" s="15">
        <v>1067807</v>
      </c>
      <c r="R535" s="15">
        <v>2559487</v>
      </c>
      <c r="S535" s="15">
        <v>52474972</v>
      </c>
      <c r="T535" s="15">
        <v>52434453</v>
      </c>
      <c r="U535" s="15">
        <v>50375116</v>
      </c>
      <c r="V535" s="15">
        <v>48883436</v>
      </c>
      <c r="W535" s="15">
        <v>2099856</v>
      </c>
      <c r="X535" s="15">
        <v>3551017</v>
      </c>
      <c r="Y535" s="4">
        <v>9675</v>
      </c>
      <c r="Z535" s="4">
        <v>9500</v>
      </c>
      <c r="AA535" s="4">
        <v>-1.81</v>
      </c>
      <c r="AB535" s="15">
        <v>24789342</v>
      </c>
      <c r="AC535" s="15">
        <v>27789342</v>
      </c>
      <c r="AD535" s="15">
        <v>7779185</v>
      </c>
      <c r="AE535" s="15">
        <v>3250000</v>
      </c>
      <c r="AF535" s="15">
        <v>5416434</v>
      </c>
      <c r="AG535" s="15">
        <v>8000000</v>
      </c>
      <c r="AH535" s="4">
        <v>2.48</v>
      </c>
      <c r="AI535" s="6">
        <v>3.34</v>
      </c>
    </row>
    <row r="536" spans="1:35" x14ac:dyDescent="0.25">
      <c r="A536" s="5" t="str">
        <f>"470901"</f>
        <v>470901</v>
      </c>
      <c r="B536" s="3" t="s">
        <v>402</v>
      </c>
      <c r="C536" s="15">
        <v>9582185</v>
      </c>
      <c r="D536" s="15">
        <v>10252712</v>
      </c>
      <c r="E536" s="4">
        <v>7</v>
      </c>
      <c r="F536" s="15">
        <v>3754007</v>
      </c>
      <c r="G536" s="15">
        <v>3904167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3754007</v>
      </c>
      <c r="O536" s="15">
        <v>3904167</v>
      </c>
      <c r="P536" s="4">
        <v>4</v>
      </c>
      <c r="Q536" s="15">
        <v>150598</v>
      </c>
      <c r="R536" s="15">
        <v>164731</v>
      </c>
      <c r="S536" s="15">
        <v>3331721</v>
      </c>
      <c r="T536" s="15">
        <v>3686199</v>
      </c>
      <c r="U536" s="15">
        <v>3603409</v>
      </c>
      <c r="V536" s="15">
        <v>3739436</v>
      </c>
      <c r="W536" s="15">
        <v>-271688</v>
      </c>
      <c r="X536" s="15">
        <v>-53237</v>
      </c>
      <c r="Y536" s="4">
        <v>291</v>
      </c>
      <c r="Z536" s="4">
        <v>271</v>
      </c>
      <c r="AA536" s="4">
        <v>-6.87</v>
      </c>
      <c r="AB536" s="15">
        <v>553153</v>
      </c>
      <c r="AC536" s="15">
        <v>553230</v>
      </c>
      <c r="AD536" s="15">
        <v>30896</v>
      </c>
      <c r="AE536" s="15">
        <v>303311</v>
      </c>
      <c r="AF536" s="15">
        <v>1436283</v>
      </c>
      <c r="AG536" s="15">
        <v>1220909</v>
      </c>
      <c r="AH536" s="4">
        <v>14.99</v>
      </c>
      <c r="AI536" s="6">
        <v>11.91</v>
      </c>
    </row>
    <row r="537" spans="1:35" x14ac:dyDescent="0.25">
      <c r="A537" s="5" t="str">
        <f>"491501"</f>
        <v>491501</v>
      </c>
      <c r="B537" s="3" t="s">
        <v>428</v>
      </c>
      <c r="C537" s="15">
        <v>26159094</v>
      </c>
      <c r="D537" s="15">
        <v>26891553</v>
      </c>
      <c r="E537" s="4">
        <v>2.8</v>
      </c>
      <c r="F537" s="15">
        <v>14323119</v>
      </c>
      <c r="G537" s="15">
        <v>14643450</v>
      </c>
      <c r="H537" s="15"/>
      <c r="I537" s="15"/>
      <c r="J537" s="15"/>
      <c r="K537" s="15"/>
      <c r="L537" s="15"/>
      <c r="M537" s="15"/>
      <c r="N537" s="15">
        <v>14323119</v>
      </c>
      <c r="O537" s="15">
        <v>14643450</v>
      </c>
      <c r="P537" s="4">
        <v>2.2400000000000002</v>
      </c>
      <c r="Q537" s="15">
        <v>819367</v>
      </c>
      <c r="R537" s="15">
        <v>786941</v>
      </c>
      <c r="S537" s="15">
        <v>13503752</v>
      </c>
      <c r="T537" s="15">
        <v>13856509</v>
      </c>
      <c r="U537" s="15">
        <v>13503752</v>
      </c>
      <c r="V537" s="15">
        <v>13856509</v>
      </c>
      <c r="W537" s="15">
        <v>0</v>
      </c>
      <c r="X537" s="15">
        <v>0</v>
      </c>
      <c r="Y537" s="4">
        <v>865</v>
      </c>
      <c r="Z537" s="4">
        <v>855</v>
      </c>
      <c r="AA537" s="4">
        <v>-1.1599999999999999</v>
      </c>
      <c r="AB537" s="15">
        <v>4007997</v>
      </c>
      <c r="AC537" s="15">
        <v>3080076</v>
      </c>
      <c r="AD537" s="15">
        <v>800000</v>
      </c>
      <c r="AE537" s="15">
        <v>750000</v>
      </c>
      <c r="AF537" s="15">
        <v>2779128</v>
      </c>
      <c r="AG537" s="15">
        <v>1208364</v>
      </c>
      <c r="AH537" s="4">
        <v>10.62</v>
      </c>
      <c r="AI537" s="6">
        <v>4.49</v>
      </c>
    </row>
    <row r="538" spans="1:35" x14ac:dyDescent="0.25">
      <c r="A538" s="5" t="str">
        <f>"541201"</f>
        <v>541201</v>
      </c>
      <c r="B538" s="3" t="s">
        <v>477</v>
      </c>
      <c r="C538" s="15">
        <v>25479286</v>
      </c>
      <c r="D538" s="15">
        <v>25895704</v>
      </c>
      <c r="E538" s="4">
        <v>1.63</v>
      </c>
      <c r="F538" s="15">
        <v>8631822</v>
      </c>
      <c r="G538" s="15">
        <v>8472763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8631822</v>
      </c>
      <c r="O538" s="15">
        <v>8472763</v>
      </c>
      <c r="P538" s="4">
        <v>-1.84</v>
      </c>
      <c r="Q538" s="15">
        <v>606091</v>
      </c>
      <c r="R538" s="15">
        <v>179103</v>
      </c>
      <c r="S538" s="15">
        <v>8025731</v>
      </c>
      <c r="T538" s="15">
        <v>8293660</v>
      </c>
      <c r="U538" s="15">
        <v>8025731</v>
      </c>
      <c r="V538" s="15">
        <v>8293660</v>
      </c>
      <c r="W538" s="15">
        <v>0</v>
      </c>
      <c r="X538" s="15">
        <v>0</v>
      </c>
      <c r="Y538" s="4">
        <v>845</v>
      </c>
      <c r="Z538" s="4">
        <v>850</v>
      </c>
      <c r="AA538" s="4">
        <v>0.59</v>
      </c>
      <c r="AB538" s="15">
        <v>5415607</v>
      </c>
      <c r="AC538" s="15">
        <v>5849703</v>
      </c>
      <c r="AD538" s="15">
        <v>1500000</v>
      </c>
      <c r="AE538" s="15">
        <v>1500000</v>
      </c>
      <c r="AF538" s="15">
        <v>1018170</v>
      </c>
      <c r="AG538" s="15">
        <v>1030649</v>
      </c>
      <c r="AH538" s="4">
        <v>4</v>
      </c>
      <c r="AI538" s="6">
        <v>3.98</v>
      </c>
    </row>
    <row r="539" spans="1:35" x14ac:dyDescent="0.25">
      <c r="A539" s="5" t="str">
        <f>"151401"</f>
        <v>151401</v>
      </c>
      <c r="B539" s="3" t="s">
        <v>161</v>
      </c>
      <c r="C539" s="15">
        <v>8459937</v>
      </c>
      <c r="D539" s="15">
        <v>8814890</v>
      </c>
      <c r="E539" s="4">
        <v>4.2</v>
      </c>
      <c r="F539" s="15">
        <v>6772858</v>
      </c>
      <c r="G539" s="15">
        <v>6926084</v>
      </c>
      <c r="H539" s="15"/>
      <c r="I539" s="15"/>
      <c r="J539" s="15"/>
      <c r="K539" s="15"/>
      <c r="L539" s="15"/>
      <c r="M539" s="15"/>
      <c r="N539" s="15">
        <v>6772858</v>
      </c>
      <c r="O539" s="15">
        <v>6926084</v>
      </c>
      <c r="P539" s="4">
        <v>2.2599999999999998</v>
      </c>
      <c r="Q539" s="15">
        <v>920173</v>
      </c>
      <c r="R539" s="15">
        <v>916396</v>
      </c>
      <c r="S539" s="15">
        <v>5852685</v>
      </c>
      <c r="T539" s="15">
        <v>6009688</v>
      </c>
      <c r="U539" s="15">
        <v>5852685</v>
      </c>
      <c r="V539" s="15">
        <v>6009688</v>
      </c>
      <c r="W539" s="15">
        <v>0</v>
      </c>
      <c r="X539" s="15">
        <v>0</v>
      </c>
      <c r="Y539" s="4">
        <v>235</v>
      </c>
      <c r="Z539" s="4">
        <v>235</v>
      </c>
      <c r="AA539" s="4">
        <v>0</v>
      </c>
      <c r="AB539" s="15">
        <v>701543</v>
      </c>
      <c r="AC539" s="15">
        <v>577305</v>
      </c>
      <c r="AD539" s="15">
        <v>455820</v>
      </c>
      <c r="AE539" s="15">
        <v>551626</v>
      </c>
      <c r="AF539" s="15">
        <v>1517968</v>
      </c>
      <c r="AG539" s="15">
        <v>966342</v>
      </c>
      <c r="AH539" s="4">
        <v>17.940000000000001</v>
      </c>
      <c r="AI539" s="6">
        <v>10.96</v>
      </c>
    </row>
    <row r="540" spans="1:35" x14ac:dyDescent="0.25">
      <c r="A540" s="5" t="str">
        <f>"521701"</f>
        <v>521701</v>
      </c>
      <c r="B540" s="3" t="s">
        <v>463</v>
      </c>
      <c r="C540" s="15">
        <v>38037598</v>
      </c>
      <c r="D540" s="15">
        <v>38609553</v>
      </c>
      <c r="E540" s="4">
        <v>1.5</v>
      </c>
      <c r="F540" s="15">
        <v>18193776</v>
      </c>
      <c r="G540" s="15">
        <v>18434193</v>
      </c>
      <c r="H540" s="15"/>
      <c r="I540" s="15"/>
      <c r="J540" s="15"/>
      <c r="K540" s="15"/>
      <c r="L540" s="15"/>
      <c r="M540" s="15"/>
      <c r="N540" s="15">
        <v>18193776</v>
      </c>
      <c r="O540" s="15">
        <v>18434193</v>
      </c>
      <c r="P540" s="4">
        <v>1.32</v>
      </c>
      <c r="Q540" s="15">
        <v>999368</v>
      </c>
      <c r="R540" s="15">
        <v>986721</v>
      </c>
      <c r="S540" s="15">
        <v>17848814</v>
      </c>
      <c r="T540" s="15">
        <v>17861158</v>
      </c>
      <c r="U540" s="15">
        <v>17194408</v>
      </c>
      <c r="V540" s="15">
        <v>17447472</v>
      </c>
      <c r="W540" s="15">
        <v>654406</v>
      </c>
      <c r="X540" s="15">
        <v>413686</v>
      </c>
      <c r="Y540" s="4">
        <v>1450</v>
      </c>
      <c r="Z540" s="4">
        <v>1402</v>
      </c>
      <c r="AA540" s="4">
        <v>-3.31</v>
      </c>
      <c r="AB540" s="15">
        <v>4187309</v>
      </c>
      <c r="AC540" s="15">
        <v>4564965</v>
      </c>
      <c r="AD540" s="15">
        <v>2166690</v>
      </c>
      <c r="AE540" s="15">
        <v>2200000</v>
      </c>
      <c r="AF540" s="15">
        <v>1209844</v>
      </c>
      <c r="AG540" s="15">
        <v>2990547</v>
      </c>
      <c r="AH540" s="4">
        <v>3.18</v>
      </c>
      <c r="AI540" s="6">
        <v>7.75</v>
      </c>
    </row>
    <row r="541" spans="1:35" x14ac:dyDescent="0.25">
      <c r="A541" s="5" t="str">
        <f>"022401"</f>
        <v>022401</v>
      </c>
      <c r="B541" s="3" t="s">
        <v>21</v>
      </c>
      <c r="C541" s="15">
        <v>10769401</v>
      </c>
      <c r="D541" s="15">
        <v>11214107</v>
      </c>
      <c r="E541" s="4">
        <v>4.13</v>
      </c>
      <c r="F541" s="15">
        <v>2182454</v>
      </c>
      <c r="G541" s="15">
        <v>2225012</v>
      </c>
      <c r="H541" s="15"/>
      <c r="I541" s="15"/>
      <c r="J541" s="15"/>
      <c r="K541" s="15"/>
      <c r="L541" s="15"/>
      <c r="M541" s="15"/>
      <c r="N541" s="15">
        <v>2182454</v>
      </c>
      <c r="O541" s="15">
        <v>2225012</v>
      </c>
      <c r="P541" s="4">
        <v>1.95</v>
      </c>
      <c r="Q541" s="15">
        <v>108329</v>
      </c>
      <c r="R541" s="15">
        <v>169929</v>
      </c>
      <c r="S541" s="15">
        <v>2116079</v>
      </c>
      <c r="T541" s="15">
        <v>2115608</v>
      </c>
      <c r="U541" s="15">
        <v>2074125</v>
      </c>
      <c r="V541" s="15">
        <v>2055083</v>
      </c>
      <c r="W541" s="15">
        <v>41954</v>
      </c>
      <c r="X541" s="15">
        <v>60525</v>
      </c>
      <c r="Y541" s="4">
        <v>300</v>
      </c>
      <c r="Z541" s="4">
        <v>281</v>
      </c>
      <c r="AA541" s="4">
        <v>-6.33</v>
      </c>
      <c r="AB541" s="15">
        <v>1308794</v>
      </c>
      <c r="AC541" s="15">
        <v>1308794</v>
      </c>
      <c r="AD541" s="15">
        <v>640528</v>
      </c>
      <c r="AE541" s="15">
        <v>678262</v>
      </c>
      <c r="AF541" s="15">
        <v>1064403</v>
      </c>
      <c r="AG541" s="15">
        <v>926669</v>
      </c>
      <c r="AH541" s="4">
        <v>9.8800000000000008</v>
      </c>
      <c r="AI541" s="6">
        <v>8.26</v>
      </c>
    </row>
    <row r="542" spans="1:35" x14ac:dyDescent="0.25">
      <c r="A542" s="5" t="str">
        <f>"530202"</f>
        <v>530202</v>
      </c>
      <c r="B542" s="3" t="s">
        <v>468</v>
      </c>
      <c r="C542" s="15">
        <v>59127425</v>
      </c>
      <c r="D542" s="15">
        <v>60274949</v>
      </c>
      <c r="E542" s="4">
        <v>1.94</v>
      </c>
      <c r="F542" s="15">
        <v>31047688</v>
      </c>
      <c r="G542" s="15">
        <v>31547351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  <c r="N542" s="15">
        <v>31047688</v>
      </c>
      <c r="O542" s="15">
        <v>31547351</v>
      </c>
      <c r="P542" s="4">
        <v>1.61</v>
      </c>
      <c r="Q542" s="15">
        <v>1266799</v>
      </c>
      <c r="R542" s="15">
        <v>886518</v>
      </c>
      <c r="S542" s="15">
        <v>29781465</v>
      </c>
      <c r="T542" s="15">
        <v>30663457</v>
      </c>
      <c r="U542" s="15">
        <v>29780889</v>
      </c>
      <c r="V542" s="15">
        <v>30660833</v>
      </c>
      <c r="W542" s="15">
        <v>576</v>
      </c>
      <c r="X542" s="15">
        <v>2624</v>
      </c>
      <c r="Y542" s="4">
        <v>2341</v>
      </c>
      <c r="Z542" s="4">
        <v>2248</v>
      </c>
      <c r="AA542" s="4">
        <v>-3.97</v>
      </c>
      <c r="AB542" s="15">
        <v>4875083</v>
      </c>
      <c r="AC542" s="15">
        <v>4244548</v>
      </c>
      <c r="AD542" s="15">
        <v>4369504</v>
      </c>
      <c r="AE542" s="15">
        <v>4369504</v>
      </c>
      <c r="AF542" s="15">
        <v>2217425</v>
      </c>
      <c r="AG542" s="15">
        <v>2313002</v>
      </c>
      <c r="AH542" s="4">
        <v>3.75</v>
      </c>
      <c r="AI542" s="6">
        <v>3.84</v>
      </c>
    </row>
    <row r="543" spans="1:35" x14ac:dyDescent="0.25">
      <c r="A543" s="5" t="str">
        <f>"280206"</f>
        <v>280206</v>
      </c>
      <c r="B543" s="3" t="s">
        <v>270</v>
      </c>
      <c r="C543" s="15">
        <v>74717812</v>
      </c>
      <c r="D543" s="15">
        <v>77396951</v>
      </c>
      <c r="E543" s="4">
        <v>3.59</v>
      </c>
      <c r="F543" s="15">
        <v>55871869</v>
      </c>
      <c r="G543" s="15">
        <v>57240730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55871869</v>
      </c>
      <c r="O543" s="15">
        <v>57240730</v>
      </c>
      <c r="P543" s="4">
        <v>2.4500000000000002</v>
      </c>
      <c r="Q543" s="15">
        <v>1150585</v>
      </c>
      <c r="R543" s="15">
        <v>1107098</v>
      </c>
      <c r="S543" s="15">
        <v>54721284</v>
      </c>
      <c r="T543" s="15">
        <v>56133632</v>
      </c>
      <c r="U543" s="15">
        <v>54721284</v>
      </c>
      <c r="V543" s="15">
        <v>56133632</v>
      </c>
      <c r="W543" s="15">
        <v>0</v>
      </c>
      <c r="X543" s="15">
        <v>0</v>
      </c>
      <c r="Y543" s="4">
        <v>2174</v>
      </c>
      <c r="Z543" s="4">
        <v>2170</v>
      </c>
      <c r="AA543" s="4">
        <v>-0.18</v>
      </c>
      <c r="AB543" s="15">
        <v>19801377</v>
      </c>
      <c r="AC543" s="15">
        <v>16701377</v>
      </c>
      <c r="AD543" s="15">
        <v>847574</v>
      </c>
      <c r="AE543" s="15">
        <v>850000</v>
      </c>
      <c r="AF543" s="15">
        <v>2954564</v>
      </c>
      <c r="AG543" s="15">
        <v>3095878</v>
      </c>
      <c r="AH543" s="4">
        <v>3.95</v>
      </c>
      <c r="AI543" s="6">
        <v>4</v>
      </c>
    </row>
    <row r="544" spans="1:35" x14ac:dyDescent="0.25">
      <c r="A544" s="5" t="str">
        <f>"560701"</f>
        <v>560701</v>
      </c>
      <c r="B544" s="3" t="s">
        <v>483</v>
      </c>
      <c r="C544" s="15">
        <v>31536339</v>
      </c>
      <c r="D544" s="15">
        <v>34394919</v>
      </c>
      <c r="E544" s="4">
        <v>9.06</v>
      </c>
      <c r="F544" s="15">
        <v>13579016</v>
      </c>
      <c r="G544" s="15">
        <v>13843807</v>
      </c>
      <c r="H544" s="15"/>
      <c r="I544" s="15"/>
      <c r="J544" s="15"/>
      <c r="K544" s="15"/>
      <c r="L544" s="15"/>
      <c r="M544" s="15"/>
      <c r="N544" s="15">
        <v>13579016</v>
      </c>
      <c r="O544" s="15">
        <v>13843807</v>
      </c>
      <c r="P544" s="4">
        <v>1.95</v>
      </c>
      <c r="Q544" s="15">
        <v>21940</v>
      </c>
      <c r="R544" s="15">
        <v>0</v>
      </c>
      <c r="S544" s="15">
        <v>13835187</v>
      </c>
      <c r="T544" s="15">
        <v>13915303</v>
      </c>
      <c r="U544" s="15">
        <v>13557076</v>
      </c>
      <c r="V544" s="15">
        <v>13843807</v>
      </c>
      <c r="W544" s="15">
        <v>278111</v>
      </c>
      <c r="X544" s="15">
        <v>71496</v>
      </c>
      <c r="Y544" s="4">
        <v>1173</v>
      </c>
      <c r="Z544" s="4">
        <v>1163</v>
      </c>
      <c r="AA544" s="4">
        <v>-0.85</v>
      </c>
      <c r="AB544" s="15">
        <v>8798119</v>
      </c>
      <c r="AC544" s="15">
        <v>8348118</v>
      </c>
      <c r="AD544" s="15">
        <v>667179</v>
      </c>
      <c r="AE544" s="15">
        <v>450000</v>
      </c>
      <c r="AF544" s="15">
        <v>1375797</v>
      </c>
      <c r="AG544" s="15">
        <v>1403313</v>
      </c>
      <c r="AH544" s="4">
        <v>4.3600000000000003</v>
      </c>
      <c r="AI544" s="6">
        <v>4.08</v>
      </c>
    </row>
    <row r="545" spans="1:35" x14ac:dyDescent="0.25">
      <c r="A545" s="5" t="str">
        <f>"280252"</f>
        <v>280252</v>
      </c>
      <c r="B545" s="3" t="s">
        <v>293</v>
      </c>
      <c r="C545" s="15">
        <v>215732202</v>
      </c>
      <c r="D545" s="15">
        <v>227351685</v>
      </c>
      <c r="E545" s="4">
        <v>5.39</v>
      </c>
      <c r="F545" s="15">
        <v>153904586</v>
      </c>
      <c r="G545" s="15">
        <v>158327967</v>
      </c>
      <c r="H545" s="15"/>
      <c r="I545" s="15"/>
      <c r="J545" s="15"/>
      <c r="K545" s="15"/>
      <c r="L545" s="15"/>
      <c r="M545" s="15"/>
      <c r="N545" s="15">
        <v>153904586</v>
      </c>
      <c r="O545" s="15">
        <v>158327967</v>
      </c>
      <c r="P545" s="4">
        <v>2.87</v>
      </c>
      <c r="Q545" s="15">
        <v>4468992</v>
      </c>
      <c r="R545" s="15">
        <v>5120164</v>
      </c>
      <c r="S545" s="15">
        <v>149435594</v>
      </c>
      <c r="T545" s="15">
        <v>153224278</v>
      </c>
      <c r="U545" s="15">
        <v>149435594</v>
      </c>
      <c r="V545" s="15">
        <v>153207803</v>
      </c>
      <c r="W545" s="15">
        <v>0</v>
      </c>
      <c r="X545" s="15">
        <v>16475</v>
      </c>
      <c r="Y545" s="4">
        <v>8009</v>
      </c>
      <c r="Z545" s="4">
        <v>7856</v>
      </c>
      <c r="AA545" s="4">
        <v>-1.91</v>
      </c>
      <c r="AB545" s="15">
        <v>35280092</v>
      </c>
      <c r="AC545" s="15">
        <v>37200000</v>
      </c>
      <c r="AD545" s="15">
        <v>4819859</v>
      </c>
      <c r="AE545" s="15">
        <v>3049845</v>
      </c>
      <c r="AF545" s="15">
        <v>8560216</v>
      </c>
      <c r="AG545" s="15">
        <v>8980392</v>
      </c>
      <c r="AH545" s="4">
        <v>3.97</v>
      </c>
      <c r="AI545" s="6">
        <v>3.95</v>
      </c>
    </row>
    <row r="546" spans="1:35" x14ac:dyDescent="0.25">
      <c r="A546" s="5" t="str">
        <f>"541401"</f>
        <v>541401</v>
      </c>
      <c r="B546" s="3" t="s">
        <v>478</v>
      </c>
      <c r="C546" s="15">
        <v>9880976</v>
      </c>
      <c r="D546" s="15">
        <v>10208809</v>
      </c>
      <c r="E546" s="4">
        <v>3.32</v>
      </c>
      <c r="F546" s="15">
        <v>2399766</v>
      </c>
      <c r="G546" s="15">
        <v>2399766</v>
      </c>
      <c r="H546" s="15"/>
      <c r="I546" s="15"/>
      <c r="J546" s="15"/>
      <c r="K546" s="15"/>
      <c r="L546" s="15"/>
      <c r="M546" s="15"/>
      <c r="N546" s="15">
        <v>2399766</v>
      </c>
      <c r="O546" s="15">
        <v>2399766</v>
      </c>
      <c r="P546" s="4">
        <v>0</v>
      </c>
      <c r="Q546" s="15">
        <v>76714</v>
      </c>
      <c r="R546" s="15">
        <v>98987</v>
      </c>
      <c r="S546" s="15">
        <v>2323052</v>
      </c>
      <c r="T546" s="15">
        <v>2394196</v>
      </c>
      <c r="U546" s="15">
        <v>2323052</v>
      </c>
      <c r="V546" s="15">
        <v>2300779</v>
      </c>
      <c r="W546" s="15">
        <v>0</v>
      </c>
      <c r="X546" s="15">
        <v>93417</v>
      </c>
      <c r="Y546" s="4">
        <v>290</v>
      </c>
      <c r="Z546" s="4">
        <v>292</v>
      </c>
      <c r="AA546" s="4">
        <v>0.69</v>
      </c>
      <c r="AB546" s="15">
        <v>1677243</v>
      </c>
      <c r="AC546" s="15">
        <v>1731471</v>
      </c>
      <c r="AD546" s="15">
        <v>1425706</v>
      </c>
      <c r="AE546" s="15">
        <v>1338505</v>
      </c>
      <c r="AF546" s="15">
        <v>1387303</v>
      </c>
      <c r="AG546" s="15">
        <v>833075</v>
      </c>
      <c r="AH546" s="4">
        <v>14.04</v>
      </c>
      <c r="AI546" s="6">
        <v>8.16</v>
      </c>
    </row>
    <row r="547" spans="1:35" x14ac:dyDescent="0.25">
      <c r="A547" s="5" t="str">
        <f>"580701"</f>
        <v>580701</v>
      </c>
      <c r="B547" s="3" t="s">
        <v>547</v>
      </c>
      <c r="C547" s="15">
        <v>12384947</v>
      </c>
      <c r="D547" s="15">
        <v>12445523</v>
      </c>
      <c r="E547" s="4">
        <v>0.49</v>
      </c>
      <c r="F547" s="15">
        <v>11016571</v>
      </c>
      <c r="G547" s="15">
        <v>11016571</v>
      </c>
      <c r="H547" s="15">
        <v>0</v>
      </c>
      <c r="I547" s="15"/>
      <c r="J547" s="15">
        <v>0</v>
      </c>
      <c r="K547" s="15"/>
      <c r="L547" s="15">
        <v>0</v>
      </c>
      <c r="M547" s="15"/>
      <c r="N547" s="15">
        <v>11016571</v>
      </c>
      <c r="O547" s="15">
        <v>11016571</v>
      </c>
      <c r="P547" s="4">
        <v>0</v>
      </c>
      <c r="Q547" s="15">
        <v>429920</v>
      </c>
      <c r="R547" s="15">
        <v>363124</v>
      </c>
      <c r="S547" s="15">
        <v>10586651</v>
      </c>
      <c r="T547" s="15">
        <v>10815238</v>
      </c>
      <c r="U547" s="15">
        <v>10586651</v>
      </c>
      <c r="V547" s="15">
        <v>10653447</v>
      </c>
      <c r="W547" s="15">
        <v>0</v>
      </c>
      <c r="X547" s="15">
        <v>161791</v>
      </c>
      <c r="Y547" s="4">
        <v>190</v>
      </c>
      <c r="Z547" s="4">
        <v>180</v>
      </c>
      <c r="AA547" s="4">
        <v>-5.26</v>
      </c>
      <c r="AB547" s="15">
        <v>2007641</v>
      </c>
      <c r="AC547" s="15">
        <v>2385428</v>
      </c>
      <c r="AD547" s="15">
        <v>700000</v>
      </c>
      <c r="AE547" s="15">
        <v>685331</v>
      </c>
      <c r="AF547" s="15">
        <v>662937</v>
      </c>
      <c r="AG547" s="15">
        <v>600000</v>
      </c>
      <c r="AH547" s="4">
        <v>5.35</v>
      </c>
      <c r="AI547" s="6">
        <v>4.82</v>
      </c>
    </row>
    <row r="548" spans="1:35" x14ac:dyDescent="0.25">
      <c r="A548" s="5" t="str">
        <f>"520302"</f>
        <v>520302</v>
      </c>
      <c r="B548" s="3" t="s">
        <v>456</v>
      </c>
      <c r="C548" s="15">
        <v>187158384</v>
      </c>
      <c r="D548" s="15">
        <v>194356052</v>
      </c>
      <c r="E548" s="4">
        <v>3.85</v>
      </c>
      <c r="F548" s="15">
        <v>130891758</v>
      </c>
      <c r="G548" s="15">
        <v>133333097</v>
      </c>
      <c r="H548" s="15">
        <v>0</v>
      </c>
      <c r="I548" s="15"/>
      <c r="J548" s="15">
        <v>0</v>
      </c>
      <c r="K548" s="15"/>
      <c r="L548" s="15">
        <v>0</v>
      </c>
      <c r="M548" s="15"/>
      <c r="N548" s="15">
        <v>130891758</v>
      </c>
      <c r="O548" s="15">
        <v>133333097</v>
      </c>
      <c r="P548" s="4">
        <v>1.87</v>
      </c>
      <c r="Q548" s="15">
        <v>2414852</v>
      </c>
      <c r="R548" s="15">
        <v>3682656</v>
      </c>
      <c r="S548" s="15">
        <v>128476906</v>
      </c>
      <c r="T548" s="15">
        <v>129650441</v>
      </c>
      <c r="U548" s="15">
        <v>128476906</v>
      </c>
      <c r="V548" s="15">
        <v>129650441</v>
      </c>
      <c r="W548" s="15">
        <v>0</v>
      </c>
      <c r="X548" s="15">
        <v>0</v>
      </c>
      <c r="Y548" s="4">
        <v>9441</v>
      </c>
      <c r="Z548" s="4">
        <v>9426</v>
      </c>
      <c r="AA548" s="4">
        <v>-0.16</v>
      </c>
      <c r="AB548" s="15">
        <v>26706115</v>
      </c>
      <c r="AC548" s="15">
        <v>25641696</v>
      </c>
      <c r="AD548" s="15">
        <v>2910000</v>
      </c>
      <c r="AE548" s="15">
        <v>2910000</v>
      </c>
      <c r="AF548" s="15">
        <v>7348372</v>
      </c>
      <c r="AG548" s="15">
        <v>6834497</v>
      </c>
      <c r="AH548" s="4">
        <v>3.93</v>
      </c>
      <c r="AI548" s="6">
        <v>3.52</v>
      </c>
    </row>
    <row r="549" spans="1:35" x14ac:dyDescent="0.25">
      <c r="A549" s="5" t="str">
        <f>"082001"</f>
        <v>082001</v>
      </c>
      <c r="B549" s="3" t="s">
        <v>83</v>
      </c>
      <c r="C549" s="15">
        <v>36579794</v>
      </c>
      <c r="D549" s="15">
        <v>36628959</v>
      </c>
      <c r="E549" s="4">
        <v>0.13</v>
      </c>
      <c r="F549" s="15">
        <v>6546993</v>
      </c>
      <c r="G549" s="15">
        <v>6677932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  <c r="N549" s="15">
        <v>6546993</v>
      </c>
      <c r="O549" s="15">
        <v>6677932</v>
      </c>
      <c r="P549" s="4">
        <v>2</v>
      </c>
      <c r="Q549" s="15">
        <v>15073</v>
      </c>
      <c r="R549" s="15">
        <v>0</v>
      </c>
      <c r="S549" s="15">
        <v>6546993</v>
      </c>
      <c r="T549" s="15">
        <v>6677932</v>
      </c>
      <c r="U549" s="15">
        <v>6531920</v>
      </c>
      <c r="V549" s="15">
        <v>6677932</v>
      </c>
      <c r="W549" s="15">
        <v>15073</v>
      </c>
      <c r="X549" s="15">
        <v>0</v>
      </c>
      <c r="Y549" s="4">
        <v>1235</v>
      </c>
      <c r="Z549" s="4">
        <v>1214</v>
      </c>
      <c r="AA549" s="4">
        <v>-1.7</v>
      </c>
      <c r="AB549" s="15">
        <v>2084718</v>
      </c>
      <c r="AC549" s="15">
        <v>2092072</v>
      </c>
      <c r="AD549" s="15">
        <v>750000</v>
      </c>
      <c r="AE549" s="15">
        <v>500000</v>
      </c>
      <c r="AF549" s="15">
        <v>2929504</v>
      </c>
      <c r="AG549" s="15">
        <v>3277594</v>
      </c>
      <c r="AH549" s="4">
        <v>8.01</v>
      </c>
      <c r="AI549" s="6">
        <v>8.9499999999999993</v>
      </c>
    </row>
    <row r="550" spans="1:35" x14ac:dyDescent="0.25">
      <c r="A550" s="5" t="str">
        <f>"062601"</f>
        <v>062601</v>
      </c>
      <c r="B550" s="3" t="s">
        <v>71</v>
      </c>
      <c r="C550" s="15">
        <v>10638560</v>
      </c>
      <c r="D550" s="15">
        <v>11176500</v>
      </c>
      <c r="E550" s="4">
        <v>5.0599999999999996</v>
      </c>
      <c r="F550" s="15">
        <v>2804823</v>
      </c>
      <c r="G550" s="15">
        <v>2854476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  <c r="N550" s="15">
        <v>2804823</v>
      </c>
      <c r="O550" s="15">
        <v>2854476</v>
      </c>
      <c r="P550" s="4">
        <v>1.77</v>
      </c>
      <c r="Q550" s="15">
        <v>199556</v>
      </c>
      <c r="R550" s="15">
        <v>184802</v>
      </c>
      <c r="S550" s="15">
        <v>2605267</v>
      </c>
      <c r="T550" s="15">
        <v>2669674</v>
      </c>
      <c r="U550" s="15">
        <v>2605267</v>
      </c>
      <c r="V550" s="15">
        <v>2669674</v>
      </c>
      <c r="W550" s="15">
        <v>0</v>
      </c>
      <c r="X550" s="15">
        <v>0</v>
      </c>
      <c r="Y550" s="4">
        <v>424</v>
      </c>
      <c r="Z550" s="4">
        <v>427</v>
      </c>
      <c r="AA550" s="4">
        <v>0.71</v>
      </c>
      <c r="AB550" s="15">
        <v>1101421</v>
      </c>
      <c r="AC550" s="15">
        <v>1254827</v>
      </c>
      <c r="AD550" s="15">
        <v>397809</v>
      </c>
      <c r="AE550" s="15">
        <v>410584</v>
      </c>
      <c r="AF550" s="15">
        <v>1022625</v>
      </c>
      <c r="AG550" s="15">
        <v>974584</v>
      </c>
      <c r="AH550" s="4">
        <v>9.61</v>
      </c>
      <c r="AI550" s="6">
        <v>8.7200000000000006</v>
      </c>
    </row>
    <row r="551" spans="1:35" x14ac:dyDescent="0.25">
      <c r="A551" s="5" t="str">
        <f>"412000"</f>
        <v>412000</v>
      </c>
      <c r="B551" s="3" t="s">
        <v>336</v>
      </c>
      <c r="C551" s="15">
        <v>41755489</v>
      </c>
      <c r="D551" s="15">
        <v>43218941</v>
      </c>
      <c r="E551" s="4">
        <v>3.5</v>
      </c>
      <c r="F551" s="15">
        <v>14852590</v>
      </c>
      <c r="G551" s="15">
        <v>15446694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14852590</v>
      </c>
      <c r="O551" s="15">
        <v>15446694</v>
      </c>
      <c r="P551" s="4">
        <v>4</v>
      </c>
      <c r="Q551" s="15">
        <v>394892</v>
      </c>
      <c r="R551" s="15">
        <v>419737</v>
      </c>
      <c r="S551" s="15">
        <v>14457698</v>
      </c>
      <c r="T551" s="15">
        <v>15028442</v>
      </c>
      <c r="U551" s="15">
        <v>14457698</v>
      </c>
      <c r="V551" s="15">
        <v>15026957</v>
      </c>
      <c r="W551" s="15">
        <v>0</v>
      </c>
      <c r="X551" s="15">
        <v>1485</v>
      </c>
      <c r="Y551" s="4">
        <v>1822</v>
      </c>
      <c r="Z551" s="4">
        <v>1807</v>
      </c>
      <c r="AA551" s="4">
        <v>-0.82</v>
      </c>
      <c r="AB551" s="15">
        <v>11053363</v>
      </c>
      <c r="AC551" s="15">
        <v>10303363</v>
      </c>
      <c r="AD551" s="15">
        <v>3065381</v>
      </c>
      <c r="AE551" s="15">
        <v>4051079</v>
      </c>
      <c r="AF551" s="15">
        <v>1670220</v>
      </c>
      <c r="AG551" s="15">
        <v>1728757</v>
      </c>
      <c r="AH551" s="4">
        <v>4</v>
      </c>
      <c r="AI551" s="6">
        <v>4</v>
      </c>
    </row>
    <row r="552" spans="1:35" x14ac:dyDescent="0.25">
      <c r="A552" s="5" t="str">
        <f>"580601"</f>
        <v>580601</v>
      </c>
      <c r="B552" s="3" t="s">
        <v>545</v>
      </c>
      <c r="C552" s="15">
        <v>80687584</v>
      </c>
      <c r="D552" s="15">
        <v>83002107</v>
      </c>
      <c r="E552" s="4">
        <v>2.87</v>
      </c>
      <c r="F552" s="15">
        <v>55622563</v>
      </c>
      <c r="G552" s="15">
        <v>56569724</v>
      </c>
      <c r="H552" s="15"/>
      <c r="I552" s="15"/>
      <c r="J552" s="15"/>
      <c r="K552" s="15"/>
      <c r="L552" s="15"/>
      <c r="M552" s="15"/>
      <c r="N552" s="15">
        <v>55622563</v>
      </c>
      <c r="O552" s="15">
        <v>56569724</v>
      </c>
      <c r="P552" s="4">
        <v>1.7</v>
      </c>
      <c r="Q552" s="15">
        <v>1596857</v>
      </c>
      <c r="R552" s="15">
        <v>2441057</v>
      </c>
      <c r="S552" s="15">
        <v>54025706</v>
      </c>
      <c r="T552" s="15">
        <v>54128667</v>
      </c>
      <c r="U552" s="15">
        <v>54025706</v>
      </c>
      <c r="V552" s="15">
        <v>54128667</v>
      </c>
      <c r="W552" s="15">
        <v>0</v>
      </c>
      <c r="X552" s="15">
        <v>0</v>
      </c>
      <c r="Y552" s="4">
        <v>2070</v>
      </c>
      <c r="Z552" s="4">
        <v>2008</v>
      </c>
      <c r="AA552" s="4">
        <v>-3</v>
      </c>
      <c r="AB552" s="15">
        <v>15395860</v>
      </c>
      <c r="AC552" s="15">
        <v>11782338</v>
      </c>
      <c r="AD552" s="15">
        <v>5898028</v>
      </c>
      <c r="AE552" s="15">
        <v>4852011</v>
      </c>
      <c r="AF552" s="15">
        <v>3227506</v>
      </c>
      <c r="AG552" s="15">
        <v>3320084</v>
      </c>
      <c r="AH552" s="4">
        <v>4</v>
      </c>
      <c r="AI552" s="6">
        <v>4</v>
      </c>
    </row>
    <row r="553" spans="1:35" x14ac:dyDescent="0.25">
      <c r="A553" s="5" t="str">
        <f>"121601"</f>
        <v>121601</v>
      </c>
      <c r="B553" s="3" t="s">
        <v>111</v>
      </c>
      <c r="C553" s="15">
        <v>27712917</v>
      </c>
      <c r="D553" s="15">
        <v>28797209</v>
      </c>
      <c r="E553" s="4">
        <v>3.91</v>
      </c>
      <c r="F553" s="15">
        <v>6130917</v>
      </c>
      <c r="G553" s="15">
        <v>6130917</v>
      </c>
      <c r="H553" s="15">
        <v>562478</v>
      </c>
      <c r="I553" s="15">
        <v>577610</v>
      </c>
      <c r="J553" s="15">
        <v>0</v>
      </c>
      <c r="K553" s="15">
        <v>0</v>
      </c>
      <c r="L553" s="15">
        <v>0</v>
      </c>
      <c r="M553" s="15">
        <v>0</v>
      </c>
      <c r="N553" s="15">
        <v>6693395</v>
      </c>
      <c r="O553" s="15">
        <v>6708527</v>
      </c>
      <c r="P553" s="4">
        <v>0.23</v>
      </c>
      <c r="Q553" s="15">
        <v>0</v>
      </c>
      <c r="R553" s="15">
        <v>0</v>
      </c>
      <c r="S553" s="15">
        <v>6299901</v>
      </c>
      <c r="T553" s="15">
        <v>6360983</v>
      </c>
      <c r="U553" s="15">
        <v>6130917</v>
      </c>
      <c r="V553" s="15">
        <v>6130917</v>
      </c>
      <c r="W553" s="15">
        <v>168984</v>
      </c>
      <c r="X553" s="15">
        <v>230066</v>
      </c>
      <c r="Y553" s="4">
        <v>1031</v>
      </c>
      <c r="Z553" s="4">
        <v>1094</v>
      </c>
      <c r="AA553" s="4">
        <v>6.11</v>
      </c>
      <c r="AB553" s="15">
        <v>5636370</v>
      </c>
      <c r="AC553" s="15">
        <v>6369780</v>
      </c>
      <c r="AD553" s="15">
        <v>1325409</v>
      </c>
      <c r="AE553" s="15">
        <v>1250000</v>
      </c>
      <c r="AF553" s="15">
        <v>1737952</v>
      </c>
      <c r="AG553" s="15">
        <v>1151888</v>
      </c>
      <c r="AH553" s="4">
        <v>6.27</v>
      </c>
      <c r="AI553" s="6">
        <v>4</v>
      </c>
    </row>
    <row r="554" spans="1:35" x14ac:dyDescent="0.25">
      <c r="A554" s="5" t="str">
        <f>"061501"</f>
        <v>061501</v>
      </c>
      <c r="B554" s="3" t="s">
        <v>64</v>
      </c>
      <c r="C554" s="15">
        <v>25928433</v>
      </c>
      <c r="D554" s="15">
        <v>27469891</v>
      </c>
      <c r="E554" s="4">
        <v>5.95</v>
      </c>
      <c r="F554" s="15">
        <v>6223262</v>
      </c>
      <c r="G554" s="15">
        <v>6344616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6223262</v>
      </c>
      <c r="O554" s="15">
        <v>6344616</v>
      </c>
      <c r="P554" s="4">
        <v>1.95</v>
      </c>
      <c r="Q554" s="15">
        <v>0</v>
      </c>
      <c r="R554" s="15">
        <v>0</v>
      </c>
      <c r="S554" s="15">
        <v>6223262</v>
      </c>
      <c r="T554" s="15">
        <v>6344616</v>
      </c>
      <c r="U554" s="15">
        <v>6223262</v>
      </c>
      <c r="V554" s="15">
        <v>6344616</v>
      </c>
      <c r="W554" s="15">
        <v>0</v>
      </c>
      <c r="X554" s="15">
        <v>0</v>
      </c>
      <c r="Y554" s="4">
        <v>1116</v>
      </c>
      <c r="Z554" s="4">
        <v>999</v>
      </c>
      <c r="AA554" s="4">
        <v>-10.48</v>
      </c>
      <c r="AB554" s="15">
        <v>7252655</v>
      </c>
      <c r="AC554" s="15">
        <v>12598728</v>
      </c>
      <c r="AD554" s="15">
        <v>490961</v>
      </c>
      <c r="AE554" s="15">
        <v>993236</v>
      </c>
      <c r="AF554" s="15">
        <v>8132089</v>
      </c>
      <c r="AG554" s="15">
        <v>1623983</v>
      </c>
      <c r="AH554" s="4">
        <v>31.36</v>
      </c>
      <c r="AI554" s="6">
        <v>5.91</v>
      </c>
    </row>
    <row r="555" spans="1:35" x14ac:dyDescent="0.25">
      <c r="A555" s="5" t="str">
        <f>"421601"</f>
        <v>421601</v>
      </c>
      <c r="B555" s="3" t="s">
        <v>357</v>
      </c>
      <c r="C555" s="15">
        <v>35918226</v>
      </c>
      <c r="D555" s="15">
        <v>37407110</v>
      </c>
      <c r="E555" s="4">
        <v>4.1500000000000004</v>
      </c>
      <c r="F555" s="15">
        <v>26591541</v>
      </c>
      <c r="G555" s="15">
        <v>27272284</v>
      </c>
      <c r="H555" s="15"/>
      <c r="I555" s="15"/>
      <c r="J555" s="15"/>
      <c r="K555" s="15"/>
      <c r="L555" s="15"/>
      <c r="M555" s="15"/>
      <c r="N555" s="15">
        <v>26591541</v>
      </c>
      <c r="O555" s="15">
        <v>27272284</v>
      </c>
      <c r="P555" s="4">
        <v>2.56</v>
      </c>
      <c r="Q555" s="15">
        <v>2717866</v>
      </c>
      <c r="R555" s="15">
        <v>2734226</v>
      </c>
      <c r="S555" s="15">
        <v>23873675</v>
      </c>
      <c r="T555" s="15">
        <v>24538058</v>
      </c>
      <c r="U555" s="15">
        <v>23873675</v>
      </c>
      <c r="V555" s="15">
        <v>24538058</v>
      </c>
      <c r="W555" s="15">
        <v>0</v>
      </c>
      <c r="X555" s="15">
        <v>0</v>
      </c>
      <c r="Y555" s="4">
        <v>1268</v>
      </c>
      <c r="Z555" s="4">
        <v>1275</v>
      </c>
      <c r="AA555" s="4">
        <v>0.55000000000000004</v>
      </c>
      <c r="AB555" s="15">
        <v>9353074</v>
      </c>
      <c r="AC555" s="15">
        <v>9530094</v>
      </c>
      <c r="AD555" s="15">
        <v>717891</v>
      </c>
      <c r="AE555" s="15">
        <v>770000</v>
      </c>
      <c r="AF555" s="15">
        <v>4135099</v>
      </c>
      <c r="AG555" s="15">
        <v>4442217</v>
      </c>
      <c r="AH555" s="4">
        <v>11.51</v>
      </c>
      <c r="AI555" s="6">
        <v>11.88</v>
      </c>
    </row>
    <row r="556" spans="1:35" x14ac:dyDescent="0.25">
      <c r="A556" s="5" t="str">
        <f>"580801"</f>
        <v>580801</v>
      </c>
      <c r="B556" s="3" t="s">
        <v>548</v>
      </c>
      <c r="C556" s="15">
        <v>262319665</v>
      </c>
      <c r="D556" s="15">
        <v>267786882</v>
      </c>
      <c r="E556" s="4">
        <v>2.08</v>
      </c>
      <c r="F556" s="15">
        <v>204979539</v>
      </c>
      <c r="G556" s="15">
        <v>207439293</v>
      </c>
      <c r="H556" s="15"/>
      <c r="I556" s="15"/>
      <c r="J556" s="15"/>
      <c r="K556" s="15"/>
      <c r="L556" s="15"/>
      <c r="M556" s="15"/>
      <c r="N556" s="15">
        <v>204979539</v>
      </c>
      <c r="O556" s="15">
        <v>207439293</v>
      </c>
      <c r="P556" s="4">
        <v>1.2</v>
      </c>
      <c r="Q556" s="15">
        <v>7466408</v>
      </c>
      <c r="R556" s="15">
        <v>6364548</v>
      </c>
      <c r="S556" s="15">
        <v>198527474</v>
      </c>
      <c r="T556" s="15">
        <v>201945240</v>
      </c>
      <c r="U556" s="15">
        <v>197513131</v>
      </c>
      <c r="V556" s="15">
        <v>201074745</v>
      </c>
      <c r="W556" s="15">
        <v>1014343</v>
      </c>
      <c r="X556" s="15">
        <v>870495</v>
      </c>
      <c r="Y556" s="4">
        <v>7937</v>
      </c>
      <c r="Z556" s="4">
        <v>7644</v>
      </c>
      <c r="AA556" s="4">
        <v>-3.69</v>
      </c>
      <c r="AB556" s="15">
        <v>40550124</v>
      </c>
      <c r="AC556" s="15">
        <v>39435536</v>
      </c>
      <c r="AD556" s="15">
        <v>1500000</v>
      </c>
      <c r="AE556" s="15">
        <v>1500000</v>
      </c>
      <c r="AF556" s="15">
        <v>10484109</v>
      </c>
      <c r="AG556" s="15">
        <v>10711475</v>
      </c>
      <c r="AH556" s="4">
        <v>4</v>
      </c>
      <c r="AI556" s="6">
        <v>4</v>
      </c>
    </row>
    <row r="557" spans="1:35" x14ac:dyDescent="0.25">
      <c r="A557" s="5" t="str">
        <f>"651201"</f>
        <v>651201</v>
      </c>
      <c r="B557" s="3" t="s">
        <v>621</v>
      </c>
      <c r="C557" s="15">
        <v>28767811</v>
      </c>
      <c r="D557" s="15">
        <v>30775814</v>
      </c>
      <c r="E557" s="4">
        <v>6.98</v>
      </c>
      <c r="F557" s="15">
        <v>9104710</v>
      </c>
      <c r="G557" s="15">
        <v>9195710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9104710</v>
      </c>
      <c r="O557" s="15">
        <v>9195710</v>
      </c>
      <c r="P557" s="4">
        <v>1</v>
      </c>
      <c r="Q557" s="15">
        <v>0</v>
      </c>
      <c r="R557" s="15">
        <v>0</v>
      </c>
      <c r="S557" s="15">
        <v>9382449</v>
      </c>
      <c r="T557" s="15">
        <v>9399589</v>
      </c>
      <c r="U557" s="15">
        <v>9104710</v>
      </c>
      <c r="V557" s="15">
        <v>9195710</v>
      </c>
      <c r="W557" s="15">
        <v>277739</v>
      </c>
      <c r="X557" s="15">
        <v>203879</v>
      </c>
      <c r="Y557" s="4">
        <v>1053</v>
      </c>
      <c r="Z557" s="4">
        <v>1037</v>
      </c>
      <c r="AA557" s="4">
        <v>-1.52</v>
      </c>
      <c r="AB557" s="15">
        <v>3213408</v>
      </c>
      <c r="AC557" s="15">
        <v>3200000</v>
      </c>
      <c r="AD557" s="15">
        <v>1058240</v>
      </c>
      <c r="AE557" s="15">
        <v>750000</v>
      </c>
      <c r="AF557" s="15">
        <v>1122293</v>
      </c>
      <c r="AG557" s="15">
        <v>1231032</v>
      </c>
      <c r="AH557" s="4">
        <v>3.9</v>
      </c>
      <c r="AI557" s="6">
        <v>4</v>
      </c>
    </row>
    <row r="558" spans="1:35" x14ac:dyDescent="0.25">
      <c r="A558" s="5" t="str">
        <f>"420702"</f>
        <v>420702</v>
      </c>
      <c r="B558" s="3" t="s">
        <v>349</v>
      </c>
      <c r="C558" s="15">
        <v>36765000</v>
      </c>
      <c r="D558" s="15">
        <v>39100000</v>
      </c>
      <c r="E558" s="4">
        <v>6.35</v>
      </c>
      <c r="F558" s="15">
        <v>15825000</v>
      </c>
      <c r="G558" s="15">
        <v>16280000</v>
      </c>
      <c r="H558" s="15"/>
      <c r="I558" s="15"/>
      <c r="J558" s="15"/>
      <c r="K558" s="15"/>
      <c r="L558" s="15"/>
      <c r="M558" s="15"/>
      <c r="N558" s="15">
        <v>15825000</v>
      </c>
      <c r="O558" s="15">
        <v>16280000</v>
      </c>
      <c r="P558" s="4">
        <v>2.88</v>
      </c>
      <c r="Q558" s="15">
        <v>592009</v>
      </c>
      <c r="R558" s="15">
        <v>604724</v>
      </c>
      <c r="S558" s="15">
        <v>15233939</v>
      </c>
      <c r="T558" s="15">
        <v>15678527</v>
      </c>
      <c r="U558" s="15">
        <v>15232991</v>
      </c>
      <c r="V558" s="15">
        <v>15675276</v>
      </c>
      <c r="W558" s="15">
        <v>948</v>
      </c>
      <c r="X558" s="15">
        <v>3251</v>
      </c>
      <c r="Y558" s="4">
        <v>1400</v>
      </c>
      <c r="Z558" s="4">
        <v>1390</v>
      </c>
      <c r="AA558" s="4">
        <v>-0.71</v>
      </c>
      <c r="AB558" s="15">
        <v>8284535</v>
      </c>
      <c r="AC558" s="15">
        <v>10000000</v>
      </c>
      <c r="AD558" s="15">
        <v>1850482</v>
      </c>
      <c r="AE558" s="15">
        <v>2000000</v>
      </c>
      <c r="AF558" s="15">
        <v>4219509</v>
      </c>
      <c r="AG558" s="15">
        <v>2000000</v>
      </c>
      <c r="AH558" s="4">
        <v>11.48</v>
      </c>
      <c r="AI558" s="6">
        <v>5.12</v>
      </c>
    </row>
    <row r="559" spans="1:35" x14ac:dyDescent="0.25">
      <c r="A559" s="5" t="str">
        <f>"662101"</f>
        <v>662101</v>
      </c>
      <c r="B559" s="3" t="s">
        <v>660</v>
      </c>
      <c r="C559" s="15">
        <v>97483143</v>
      </c>
      <c r="D559" s="15">
        <v>100982930</v>
      </c>
      <c r="E559" s="4">
        <v>3.59</v>
      </c>
      <c r="F559" s="15">
        <v>82699208</v>
      </c>
      <c r="G559" s="15">
        <v>84353192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  <c r="N559" s="15">
        <v>82699208</v>
      </c>
      <c r="O559" s="15">
        <v>84353192</v>
      </c>
      <c r="P559" s="4">
        <v>2</v>
      </c>
      <c r="Q559" s="15">
        <v>3096418</v>
      </c>
      <c r="R559" s="15">
        <v>4420068</v>
      </c>
      <c r="S559" s="15">
        <v>79602790</v>
      </c>
      <c r="T559" s="15">
        <v>81522787</v>
      </c>
      <c r="U559" s="15">
        <v>79602790</v>
      </c>
      <c r="V559" s="15">
        <v>79933124</v>
      </c>
      <c r="W559" s="15">
        <v>0</v>
      </c>
      <c r="X559" s="15">
        <v>1589663</v>
      </c>
      <c r="Y559" s="4">
        <v>2695</v>
      </c>
      <c r="Z559" s="4">
        <v>2649</v>
      </c>
      <c r="AA559" s="4">
        <v>-1.71</v>
      </c>
      <c r="AB559" s="15">
        <v>12393971</v>
      </c>
      <c r="AC559" s="15">
        <v>11716420</v>
      </c>
      <c r="AD559" s="15">
        <v>0</v>
      </c>
      <c r="AE559" s="15">
        <v>0</v>
      </c>
      <c r="AF559" s="15">
        <v>3899428</v>
      </c>
      <c r="AG559" s="15">
        <v>4039317</v>
      </c>
      <c r="AH559" s="4">
        <v>4</v>
      </c>
      <c r="AI559" s="6">
        <v>4</v>
      </c>
    </row>
    <row r="560" spans="1:35" x14ac:dyDescent="0.25">
      <c r="A560" s="5" t="str">
        <f>"010601"</f>
        <v>010601</v>
      </c>
      <c r="B560" s="3" t="s">
        <v>5</v>
      </c>
      <c r="C560" s="15">
        <v>108016351</v>
      </c>
      <c r="D560" s="15">
        <v>113458885</v>
      </c>
      <c r="E560" s="4">
        <v>5.04</v>
      </c>
      <c r="F560" s="15">
        <v>74740000</v>
      </c>
      <c r="G560" s="15">
        <v>76548708</v>
      </c>
      <c r="H560" s="15"/>
      <c r="I560" s="15"/>
      <c r="J560" s="15"/>
      <c r="K560" s="15"/>
      <c r="L560" s="15"/>
      <c r="M560" s="15"/>
      <c r="N560" s="15">
        <v>74740000</v>
      </c>
      <c r="O560" s="15">
        <v>76548708</v>
      </c>
      <c r="P560" s="4">
        <v>2.42</v>
      </c>
      <c r="Q560" s="15">
        <v>1366860</v>
      </c>
      <c r="R560" s="15">
        <v>1465881</v>
      </c>
      <c r="S560" s="15">
        <v>73400178</v>
      </c>
      <c r="T560" s="15">
        <v>75470849</v>
      </c>
      <c r="U560" s="15">
        <v>73373140</v>
      </c>
      <c r="V560" s="15">
        <v>75082827</v>
      </c>
      <c r="W560" s="15">
        <v>27038</v>
      </c>
      <c r="X560" s="15">
        <v>388022</v>
      </c>
      <c r="Y560" s="4">
        <v>4870</v>
      </c>
      <c r="Z560" s="4">
        <v>4870</v>
      </c>
      <c r="AA560" s="4">
        <v>0</v>
      </c>
      <c r="AB560" s="15">
        <v>6187923</v>
      </c>
      <c r="AC560" s="15">
        <v>7687923</v>
      </c>
      <c r="AD560" s="15">
        <v>3438536</v>
      </c>
      <c r="AE560" s="15">
        <v>3100000</v>
      </c>
      <c r="AF560" s="15">
        <v>4141702</v>
      </c>
      <c r="AG560" s="15">
        <v>4641702</v>
      </c>
      <c r="AH560" s="4">
        <v>3.83</v>
      </c>
      <c r="AI560" s="6">
        <v>4.09</v>
      </c>
    </row>
    <row r="561" spans="1:35" x14ac:dyDescent="0.25">
      <c r="A561" s="5" t="str">
        <f>"580235"</f>
        <v>580235</v>
      </c>
      <c r="B561" s="3" t="s">
        <v>519</v>
      </c>
      <c r="C561" s="15">
        <v>145451282</v>
      </c>
      <c r="D561" s="15">
        <v>142798980</v>
      </c>
      <c r="E561" s="4">
        <v>-1.82</v>
      </c>
      <c r="F561" s="15">
        <v>64349842</v>
      </c>
      <c r="G561" s="15">
        <v>65475965</v>
      </c>
      <c r="H561" s="15"/>
      <c r="I561" s="15"/>
      <c r="J561" s="15"/>
      <c r="K561" s="15"/>
      <c r="L561" s="15"/>
      <c r="M561" s="15"/>
      <c r="N561" s="15">
        <v>64349842</v>
      </c>
      <c r="O561" s="15">
        <v>65475965</v>
      </c>
      <c r="P561" s="4">
        <v>1.75</v>
      </c>
      <c r="Q561" s="15">
        <v>0</v>
      </c>
      <c r="R561" s="15">
        <v>3523522</v>
      </c>
      <c r="S561" s="15">
        <v>64349842</v>
      </c>
      <c r="T561" s="15">
        <v>65820460</v>
      </c>
      <c r="U561" s="15">
        <v>64349842</v>
      </c>
      <c r="V561" s="15">
        <v>61952443</v>
      </c>
      <c r="W561" s="15">
        <v>0</v>
      </c>
      <c r="X561" s="15">
        <v>3868017</v>
      </c>
      <c r="Y561" s="4">
        <v>4161</v>
      </c>
      <c r="Z561" s="4">
        <v>4117</v>
      </c>
      <c r="AA561" s="4">
        <v>-1.06</v>
      </c>
      <c r="AB561" s="15">
        <v>20386178</v>
      </c>
      <c r="AC561" s="15">
        <v>22401977</v>
      </c>
      <c r="AD561" s="15">
        <v>4000000</v>
      </c>
      <c r="AE561" s="15">
        <v>4000000</v>
      </c>
      <c r="AF561" s="15">
        <v>5818051</v>
      </c>
      <c r="AG561" s="15">
        <v>5711959</v>
      </c>
      <c r="AH561" s="4">
        <v>4</v>
      </c>
      <c r="AI561" s="6">
        <v>4</v>
      </c>
    </row>
    <row r="562" spans="1:35" x14ac:dyDescent="0.25">
      <c r="A562" s="5" t="str">
        <f>"521401"</f>
        <v>521401</v>
      </c>
      <c r="B562" s="3" t="s">
        <v>462</v>
      </c>
      <c r="C562" s="15">
        <v>64311177</v>
      </c>
      <c r="D562" s="15">
        <v>64935782</v>
      </c>
      <c r="E562" s="4">
        <v>0.97</v>
      </c>
      <c r="F562" s="15">
        <v>32561218</v>
      </c>
      <c r="G562" s="15">
        <v>33504727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32561218</v>
      </c>
      <c r="O562" s="15">
        <v>33504727</v>
      </c>
      <c r="P562" s="4">
        <v>2.9</v>
      </c>
      <c r="Q562" s="15">
        <v>923839</v>
      </c>
      <c r="R562" s="15">
        <v>913944</v>
      </c>
      <c r="S562" s="15">
        <v>31819485</v>
      </c>
      <c r="T562" s="15">
        <v>32824774</v>
      </c>
      <c r="U562" s="15">
        <v>31637379</v>
      </c>
      <c r="V562" s="15">
        <v>32590783</v>
      </c>
      <c r="W562" s="15">
        <v>182106</v>
      </c>
      <c r="X562" s="15">
        <v>233991</v>
      </c>
      <c r="Y562" s="4">
        <v>2938</v>
      </c>
      <c r="Z562" s="4">
        <v>2938</v>
      </c>
      <c r="AA562" s="4">
        <v>0</v>
      </c>
      <c r="AB562" s="15">
        <v>11764102</v>
      </c>
      <c r="AC562" s="15">
        <v>11764102</v>
      </c>
      <c r="AD562" s="15">
        <v>0</v>
      </c>
      <c r="AE562" s="15">
        <v>0</v>
      </c>
      <c r="AF562" s="15">
        <v>2570550</v>
      </c>
      <c r="AG562" s="15">
        <v>2570550</v>
      </c>
      <c r="AH562" s="4">
        <v>4</v>
      </c>
      <c r="AI562" s="6">
        <v>3.96</v>
      </c>
    </row>
    <row r="563" spans="1:35" x14ac:dyDescent="0.25">
      <c r="A563" s="5" t="str">
        <f>"580413"</f>
        <v>580413</v>
      </c>
      <c r="B563" s="3" t="s">
        <v>533</v>
      </c>
      <c r="C563" s="15">
        <v>184937763</v>
      </c>
      <c r="D563" s="15">
        <v>195504039</v>
      </c>
      <c r="E563" s="4">
        <v>5.71</v>
      </c>
      <c r="F563" s="15">
        <v>121832088</v>
      </c>
      <c r="G563" s="15">
        <v>121832088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121832088</v>
      </c>
      <c r="O563" s="15">
        <v>121832088</v>
      </c>
      <c r="P563" s="4">
        <v>0</v>
      </c>
      <c r="Q563" s="15">
        <v>4502762</v>
      </c>
      <c r="R563" s="15">
        <v>7155367</v>
      </c>
      <c r="S563" s="15">
        <v>118539326</v>
      </c>
      <c r="T563" s="15">
        <v>119874742</v>
      </c>
      <c r="U563" s="15">
        <v>117329326</v>
      </c>
      <c r="V563" s="15">
        <v>114676721</v>
      </c>
      <c r="W563" s="15">
        <v>1210000</v>
      </c>
      <c r="X563" s="15">
        <v>5198021</v>
      </c>
      <c r="Y563" s="4">
        <v>5601</v>
      </c>
      <c r="Z563" s="4">
        <v>5700</v>
      </c>
      <c r="AA563" s="4">
        <v>1.77</v>
      </c>
      <c r="AB563" s="15">
        <v>11873304</v>
      </c>
      <c r="AC563" s="15">
        <v>9373304</v>
      </c>
      <c r="AD563" s="15">
        <v>4500000</v>
      </c>
      <c r="AE563" s="15">
        <v>3900000</v>
      </c>
      <c r="AF563" s="15">
        <v>5500000</v>
      </c>
      <c r="AG563" s="15">
        <v>6000000</v>
      </c>
      <c r="AH563" s="4">
        <v>2.97</v>
      </c>
      <c r="AI563" s="6">
        <v>3.07</v>
      </c>
    </row>
    <row r="564" spans="1:35" x14ac:dyDescent="0.25">
      <c r="A564" s="5" t="str">
        <f>"220101"</f>
        <v>220101</v>
      </c>
      <c r="B564" s="3" t="s">
        <v>208</v>
      </c>
      <c r="C564" s="15">
        <v>37241566</v>
      </c>
      <c r="D564" s="15">
        <v>39083979</v>
      </c>
      <c r="E564" s="4">
        <v>4.95</v>
      </c>
      <c r="F564" s="15">
        <v>8225440</v>
      </c>
      <c r="G564" s="15">
        <v>8390000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8225440</v>
      </c>
      <c r="O564" s="15">
        <v>8390000</v>
      </c>
      <c r="P564" s="4">
        <v>2</v>
      </c>
      <c r="Q564" s="15">
        <v>136684</v>
      </c>
      <c r="R564" s="15">
        <v>131354</v>
      </c>
      <c r="S564" s="15">
        <v>8088756</v>
      </c>
      <c r="T564" s="15">
        <v>8260560</v>
      </c>
      <c r="U564" s="15">
        <v>8088756</v>
      </c>
      <c r="V564" s="15">
        <v>8258646</v>
      </c>
      <c r="W564" s="15">
        <v>0</v>
      </c>
      <c r="X564" s="15">
        <v>1914</v>
      </c>
      <c r="Y564" s="4">
        <v>1867</v>
      </c>
      <c r="Z564" s="4">
        <v>1867</v>
      </c>
      <c r="AA564" s="4">
        <v>0</v>
      </c>
      <c r="AB564" s="15">
        <v>1180261</v>
      </c>
      <c r="AC564" s="15">
        <v>2588181</v>
      </c>
      <c r="AD564" s="15">
        <v>2217283</v>
      </c>
      <c r="AE564" s="15">
        <v>2052783</v>
      </c>
      <c r="AF564" s="15">
        <v>3017057</v>
      </c>
      <c r="AG564" s="15">
        <v>2368320</v>
      </c>
      <c r="AH564" s="4">
        <v>8.1</v>
      </c>
      <c r="AI564" s="6">
        <v>6.06</v>
      </c>
    </row>
    <row r="565" spans="1:35" x14ac:dyDescent="0.25">
      <c r="A565" s="5" t="str">
        <f>"121702"</f>
        <v>121702</v>
      </c>
      <c r="B565" s="3" t="s">
        <v>113</v>
      </c>
      <c r="C565" s="15">
        <v>10456640</v>
      </c>
      <c r="D565" s="15">
        <v>10881470</v>
      </c>
      <c r="E565" s="4">
        <v>4.0599999999999996</v>
      </c>
      <c r="F565" s="15">
        <v>4911070</v>
      </c>
      <c r="G565" s="15">
        <v>5011719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  <c r="N565" s="15">
        <v>4911070</v>
      </c>
      <c r="O565" s="15">
        <v>5011719</v>
      </c>
      <c r="P565" s="4">
        <v>2.0499999999999998</v>
      </c>
      <c r="Q565" s="15">
        <v>189916</v>
      </c>
      <c r="R565" s="15">
        <v>170094</v>
      </c>
      <c r="S565" s="15">
        <v>4721154</v>
      </c>
      <c r="T565" s="15">
        <v>4841625</v>
      </c>
      <c r="U565" s="15">
        <v>4721154</v>
      </c>
      <c r="V565" s="15">
        <v>4841625</v>
      </c>
      <c r="W565" s="15">
        <v>0</v>
      </c>
      <c r="X565" s="15">
        <v>0</v>
      </c>
      <c r="Y565" s="4">
        <v>326</v>
      </c>
      <c r="Z565" s="4">
        <v>330</v>
      </c>
      <c r="AA565" s="4">
        <v>1.23</v>
      </c>
      <c r="AB565" s="15">
        <v>2043612</v>
      </c>
      <c r="AC565" s="15">
        <v>1856941</v>
      </c>
      <c r="AD565" s="15">
        <v>220000</v>
      </c>
      <c r="AE565" s="15">
        <v>406671</v>
      </c>
      <c r="AF565" s="15">
        <v>619198</v>
      </c>
      <c r="AG565" s="15">
        <v>399198</v>
      </c>
      <c r="AH565" s="4">
        <v>5.92</v>
      </c>
      <c r="AI565" s="6">
        <v>3.67</v>
      </c>
    </row>
    <row r="566" spans="1:35" x14ac:dyDescent="0.25">
      <c r="A566" s="5" t="str">
        <f>"231101"</f>
        <v>231101</v>
      </c>
      <c r="B566" s="3" t="s">
        <v>222</v>
      </c>
      <c r="C566" s="15">
        <v>28000656</v>
      </c>
      <c r="D566" s="15">
        <v>28540102</v>
      </c>
      <c r="E566" s="4">
        <v>1.93</v>
      </c>
      <c r="F566" s="15">
        <v>9101419</v>
      </c>
      <c r="G566" s="15">
        <v>9279304</v>
      </c>
      <c r="H566" s="15"/>
      <c r="I566" s="15"/>
      <c r="J566" s="15"/>
      <c r="K566" s="15"/>
      <c r="L566" s="15"/>
      <c r="M566" s="15"/>
      <c r="N566" s="15">
        <v>9101419</v>
      </c>
      <c r="O566" s="15">
        <v>9279304</v>
      </c>
      <c r="P566" s="4">
        <v>1.95</v>
      </c>
      <c r="Q566" s="15">
        <v>540585</v>
      </c>
      <c r="R566" s="15">
        <v>509767</v>
      </c>
      <c r="S566" s="15">
        <v>8782486</v>
      </c>
      <c r="T566" s="15">
        <v>8814777</v>
      </c>
      <c r="U566" s="15">
        <v>8560834</v>
      </c>
      <c r="V566" s="15">
        <v>8769537</v>
      </c>
      <c r="W566" s="15">
        <v>221652</v>
      </c>
      <c r="X566" s="15">
        <v>45240</v>
      </c>
      <c r="Y566" s="4">
        <v>970</v>
      </c>
      <c r="Z566" s="4">
        <v>970</v>
      </c>
      <c r="AA566" s="4">
        <v>0</v>
      </c>
      <c r="AB566" s="15">
        <v>1589541</v>
      </c>
      <c r="AC566" s="15">
        <v>5216000</v>
      </c>
      <c r="AD566" s="15">
        <v>777435</v>
      </c>
      <c r="AE566" s="15">
        <v>775000</v>
      </c>
      <c r="AF566" s="15">
        <v>3908372</v>
      </c>
      <c r="AG566" s="15">
        <v>2408372</v>
      </c>
      <c r="AH566" s="4">
        <v>13.96</v>
      </c>
      <c r="AI566" s="6">
        <v>8.44</v>
      </c>
    </row>
    <row r="567" spans="1:35" x14ac:dyDescent="0.25">
      <c r="A567" s="5" t="str">
        <f>"500301"</f>
        <v>500301</v>
      </c>
      <c r="B567" s="3" t="s">
        <v>433</v>
      </c>
      <c r="C567" s="15">
        <v>98208170</v>
      </c>
      <c r="D567" s="15">
        <v>101554865</v>
      </c>
      <c r="E567" s="4">
        <v>3.41</v>
      </c>
      <c r="F567" s="15">
        <v>83676185</v>
      </c>
      <c r="G567" s="15">
        <v>85990120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83676185</v>
      </c>
      <c r="O567" s="15">
        <v>85990120</v>
      </c>
      <c r="P567" s="4">
        <v>2.77</v>
      </c>
      <c r="Q567" s="15">
        <v>2568600</v>
      </c>
      <c r="R567" s="15">
        <v>3030643</v>
      </c>
      <c r="S567" s="15">
        <v>81107585</v>
      </c>
      <c r="T567" s="15">
        <v>82959477</v>
      </c>
      <c r="U567" s="15">
        <v>81107585</v>
      </c>
      <c r="V567" s="15">
        <v>82959477</v>
      </c>
      <c r="W567" s="15">
        <v>0</v>
      </c>
      <c r="X567" s="15">
        <v>0</v>
      </c>
      <c r="Y567" s="4">
        <v>2795</v>
      </c>
      <c r="Z567" s="4">
        <v>2774</v>
      </c>
      <c r="AA567" s="4">
        <v>-0.75</v>
      </c>
      <c r="AB567" s="15">
        <v>31825391</v>
      </c>
      <c r="AC567" s="15">
        <v>18825391</v>
      </c>
      <c r="AD567" s="15">
        <v>0</v>
      </c>
      <c r="AE567" s="15">
        <v>0</v>
      </c>
      <c r="AF567" s="15">
        <v>3672921</v>
      </c>
      <c r="AG567" s="15">
        <v>4062195</v>
      </c>
      <c r="AH567" s="4">
        <v>3.74</v>
      </c>
      <c r="AI567" s="6">
        <v>4</v>
      </c>
    </row>
    <row r="568" spans="1:35" x14ac:dyDescent="0.25">
      <c r="A568" s="5" t="str">
        <f>"560501"</f>
        <v>560501</v>
      </c>
      <c r="B568" s="3" t="s">
        <v>481</v>
      </c>
      <c r="C568" s="15">
        <v>24980340</v>
      </c>
      <c r="D568" s="15">
        <v>25870667</v>
      </c>
      <c r="E568" s="4">
        <v>3.56</v>
      </c>
      <c r="F568" s="15">
        <v>8442307</v>
      </c>
      <c r="G568" s="15">
        <v>8653365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8442307</v>
      </c>
      <c r="O568" s="15">
        <v>8653365</v>
      </c>
      <c r="P568" s="4">
        <v>2.5</v>
      </c>
      <c r="Q568" s="15">
        <v>0</v>
      </c>
      <c r="R568" s="15">
        <v>0</v>
      </c>
      <c r="S568" s="15">
        <v>8442307</v>
      </c>
      <c r="T568" s="15">
        <v>8685419</v>
      </c>
      <c r="U568" s="15">
        <v>8442307</v>
      </c>
      <c r="V568" s="15">
        <v>8653365</v>
      </c>
      <c r="W568" s="15">
        <v>0</v>
      </c>
      <c r="X568" s="15">
        <v>32054</v>
      </c>
      <c r="Y568" s="4">
        <v>668</v>
      </c>
      <c r="Z568" s="4">
        <v>655</v>
      </c>
      <c r="AA568" s="4">
        <v>-1.95</v>
      </c>
      <c r="AB568" s="15">
        <v>8189634</v>
      </c>
      <c r="AC568" s="15">
        <v>8815795</v>
      </c>
      <c r="AD568" s="15">
        <v>541994</v>
      </c>
      <c r="AE568" s="15">
        <v>607833</v>
      </c>
      <c r="AF568" s="15">
        <v>1045408</v>
      </c>
      <c r="AG568" s="15">
        <v>918995</v>
      </c>
      <c r="AH568" s="4">
        <v>4.18</v>
      </c>
      <c r="AI568" s="6">
        <v>3.55</v>
      </c>
    </row>
    <row r="569" spans="1:35" x14ac:dyDescent="0.25">
      <c r="A569" s="5" t="str">
        <f>"580906"</f>
        <v>580906</v>
      </c>
      <c r="B569" s="3" t="s">
        <v>554</v>
      </c>
      <c r="C569" s="15">
        <v>73999900</v>
      </c>
      <c r="D569" s="15">
        <v>74990000</v>
      </c>
      <c r="E569" s="4">
        <v>1.34</v>
      </c>
      <c r="F569" s="15">
        <v>60683686</v>
      </c>
      <c r="G569" s="15">
        <v>61317249</v>
      </c>
      <c r="H569" s="15">
        <v>0</v>
      </c>
      <c r="I569" s="15">
        <v>0</v>
      </c>
      <c r="J569" s="15">
        <v>0</v>
      </c>
      <c r="K569" s="15">
        <v>0</v>
      </c>
      <c r="L569" s="15">
        <v>750000</v>
      </c>
      <c r="M569" s="15">
        <v>0</v>
      </c>
      <c r="N569" s="15">
        <v>59933686</v>
      </c>
      <c r="O569" s="15">
        <v>61317249</v>
      </c>
      <c r="P569" s="4">
        <v>2.31</v>
      </c>
      <c r="Q569" s="15">
        <v>3433461</v>
      </c>
      <c r="R569" s="15">
        <v>3175841</v>
      </c>
      <c r="S569" s="15">
        <v>60640842</v>
      </c>
      <c r="T569" s="15">
        <v>58141408</v>
      </c>
      <c r="U569" s="15">
        <v>57250225</v>
      </c>
      <c r="V569" s="15">
        <v>58141408</v>
      </c>
      <c r="W569" s="15">
        <v>3390617</v>
      </c>
      <c r="X569" s="15">
        <v>0</v>
      </c>
      <c r="Y569" s="4">
        <v>707156</v>
      </c>
      <c r="Z569" s="4">
        <v>0</v>
      </c>
      <c r="AA569" s="4">
        <v>-100</v>
      </c>
      <c r="AB569" s="15">
        <v>23986216</v>
      </c>
      <c r="AC569" s="15">
        <v>24000000</v>
      </c>
      <c r="AD569" s="15">
        <v>750000</v>
      </c>
      <c r="AE569" s="15">
        <v>500000</v>
      </c>
      <c r="AF569" s="15">
        <v>4818922</v>
      </c>
      <c r="AG569" s="15">
        <v>2500000</v>
      </c>
      <c r="AH569" s="4">
        <v>6.51</v>
      </c>
      <c r="AI569" s="6">
        <v>3.33</v>
      </c>
    </row>
    <row r="570" spans="1:35" x14ac:dyDescent="0.25">
      <c r="A570" s="5" t="str">
        <f>"050701"</f>
        <v>050701</v>
      </c>
      <c r="B570" s="3" t="s">
        <v>51</v>
      </c>
      <c r="C570" s="15">
        <v>18378276</v>
      </c>
      <c r="D570" s="15">
        <v>18723991</v>
      </c>
      <c r="E570" s="4">
        <v>1.88</v>
      </c>
      <c r="F570" s="15">
        <v>8153284</v>
      </c>
      <c r="G570" s="15">
        <v>8194051</v>
      </c>
      <c r="H570" s="15">
        <v>0</v>
      </c>
      <c r="I570" s="15">
        <v>0</v>
      </c>
      <c r="J570" s="15">
        <v>0</v>
      </c>
      <c r="K570" s="15">
        <v>0</v>
      </c>
      <c r="L570" s="15">
        <v>0</v>
      </c>
      <c r="M570" s="15">
        <v>0</v>
      </c>
      <c r="N570" s="15">
        <v>8153284</v>
      </c>
      <c r="O570" s="15">
        <v>8194051</v>
      </c>
      <c r="P570" s="4">
        <v>0.5</v>
      </c>
      <c r="Q570" s="15">
        <v>460148</v>
      </c>
      <c r="R570" s="15">
        <v>514229</v>
      </c>
      <c r="S570" s="15">
        <v>7793080</v>
      </c>
      <c r="T570" s="15">
        <v>7848625</v>
      </c>
      <c r="U570" s="15">
        <v>7693136</v>
      </c>
      <c r="V570" s="15">
        <v>7679822</v>
      </c>
      <c r="W570" s="15">
        <v>99944</v>
      </c>
      <c r="X570" s="15">
        <v>168803</v>
      </c>
      <c r="Y570" s="4">
        <v>687</v>
      </c>
      <c r="Z570" s="4">
        <v>690</v>
      </c>
      <c r="AA570" s="4">
        <v>0.44</v>
      </c>
      <c r="AB570" s="15">
        <v>8624998</v>
      </c>
      <c r="AC570" s="15">
        <v>8624998</v>
      </c>
      <c r="AD570" s="15">
        <v>587848</v>
      </c>
      <c r="AE570" s="15">
        <v>457368</v>
      </c>
      <c r="AF570" s="15">
        <v>1557447</v>
      </c>
      <c r="AG570" s="15">
        <v>749000</v>
      </c>
      <c r="AH570" s="4">
        <v>8.4700000000000006</v>
      </c>
      <c r="AI570" s="6">
        <v>4</v>
      </c>
    </row>
    <row r="571" spans="1:35" x14ac:dyDescent="0.25">
      <c r="A571" s="5" t="str">
        <f>"581005"</f>
        <v>581005</v>
      </c>
      <c r="B571" s="3" t="s">
        <v>562</v>
      </c>
      <c r="C571" s="15">
        <v>31604000</v>
      </c>
      <c r="D571" s="15">
        <v>32205000</v>
      </c>
      <c r="E571" s="4">
        <v>1.9</v>
      </c>
      <c r="F571" s="15">
        <v>28106000</v>
      </c>
      <c r="G571" s="15">
        <v>28588000</v>
      </c>
      <c r="H571" s="15"/>
      <c r="I571" s="15"/>
      <c r="J571" s="15"/>
      <c r="K571" s="15"/>
      <c r="L571" s="15"/>
      <c r="M571" s="15"/>
      <c r="N571" s="15">
        <v>28106000</v>
      </c>
      <c r="O571" s="15">
        <v>28588000</v>
      </c>
      <c r="P571" s="4">
        <v>1.71</v>
      </c>
      <c r="Q571" s="15">
        <v>737764</v>
      </c>
      <c r="R571" s="15">
        <v>764970</v>
      </c>
      <c r="S571" s="15">
        <v>27368797</v>
      </c>
      <c r="T571" s="15">
        <v>27851302</v>
      </c>
      <c r="U571" s="15">
        <v>27368236</v>
      </c>
      <c r="V571" s="15">
        <v>27823030</v>
      </c>
      <c r="W571" s="15">
        <v>561</v>
      </c>
      <c r="X571" s="15">
        <v>28272</v>
      </c>
      <c r="Y571" s="4">
        <v>750</v>
      </c>
      <c r="Z571" s="4">
        <v>703</v>
      </c>
      <c r="AA571" s="4">
        <v>-6.27</v>
      </c>
      <c r="AB571" s="15">
        <v>11342711</v>
      </c>
      <c r="AC571" s="15">
        <v>12538000</v>
      </c>
      <c r="AD571" s="15">
        <v>1251574</v>
      </c>
      <c r="AE571" s="15">
        <v>650000</v>
      </c>
      <c r="AF571" s="15">
        <v>1255032</v>
      </c>
      <c r="AG571" s="15">
        <v>1288200</v>
      </c>
      <c r="AH571" s="4">
        <v>3.97</v>
      </c>
      <c r="AI571" s="6">
        <v>4</v>
      </c>
    </row>
    <row r="572" spans="1:35" x14ac:dyDescent="0.25">
      <c r="A572" s="5" t="str">
        <f>"060201"</f>
        <v>060201</v>
      </c>
      <c r="B572" s="3" t="s">
        <v>55</v>
      </c>
      <c r="C572" s="15">
        <v>31651060</v>
      </c>
      <c r="D572" s="15">
        <v>30898841</v>
      </c>
      <c r="E572" s="4">
        <v>-2.38</v>
      </c>
      <c r="F572" s="15">
        <v>13519457</v>
      </c>
      <c r="G572" s="15">
        <v>13789846</v>
      </c>
      <c r="H572" s="15"/>
      <c r="I572" s="15"/>
      <c r="J572" s="15"/>
      <c r="K572" s="15"/>
      <c r="L572" s="15"/>
      <c r="M572" s="15"/>
      <c r="N572" s="15">
        <v>13519457</v>
      </c>
      <c r="O572" s="15">
        <v>13789846</v>
      </c>
      <c r="P572" s="4">
        <v>2</v>
      </c>
      <c r="Q572" s="15">
        <v>794162</v>
      </c>
      <c r="R572" s="15">
        <v>360284</v>
      </c>
      <c r="S572" s="15">
        <v>13225041</v>
      </c>
      <c r="T572" s="15">
        <v>12981387</v>
      </c>
      <c r="U572" s="15">
        <v>12725295</v>
      </c>
      <c r="V572" s="15">
        <v>13429562</v>
      </c>
      <c r="W572" s="15">
        <v>499746</v>
      </c>
      <c r="X572" s="15">
        <v>-448175</v>
      </c>
      <c r="Y572" s="4">
        <v>1312</v>
      </c>
      <c r="Z572" s="4">
        <v>1312</v>
      </c>
      <c r="AA572" s="4">
        <v>0</v>
      </c>
      <c r="AB572" s="15">
        <v>2786387</v>
      </c>
      <c r="AC572" s="15">
        <v>3133815</v>
      </c>
      <c r="AD572" s="15">
        <v>550000</v>
      </c>
      <c r="AE572" s="15">
        <v>650000</v>
      </c>
      <c r="AF572" s="15">
        <v>1254544</v>
      </c>
      <c r="AG572" s="15">
        <v>903687</v>
      </c>
      <c r="AH572" s="4">
        <v>3.96</v>
      </c>
      <c r="AI572" s="6">
        <v>2.92</v>
      </c>
    </row>
    <row r="573" spans="1:35" x14ac:dyDescent="0.25">
      <c r="A573" s="5" t="str">
        <f>"131602"</f>
        <v>131602</v>
      </c>
      <c r="B573" s="3" t="s">
        <v>123</v>
      </c>
      <c r="C573" s="15">
        <v>48946037</v>
      </c>
      <c r="D573" s="15">
        <v>50411139</v>
      </c>
      <c r="E573" s="4">
        <v>2.99</v>
      </c>
      <c r="F573" s="15">
        <v>31480122</v>
      </c>
      <c r="G573" s="15">
        <v>32002692</v>
      </c>
      <c r="H573" s="15"/>
      <c r="I573" s="15"/>
      <c r="J573" s="15"/>
      <c r="K573" s="15"/>
      <c r="L573" s="15"/>
      <c r="M573" s="15"/>
      <c r="N573" s="15">
        <v>31480122</v>
      </c>
      <c r="O573" s="15">
        <v>32002692</v>
      </c>
      <c r="P573" s="4">
        <v>1.66</v>
      </c>
      <c r="Q573" s="15">
        <v>1247887</v>
      </c>
      <c r="R573" s="15">
        <v>1887013</v>
      </c>
      <c r="S573" s="15">
        <v>32035847</v>
      </c>
      <c r="T573" s="15">
        <v>32930725</v>
      </c>
      <c r="U573" s="15">
        <v>30232235</v>
      </c>
      <c r="V573" s="15">
        <v>30115679</v>
      </c>
      <c r="W573" s="15">
        <v>1803612</v>
      </c>
      <c r="X573" s="15">
        <v>2815046</v>
      </c>
      <c r="Y573" s="4">
        <v>1503</v>
      </c>
      <c r="Z573" s="4">
        <v>1510</v>
      </c>
      <c r="AA573" s="4">
        <v>0.47</v>
      </c>
      <c r="AB573" s="15">
        <v>7964934</v>
      </c>
      <c r="AC573" s="15">
        <v>8768063</v>
      </c>
      <c r="AD573" s="15">
        <v>1977877</v>
      </c>
      <c r="AE573" s="15">
        <v>350000</v>
      </c>
      <c r="AF573" s="15">
        <v>3417534</v>
      </c>
      <c r="AG573" s="15">
        <v>2016446</v>
      </c>
      <c r="AH573" s="4">
        <v>6.98</v>
      </c>
      <c r="AI573" s="6">
        <v>4</v>
      </c>
    </row>
    <row r="574" spans="1:35" x14ac:dyDescent="0.25">
      <c r="A574" s="5" t="str">
        <f>"261001"</f>
        <v>261001</v>
      </c>
      <c r="B574" s="3" t="s">
        <v>248</v>
      </c>
      <c r="C574" s="15">
        <v>87434885</v>
      </c>
      <c r="D574" s="15">
        <v>88042980</v>
      </c>
      <c r="E574" s="4">
        <v>0.7</v>
      </c>
      <c r="F574" s="15">
        <v>40233431</v>
      </c>
      <c r="G574" s="15">
        <v>41505516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40233431</v>
      </c>
      <c r="O574" s="15">
        <v>41505516</v>
      </c>
      <c r="P574" s="4">
        <v>3.16</v>
      </c>
      <c r="Q574" s="15">
        <v>299768</v>
      </c>
      <c r="R574" s="15">
        <v>298456</v>
      </c>
      <c r="S574" s="15">
        <v>39933663</v>
      </c>
      <c r="T574" s="15">
        <v>41207060</v>
      </c>
      <c r="U574" s="15">
        <v>39933663</v>
      </c>
      <c r="V574" s="15">
        <v>41207060</v>
      </c>
      <c r="W574" s="15">
        <v>0</v>
      </c>
      <c r="X574" s="15">
        <v>0</v>
      </c>
      <c r="Y574" s="4">
        <v>3565</v>
      </c>
      <c r="Z574" s="4">
        <v>3492</v>
      </c>
      <c r="AA574" s="4">
        <v>-2.0499999999999998</v>
      </c>
      <c r="AB574" s="15">
        <v>18288604</v>
      </c>
      <c r="AC574" s="15">
        <v>18290812</v>
      </c>
      <c r="AD574" s="15">
        <v>0</v>
      </c>
      <c r="AE574" s="15">
        <v>0</v>
      </c>
      <c r="AF574" s="15">
        <v>3497395</v>
      </c>
      <c r="AG574" s="15">
        <v>3521719</v>
      </c>
      <c r="AH574" s="4">
        <v>4</v>
      </c>
      <c r="AI574" s="6">
        <v>4</v>
      </c>
    </row>
    <row r="575" spans="1:35" x14ac:dyDescent="0.25">
      <c r="A575" s="5" t="str">
        <f>"600801"</f>
        <v>600801</v>
      </c>
      <c r="B575" s="3" t="s">
        <v>577</v>
      </c>
      <c r="C575" s="15">
        <v>24323506</v>
      </c>
      <c r="D575" s="15">
        <v>24988515</v>
      </c>
      <c r="E575" s="4">
        <v>2.73</v>
      </c>
      <c r="F575" s="15">
        <v>7145248</v>
      </c>
      <c r="G575" s="15">
        <v>7331460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7145248</v>
      </c>
      <c r="O575" s="15">
        <v>7331460</v>
      </c>
      <c r="P575" s="4">
        <v>2.61</v>
      </c>
      <c r="Q575" s="15">
        <v>0</v>
      </c>
      <c r="R575" s="15">
        <v>22560</v>
      </c>
      <c r="S575" s="15">
        <v>7145248</v>
      </c>
      <c r="T575" s="15">
        <v>7308900</v>
      </c>
      <c r="U575" s="15">
        <v>7145248</v>
      </c>
      <c r="V575" s="15">
        <v>7308900</v>
      </c>
      <c r="W575" s="15">
        <v>0</v>
      </c>
      <c r="X575" s="15">
        <v>0</v>
      </c>
      <c r="Y575" s="4">
        <v>796</v>
      </c>
      <c r="Z575" s="4">
        <v>818</v>
      </c>
      <c r="AA575" s="4">
        <v>2.76</v>
      </c>
      <c r="AB575" s="15">
        <v>4487561</v>
      </c>
      <c r="AC575" s="15">
        <v>4427561</v>
      </c>
      <c r="AD575" s="15">
        <v>678119</v>
      </c>
      <c r="AE575" s="15">
        <v>678119</v>
      </c>
      <c r="AF575" s="15">
        <v>972940</v>
      </c>
      <c r="AG575" s="15">
        <v>999541</v>
      </c>
      <c r="AH575" s="4">
        <v>4</v>
      </c>
      <c r="AI575" s="6">
        <v>4</v>
      </c>
    </row>
    <row r="576" spans="1:35" x14ac:dyDescent="0.25">
      <c r="A576" s="5" t="str">
        <f>"580304"</f>
        <v>580304</v>
      </c>
      <c r="B576" s="3" t="s">
        <v>523</v>
      </c>
      <c r="C576" s="15">
        <v>30800134</v>
      </c>
      <c r="D576" s="15">
        <v>32888886</v>
      </c>
      <c r="E576" s="4">
        <v>6.78</v>
      </c>
      <c r="F576" s="15">
        <v>27589156</v>
      </c>
      <c r="G576" s="15">
        <v>29096126</v>
      </c>
      <c r="H576" s="15"/>
      <c r="I576" s="15"/>
      <c r="J576" s="15"/>
      <c r="K576" s="15"/>
      <c r="L576" s="15"/>
      <c r="M576" s="15"/>
      <c r="N576" s="15">
        <v>27589156</v>
      </c>
      <c r="O576" s="15">
        <v>29096126</v>
      </c>
      <c r="P576" s="4">
        <v>5.46</v>
      </c>
      <c r="Q576" s="15">
        <v>860377</v>
      </c>
      <c r="R576" s="15">
        <v>1616361</v>
      </c>
      <c r="S576" s="15">
        <v>27589156</v>
      </c>
      <c r="T576" s="15">
        <v>29096126</v>
      </c>
      <c r="U576" s="15">
        <v>26728779</v>
      </c>
      <c r="V576" s="15">
        <v>27479765</v>
      </c>
      <c r="W576" s="15">
        <v>860377</v>
      </c>
      <c r="X576" s="15">
        <v>1616361</v>
      </c>
      <c r="Y576" s="4">
        <v>1068</v>
      </c>
      <c r="Z576" s="4">
        <v>1100</v>
      </c>
      <c r="AA576" s="4">
        <v>3</v>
      </c>
      <c r="AB576" s="15">
        <v>3854615</v>
      </c>
      <c r="AC576" s="15">
        <v>3527587</v>
      </c>
      <c r="AD576" s="15">
        <v>935962</v>
      </c>
      <c r="AE576" s="15">
        <v>1440140</v>
      </c>
      <c r="AF576" s="15">
        <v>1232005</v>
      </c>
      <c r="AG576" s="15">
        <v>1315555</v>
      </c>
      <c r="AH576" s="4">
        <v>4</v>
      </c>
      <c r="AI576" s="6">
        <v>4</v>
      </c>
    </row>
    <row r="577" spans="1:35" x14ac:dyDescent="0.25">
      <c r="A577" s="5" t="str">
        <f>"141101"</f>
        <v>141101</v>
      </c>
      <c r="B577" s="3" t="s">
        <v>139</v>
      </c>
      <c r="C577" s="15">
        <v>43013312</v>
      </c>
      <c r="D577" s="15">
        <v>43423097</v>
      </c>
      <c r="E577" s="4">
        <v>0.95</v>
      </c>
      <c r="F577" s="15">
        <v>17925717</v>
      </c>
      <c r="G577" s="15">
        <v>18335502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17925717</v>
      </c>
      <c r="O577" s="15">
        <v>18335502</v>
      </c>
      <c r="P577" s="4">
        <v>2.29</v>
      </c>
      <c r="Q577" s="15">
        <v>1226145</v>
      </c>
      <c r="R577" s="15">
        <v>1203104</v>
      </c>
      <c r="S577" s="15">
        <v>16699572</v>
      </c>
      <c r="T577" s="15">
        <v>17132398</v>
      </c>
      <c r="U577" s="15">
        <v>16699572</v>
      </c>
      <c r="V577" s="15">
        <v>17132398</v>
      </c>
      <c r="W577" s="15">
        <v>0</v>
      </c>
      <c r="X577" s="15">
        <v>0</v>
      </c>
      <c r="Y577" s="4">
        <v>1611</v>
      </c>
      <c r="Z577" s="4">
        <v>1599</v>
      </c>
      <c r="AA577" s="4">
        <v>-0.74</v>
      </c>
      <c r="AB577" s="15">
        <v>2508558</v>
      </c>
      <c r="AC577" s="15">
        <v>3254368</v>
      </c>
      <c r="AD577" s="15">
        <v>500000</v>
      </c>
      <c r="AE577" s="15">
        <v>775000</v>
      </c>
      <c r="AF577" s="15">
        <v>5883192</v>
      </c>
      <c r="AG577" s="15">
        <v>2788192</v>
      </c>
      <c r="AH577" s="4">
        <v>13.68</v>
      </c>
      <c r="AI577" s="6">
        <v>6.42</v>
      </c>
    </row>
    <row r="578" spans="1:35" x14ac:dyDescent="0.25">
      <c r="A578" s="5" t="str">
        <f>"161801"</f>
        <v>161801</v>
      </c>
      <c r="B578" s="3" t="s">
        <v>171</v>
      </c>
      <c r="C578" s="15">
        <v>9708409</v>
      </c>
      <c r="D578" s="15">
        <v>10181593</v>
      </c>
      <c r="E578" s="4">
        <v>4.87</v>
      </c>
      <c r="F578" s="15">
        <v>2935385</v>
      </c>
      <c r="G578" s="15">
        <v>3007866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  <c r="N578" s="15">
        <v>2935385</v>
      </c>
      <c r="O578" s="15">
        <v>3007866</v>
      </c>
      <c r="P578" s="4">
        <v>2.4700000000000002</v>
      </c>
      <c r="Q578" s="15">
        <v>0</v>
      </c>
      <c r="R578" s="15">
        <v>0</v>
      </c>
      <c r="S578" s="15">
        <v>2935385</v>
      </c>
      <c r="T578" s="15">
        <v>3007866</v>
      </c>
      <c r="U578" s="15">
        <v>2935385</v>
      </c>
      <c r="V578" s="15">
        <v>3007866</v>
      </c>
      <c r="W578" s="15">
        <v>0</v>
      </c>
      <c r="X578" s="15">
        <v>0</v>
      </c>
      <c r="Y578" s="4">
        <v>256</v>
      </c>
      <c r="Z578" s="4">
        <v>256</v>
      </c>
      <c r="AA578" s="4">
        <v>0</v>
      </c>
      <c r="AB578" s="15">
        <v>387688</v>
      </c>
      <c r="AC578" s="15">
        <v>400672</v>
      </c>
      <c r="AD578" s="15">
        <v>612117</v>
      </c>
      <c r="AE578" s="15">
        <v>245579</v>
      </c>
      <c r="AF578" s="15">
        <v>1026274</v>
      </c>
      <c r="AG578" s="15">
        <v>895610</v>
      </c>
      <c r="AH578" s="4">
        <v>10.57</v>
      </c>
      <c r="AI578" s="6">
        <v>8.8000000000000007</v>
      </c>
    </row>
    <row r="579" spans="1:35" x14ac:dyDescent="0.25">
      <c r="A579" s="5" t="str">
        <f>"121701"</f>
        <v>121701</v>
      </c>
      <c r="B579" s="3" t="s">
        <v>112</v>
      </c>
      <c r="C579" s="15">
        <v>10281536</v>
      </c>
      <c r="D579" s="15">
        <v>10379007</v>
      </c>
      <c r="E579" s="4">
        <v>0.95</v>
      </c>
      <c r="F579" s="15">
        <v>3921827</v>
      </c>
      <c r="G579" s="15">
        <v>4014800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  <c r="N579" s="15">
        <v>3921827</v>
      </c>
      <c r="O579" s="15">
        <v>4014800</v>
      </c>
      <c r="P579" s="4">
        <v>2.37</v>
      </c>
      <c r="Q579" s="15">
        <v>0</v>
      </c>
      <c r="R579" s="15">
        <v>0</v>
      </c>
      <c r="S579" s="15">
        <v>3921966</v>
      </c>
      <c r="T579" s="15">
        <v>4014802</v>
      </c>
      <c r="U579" s="15">
        <v>3921827</v>
      </c>
      <c r="V579" s="15">
        <v>4014800</v>
      </c>
      <c r="W579" s="15">
        <v>139</v>
      </c>
      <c r="X579" s="15">
        <v>2</v>
      </c>
      <c r="Y579" s="4">
        <v>273</v>
      </c>
      <c r="Z579" s="4">
        <v>260</v>
      </c>
      <c r="AA579" s="4">
        <v>-4.76</v>
      </c>
      <c r="AB579" s="15">
        <v>7326329</v>
      </c>
      <c r="AC579" s="15">
        <v>8213576</v>
      </c>
      <c r="AD579" s="15">
        <v>38175</v>
      </c>
      <c r="AE579" s="15">
        <v>0</v>
      </c>
      <c r="AF579" s="15">
        <v>1115465</v>
      </c>
      <c r="AG579" s="15">
        <v>684848</v>
      </c>
      <c r="AH579" s="4">
        <v>10.85</v>
      </c>
      <c r="AI579" s="6">
        <v>6.6</v>
      </c>
    </row>
    <row r="580" spans="1:35" x14ac:dyDescent="0.25">
      <c r="A580" s="5" t="str">
        <f>"401001"</f>
        <v>401001</v>
      </c>
      <c r="B580" s="3" t="s">
        <v>323</v>
      </c>
      <c r="C580" s="15">
        <v>57275368</v>
      </c>
      <c r="D580" s="15">
        <v>61628853</v>
      </c>
      <c r="E580" s="4">
        <v>7.6</v>
      </c>
      <c r="F580" s="15">
        <v>31412776</v>
      </c>
      <c r="G580" s="15">
        <v>32075491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31412776</v>
      </c>
      <c r="O580" s="15">
        <v>32075491</v>
      </c>
      <c r="P580" s="4">
        <v>2.11</v>
      </c>
      <c r="Q580" s="15">
        <v>449571</v>
      </c>
      <c r="R580" s="15">
        <v>365785</v>
      </c>
      <c r="S580" s="15">
        <v>30963205</v>
      </c>
      <c r="T580" s="15">
        <v>31709706</v>
      </c>
      <c r="U580" s="15">
        <v>30963205</v>
      </c>
      <c r="V580" s="15">
        <v>31709706</v>
      </c>
      <c r="W580" s="15">
        <v>0</v>
      </c>
      <c r="X580" s="15">
        <v>0</v>
      </c>
      <c r="Y580" s="4">
        <v>2878</v>
      </c>
      <c r="Z580" s="4">
        <v>2928</v>
      </c>
      <c r="AA580" s="4">
        <v>1.74</v>
      </c>
      <c r="AB580" s="15">
        <v>9638656</v>
      </c>
      <c r="AC580" s="15">
        <v>9641600</v>
      </c>
      <c r="AD580" s="15">
        <v>2750000</v>
      </c>
      <c r="AE580" s="15">
        <v>3262915</v>
      </c>
      <c r="AF580" s="15">
        <v>2913177</v>
      </c>
      <c r="AG580" s="15">
        <v>2434512</v>
      </c>
      <c r="AH580" s="4">
        <v>5.09</v>
      </c>
      <c r="AI580" s="6">
        <v>3.95</v>
      </c>
    </row>
    <row r="581" spans="1:35" x14ac:dyDescent="0.25">
      <c r="A581" s="5" t="str">
        <f>"522001"</f>
        <v>522001</v>
      </c>
      <c r="B581" s="3" t="s">
        <v>465</v>
      </c>
      <c r="C581" s="15">
        <v>28717619</v>
      </c>
      <c r="D581" s="15">
        <v>28544605</v>
      </c>
      <c r="E581" s="4">
        <v>-0.6</v>
      </c>
      <c r="F581" s="15">
        <v>12020441</v>
      </c>
      <c r="G581" s="15">
        <v>12380282</v>
      </c>
      <c r="H581" s="15"/>
      <c r="I581" s="15"/>
      <c r="J581" s="15"/>
      <c r="K581" s="15"/>
      <c r="L581" s="15"/>
      <c r="M581" s="15"/>
      <c r="N581" s="15">
        <v>12020441</v>
      </c>
      <c r="O581" s="15">
        <v>12380282</v>
      </c>
      <c r="P581" s="4">
        <v>2.99</v>
      </c>
      <c r="Q581" s="15">
        <v>858252</v>
      </c>
      <c r="R581" s="15">
        <v>751767</v>
      </c>
      <c r="S581" s="15">
        <v>11197646</v>
      </c>
      <c r="T581" s="15">
        <v>11827815</v>
      </c>
      <c r="U581" s="15">
        <v>11162189</v>
      </c>
      <c r="V581" s="15">
        <v>11628515</v>
      </c>
      <c r="W581" s="15">
        <v>35457</v>
      </c>
      <c r="X581" s="15">
        <v>199300</v>
      </c>
      <c r="Y581" s="4">
        <v>1046</v>
      </c>
      <c r="Z581" s="4">
        <v>1050</v>
      </c>
      <c r="AA581" s="4">
        <v>0.38</v>
      </c>
      <c r="AB581" s="15">
        <v>3103208</v>
      </c>
      <c r="AC581" s="15">
        <v>3103208</v>
      </c>
      <c r="AD581" s="15">
        <v>1900000</v>
      </c>
      <c r="AE581" s="15">
        <v>1250000</v>
      </c>
      <c r="AF581" s="15">
        <v>3144934</v>
      </c>
      <c r="AG581" s="15">
        <v>4783002</v>
      </c>
      <c r="AH581" s="4">
        <v>10.95</v>
      </c>
      <c r="AI581" s="6">
        <v>16.760000000000002</v>
      </c>
    </row>
    <row r="582" spans="1:35" x14ac:dyDescent="0.25">
      <c r="A582" s="5" t="str">
        <f>"251501"</f>
        <v>251501</v>
      </c>
      <c r="B582" s="3" t="s">
        <v>240</v>
      </c>
      <c r="C582" s="15">
        <v>11972504</v>
      </c>
      <c r="D582" s="15">
        <v>12233610</v>
      </c>
      <c r="E582" s="4">
        <v>2.1800000000000002</v>
      </c>
      <c r="F582" s="15">
        <v>2445898</v>
      </c>
      <c r="G582" s="15">
        <v>2493904</v>
      </c>
      <c r="H582" s="15"/>
      <c r="I582" s="15"/>
      <c r="J582" s="15"/>
      <c r="K582" s="15"/>
      <c r="L582" s="15"/>
      <c r="M582" s="15"/>
      <c r="N582" s="15">
        <v>2445898</v>
      </c>
      <c r="O582" s="15">
        <v>2493904</v>
      </c>
      <c r="P582" s="4">
        <v>1.96</v>
      </c>
      <c r="Q582" s="15">
        <v>0</v>
      </c>
      <c r="R582" s="15">
        <v>0</v>
      </c>
      <c r="S582" s="15">
        <v>2445898</v>
      </c>
      <c r="T582" s="15">
        <v>2493904</v>
      </c>
      <c r="U582" s="15">
        <v>2445898</v>
      </c>
      <c r="V582" s="15">
        <v>2493904</v>
      </c>
      <c r="W582" s="15">
        <v>0</v>
      </c>
      <c r="X582" s="15">
        <v>0</v>
      </c>
      <c r="Y582" s="4">
        <v>426</v>
      </c>
      <c r="Z582" s="4">
        <v>430</v>
      </c>
      <c r="AA582" s="4">
        <v>0.94</v>
      </c>
      <c r="AB582" s="15">
        <v>3014775</v>
      </c>
      <c r="AC582" s="15">
        <v>3148131</v>
      </c>
      <c r="AD582" s="15">
        <v>425000</v>
      </c>
      <c r="AE582" s="15">
        <v>425000</v>
      </c>
      <c r="AF582" s="15">
        <v>560768</v>
      </c>
      <c r="AG582" s="15">
        <v>488886</v>
      </c>
      <c r="AH582" s="4">
        <v>4.68</v>
      </c>
      <c r="AI582" s="6">
        <v>4</v>
      </c>
    </row>
    <row r="583" spans="1:35" x14ac:dyDescent="0.25">
      <c r="A583" s="5" t="str">
        <f>"500401"</f>
        <v>500401</v>
      </c>
      <c r="B583" s="3" t="s">
        <v>436</v>
      </c>
      <c r="C583" s="15">
        <v>144842711</v>
      </c>
      <c r="D583" s="15">
        <v>152225964</v>
      </c>
      <c r="E583" s="4">
        <v>5.0999999999999996</v>
      </c>
      <c r="F583" s="15">
        <v>113943342</v>
      </c>
      <c r="G583" s="15">
        <v>115322209</v>
      </c>
      <c r="H583" s="15"/>
      <c r="I583" s="15"/>
      <c r="J583" s="15"/>
      <c r="K583" s="15"/>
      <c r="L583" s="15"/>
      <c r="M583" s="15"/>
      <c r="N583" s="15">
        <v>113943342</v>
      </c>
      <c r="O583" s="15">
        <v>115322209</v>
      </c>
      <c r="P583" s="4">
        <v>1.21</v>
      </c>
      <c r="Q583" s="15">
        <v>4731427</v>
      </c>
      <c r="R583" s="15">
        <v>3559715</v>
      </c>
      <c r="S583" s="15">
        <v>109211915</v>
      </c>
      <c r="T583" s="15">
        <v>111762494</v>
      </c>
      <c r="U583" s="15">
        <v>109211915</v>
      </c>
      <c r="V583" s="15">
        <v>111762494</v>
      </c>
      <c r="W583" s="15">
        <v>0</v>
      </c>
      <c r="X583" s="15">
        <v>0</v>
      </c>
      <c r="Y583" s="4">
        <v>3794</v>
      </c>
      <c r="Z583" s="4">
        <v>3923</v>
      </c>
      <c r="AA583" s="4">
        <v>3.4</v>
      </c>
      <c r="AB583" s="15">
        <v>28653533</v>
      </c>
      <c r="AC583" s="15">
        <v>27553533</v>
      </c>
      <c r="AD583" s="15">
        <v>3100000</v>
      </c>
      <c r="AE583" s="15">
        <v>3100000</v>
      </c>
      <c r="AF583" s="15">
        <v>5761353</v>
      </c>
      <c r="AG583" s="15">
        <v>6089039</v>
      </c>
      <c r="AH583" s="4">
        <v>3.98</v>
      </c>
      <c r="AI583" s="6">
        <v>4</v>
      </c>
    </row>
    <row r="584" spans="1:35" x14ac:dyDescent="0.25">
      <c r="A584" s="5" t="str">
        <f>"591502"</f>
        <v>591502</v>
      </c>
      <c r="B584" s="3" t="s">
        <v>572</v>
      </c>
      <c r="C584" s="15">
        <v>39407116</v>
      </c>
      <c r="D584" s="15">
        <v>40893029</v>
      </c>
      <c r="E584" s="4">
        <v>3.77</v>
      </c>
      <c r="F584" s="15">
        <v>18649791</v>
      </c>
      <c r="G584" s="15">
        <v>19116036</v>
      </c>
      <c r="H584" s="15"/>
      <c r="I584" s="15"/>
      <c r="J584" s="15"/>
      <c r="K584" s="15"/>
      <c r="L584" s="15"/>
      <c r="M584" s="15"/>
      <c r="N584" s="15">
        <v>18649791</v>
      </c>
      <c r="O584" s="15">
        <v>19116036</v>
      </c>
      <c r="P584" s="4">
        <v>2.5</v>
      </c>
      <c r="Q584" s="15">
        <v>672408</v>
      </c>
      <c r="R584" s="15">
        <v>618773</v>
      </c>
      <c r="S584" s="15">
        <v>17977383</v>
      </c>
      <c r="T584" s="15">
        <v>18497263</v>
      </c>
      <c r="U584" s="15">
        <v>17977383</v>
      </c>
      <c r="V584" s="15">
        <v>18497263</v>
      </c>
      <c r="W584" s="15">
        <v>0</v>
      </c>
      <c r="X584" s="15">
        <v>0</v>
      </c>
      <c r="Y584" s="4">
        <v>1029</v>
      </c>
      <c r="Z584" s="4">
        <v>1028</v>
      </c>
      <c r="AA584" s="4">
        <v>-0.1</v>
      </c>
      <c r="AB584" s="15">
        <v>7767648</v>
      </c>
      <c r="AC584" s="15">
        <v>8230000</v>
      </c>
      <c r="AD584" s="15">
        <v>2250000</v>
      </c>
      <c r="AE584" s="15">
        <v>2400000</v>
      </c>
      <c r="AF584" s="15">
        <v>1576285</v>
      </c>
      <c r="AG584" s="15">
        <v>1635721</v>
      </c>
      <c r="AH584" s="4">
        <v>4</v>
      </c>
      <c r="AI584" s="6">
        <v>4</v>
      </c>
    </row>
    <row r="585" spans="1:35" x14ac:dyDescent="0.25">
      <c r="A585" s="5" t="str">
        <f>"030601"</f>
        <v>030601</v>
      </c>
      <c r="B585" s="3" t="s">
        <v>27</v>
      </c>
      <c r="C585" s="15">
        <v>40782768</v>
      </c>
      <c r="D585" s="15">
        <v>41142256</v>
      </c>
      <c r="E585" s="4">
        <v>0.88</v>
      </c>
      <c r="F585" s="15">
        <v>17996503</v>
      </c>
      <c r="G585" s="15">
        <v>18335415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17996503</v>
      </c>
      <c r="O585" s="15">
        <v>18335415</v>
      </c>
      <c r="P585" s="4">
        <v>1.88</v>
      </c>
      <c r="Q585" s="15">
        <v>371232</v>
      </c>
      <c r="R585" s="15">
        <v>262316</v>
      </c>
      <c r="S585" s="15">
        <v>17650271</v>
      </c>
      <c r="T585" s="15">
        <v>18073099</v>
      </c>
      <c r="U585" s="15">
        <v>17625271</v>
      </c>
      <c r="V585" s="15">
        <v>18073099</v>
      </c>
      <c r="W585" s="15">
        <v>25000</v>
      </c>
      <c r="X585" s="15">
        <v>0</v>
      </c>
      <c r="Y585" s="4">
        <v>1382</v>
      </c>
      <c r="Z585" s="4">
        <v>1382</v>
      </c>
      <c r="AA585" s="4">
        <v>0</v>
      </c>
      <c r="AB585" s="15">
        <v>8558904</v>
      </c>
      <c r="AC585" s="15">
        <v>9185728</v>
      </c>
      <c r="AD585" s="15">
        <v>875000</v>
      </c>
      <c r="AE585" s="15">
        <v>500000</v>
      </c>
      <c r="AF585" s="15">
        <v>1474189</v>
      </c>
      <c r="AG585" s="15">
        <v>1563032</v>
      </c>
      <c r="AH585" s="4">
        <v>3.61</v>
      </c>
      <c r="AI585" s="6">
        <v>3.8</v>
      </c>
    </row>
    <row r="586" spans="1:35" x14ac:dyDescent="0.25">
      <c r="A586" s="5" t="str">
        <f>"140207"</f>
        <v>140207</v>
      </c>
      <c r="B586" s="3" t="s">
        <v>131</v>
      </c>
      <c r="C586" s="15">
        <v>85923559</v>
      </c>
      <c r="D586" s="15">
        <v>89351588</v>
      </c>
      <c r="E586" s="4">
        <v>3.99</v>
      </c>
      <c r="F586" s="15">
        <v>51105559</v>
      </c>
      <c r="G586" s="15">
        <v>53321588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51105559</v>
      </c>
      <c r="O586" s="15">
        <v>53321588</v>
      </c>
      <c r="P586" s="4">
        <v>4.34</v>
      </c>
      <c r="Q586" s="15">
        <v>3100750</v>
      </c>
      <c r="R586" s="15">
        <v>3745712</v>
      </c>
      <c r="S586" s="15">
        <v>48171926</v>
      </c>
      <c r="T586" s="15">
        <v>49575876</v>
      </c>
      <c r="U586" s="15">
        <v>48004809</v>
      </c>
      <c r="V586" s="15">
        <v>49575876</v>
      </c>
      <c r="W586" s="15">
        <v>167117</v>
      </c>
      <c r="X586" s="15">
        <v>0</v>
      </c>
      <c r="Y586" s="4">
        <v>3357</v>
      </c>
      <c r="Z586" s="4">
        <v>3405</v>
      </c>
      <c r="AA586" s="4">
        <v>1.43</v>
      </c>
      <c r="AB586" s="15">
        <v>9429678</v>
      </c>
      <c r="AC586" s="15">
        <v>8678000</v>
      </c>
      <c r="AD586" s="15">
        <v>2420000</v>
      </c>
      <c r="AE586" s="15">
        <v>2420000</v>
      </c>
      <c r="AF586" s="15">
        <v>4765798</v>
      </c>
      <c r="AG586" s="15">
        <v>3574063</v>
      </c>
      <c r="AH586" s="4">
        <v>5.55</v>
      </c>
      <c r="AI586" s="6">
        <v>4</v>
      </c>
    </row>
    <row r="587" spans="1:35" x14ac:dyDescent="0.25">
      <c r="A587" s="5" t="str">
        <f>"280502"</f>
        <v>280502</v>
      </c>
      <c r="B587" s="3" t="s">
        <v>307</v>
      </c>
      <c r="C587" s="15">
        <v>247160025</v>
      </c>
      <c r="D587" s="15">
        <v>257831270</v>
      </c>
      <c r="E587" s="4">
        <v>4.32</v>
      </c>
      <c r="F587" s="15">
        <v>208289296</v>
      </c>
      <c r="G587" s="15">
        <v>213200492</v>
      </c>
      <c r="H587" s="15"/>
      <c r="I587" s="15"/>
      <c r="J587" s="15"/>
      <c r="K587" s="15"/>
      <c r="L587" s="15"/>
      <c r="M587" s="15"/>
      <c r="N587" s="15">
        <v>208289296</v>
      </c>
      <c r="O587" s="15">
        <v>213200492</v>
      </c>
      <c r="P587" s="4">
        <v>2.36</v>
      </c>
      <c r="Q587" s="15">
        <v>5799187</v>
      </c>
      <c r="R587" s="15">
        <v>6109119</v>
      </c>
      <c r="S587" s="15">
        <v>203164810</v>
      </c>
      <c r="T587" s="15">
        <v>207616583</v>
      </c>
      <c r="U587" s="15">
        <v>202490109</v>
      </c>
      <c r="V587" s="15">
        <v>207091373</v>
      </c>
      <c r="W587" s="15">
        <v>674701</v>
      </c>
      <c r="X587" s="15">
        <v>525210</v>
      </c>
      <c r="Y587" s="4">
        <v>6800</v>
      </c>
      <c r="Z587" s="4">
        <v>6800</v>
      </c>
      <c r="AA587" s="4">
        <v>0</v>
      </c>
      <c r="AB587" s="15">
        <v>30553086</v>
      </c>
      <c r="AC587" s="15">
        <v>28762491</v>
      </c>
      <c r="AD587" s="15">
        <v>2813547</v>
      </c>
      <c r="AE587" s="15">
        <v>1700000</v>
      </c>
      <c r="AF587" s="15">
        <v>9886401</v>
      </c>
      <c r="AG587" s="15">
        <v>10313251</v>
      </c>
      <c r="AH587" s="4">
        <v>4</v>
      </c>
      <c r="AI587" s="6">
        <v>4</v>
      </c>
    </row>
    <row r="588" spans="1:35" x14ac:dyDescent="0.25">
      <c r="A588" s="5" t="str">
        <f>"100501"</f>
        <v>100501</v>
      </c>
      <c r="B588" s="3" t="s">
        <v>92</v>
      </c>
      <c r="C588" s="15">
        <v>38956006</v>
      </c>
      <c r="D588" s="15">
        <v>39684157</v>
      </c>
      <c r="E588" s="4">
        <v>1.87</v>
      </c>
      <c r="F588" s="15">
        <v>25197610</v>
      </c>
      <c r="G588" s="15">
        <v>25449586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25197610</v>
      </c>
      <c r="O588" s="15">
        <v>25449586</v>
      </c>
      <c r="P588" s="4">
        <v>1</v>
      </c>
      <c r="Q588" s="15">
        <v>81103</v>
      </c>
      <c r="R588" s="15">
        <v>0</v>
      </c>
      <c r="S588" s="15">
        <v>25599186</v>
      </c>
      <c r="T588" s="15">
        <v>26239279</v>
      </c>
      <c r="U588" s="15">
        <v>25116507</v>
      </c>
      <c r="V588" s="15">
        <v>25449586</v>
      </c>
      <c r="W588" s="15">
        <v>482679</v>
      </c>
      <c r="X588" s="15">
        <v>789693</v>
      </c>
      <c r="Y588" s="4">
        <v>1174</v>
      </c>
      <c r="Z588" s="4">
        <v>1118</v>
      </c>
      <c r="AA588" s="4">
        <v>-4.7699999999999996</v>
      </c>
      <c r="AB588" s="15">
        <v>9675315</v>
      </c>
      <c r="AC588" s="15">
        <v>11024940</v>
      </c>
      <c r="AD588" s="15">
        <v>914546</v>
      </c>
      <c r="AE588" s="15">
        <v>701369</v>
      </c>
      <c r="AF588" s="15">
        <v>10876667</v>
      </c>
      <c r="AG588" s="15">
        <v>7723360</v>
      </c>
      <c r="AH588" s="4">
        <v>27.92</v>
      </c>
      <c r="AI588" s="6">
        <v>19.46</v>
      </c>
    </row>
    <row r="589" spans="1:35" x14ac:dyDescent="0.25">
      <c r="A589" s="5" t="str">
        <f>"220701"</f>
        <v>220701</v>
      </c>
      <c r="B589" s="3" t="s">
        <v>212</v>
      </c>
      <c r="C589" s="15">
        <v>22922490</v>
      </c>
      <c r="D589" s="15">
        <v>22922490</v>
      </c>
      <c r="E589" s="4">
        <v>0</v>
      </c>
      <c r="F589" s="15">
        <v>11822499</v>
      </c>
      <c r="G589" s="15">
        <v>11822499</v>
      </c>
      <c r="H589" s="15"/>
      <c r="I589" s="15"/>
      <c r="J589" s="15"/>
      <c r="K589" s="15"/>
      <c r="L589" s="15"/>
      <c r="M589" s="15"/>
      <c r="N589" s="15">
        <v>11822499</v>
      </c>
      <c r="O589" s="15">
        <v>11822499</v>
      </c>
      <c r="P589" s="4">
        <v>0</v>
      </c>
      <c r="Q589" s="15">
        <v>694613</v>
      </c>
      <c r="R589" s="15">
        <v>825832</v>
      </c>
      <c r="S589" s="15">
        <v>11460481</v>
      </c>
      <c r="T589" s="15">
        <v>11352880</v>
      </c>
      <c r="U589" s="15">
        <v>11127886</v>
      </c>
      <c r="V589" s="15">
        <v>10996667</v>
      </c>
      <c r="W589" s="15">
        <v>332595</v>
      </c>
      <c r="X589" s="15">
        <v>356213</v>
      </c>
      <c r="Y589" s="4">
        <v>840</v>
      </c>
      <c r="Z589" s="4">
        <v>900</v>
      </c>
      <c r="AA589" s="4">
        <v>7.14</v>
      </c>
      <c r="AB589" s="15">
        <v>5995636</v>
      </c>
      <c r="AC589" s="15">
        <v>8947250</v>
      </c>
      <c r="AD589" s="15">
        <v>866562</v>
      </c>
      <c r="AE589" s="15">
        <v>738398</v>
      </c>
      <c r="AF589" s="15">
        <v>2736553</v>
      </c>
      <c r="AG589" s="15">
        <v>928289</v>
      </c>
      <c r="AH589" s="4">
        <v>11.94</v>
      </c>
      <c r="AI589" s="6">
        <v>4.05</v>
      </c>
    </row>
    <row r="590" spans="1:35" x14ac:dyDescent="0.25">
      <c r="A590" s="5" t="str">
        <f>"580201"</f>
        <v>580201</v>
      </c>
      <c r="B590" s="3" t="s">
        <v>506</v>
      </c>
      <c r="C590" s="15">
        <v>220262435</v>
      </c>
      <c r="D590" s="15">
        <v>224060618</v>
      </c>
      <c r="E590" s="4">
        <v>1.72</v>
      </c>
      <c r="F590" s="15">
        <v>162004770</v>
      </c>
      <c r="G590" s="15">
        <v>164954877</v>
      </c>
      <c r="H590" s="15"/>
      <c r="I590" s="15"/>
      <c r="J590" s="15"/>
      <c r="K590" s="15"/>
      <c r="L590" s="15"/>
      <c r="M590" s="15"/>
      <c r="N590" s="15">
        <v>162004770</v>
      </c>
      <c r="O590" s="15">
        <v>164954877</v>
      </c>
      <c r="P590" s="4">
        <v>1.82</v>
      </c>
      <c r="Q590" s="15">
        <v>2499737</v>
      </c>
      <c r="R590" s="15">
        <v>2500996</v>
      </c>
      <c r="S590" s="15">
        <v>159505033</v>
      </c>
      <c r="T590" s="15">
        <v>162453881</v>
      </c>
      <c r="U590" s="15">
        <v>159505033</v>
      </c>
      <c r="V590" s="15">
        <v>162453881</v>
      </c>
      <c r="W590" s="15">
        <v>0</v>
      </c>
      <c r="X590" s="15">
        <v>0</v>
      </c>
      <c r="Y590" s="4">
        <v>5663</v>
      </c>
      <c r="Z590" s="4">
        <v>5565</v>
      </c>
      <c r="AA590" s="4">
        <v>-1.73</v>
      </c>
      <c r="AB590" s="15">
        <v>9273006</v>
      </c>
      <c r="AC590" s="15">
        <v>9350000</v>
      </c>
      <c r="AD590" s="15">
        <v>4400000</v>
      </c>
      <c r="AE590" s="15">
        <v>3800000</v>
      </c>
      <c r="AF590" s="15">
        <v>4843719</v>
      </c>
      <c r="AG590" s="15">
        <v>5300000</v>
      </c>
      <c r="AH590" s="4">
        <v>2.2000000000000002</v>
      </c>
      <c r="AI590" s="6">
        <v>2.37</v>
      </c>
    </row>
    <row r="591" spans="1:35" x14ac:dyDescent="0.25">
      <c r="A591" s="5" t="str">
        <f>"151501"</f>
        <v>151501</v>
      </c>
      <c r="B591" s="3" t="s">
        <v>162</v>
      </c>
      <c r="C591" s="15">
        <v>21561191</v>
      </c>
      <c r="D591" s="15">
        <v>21803473</v>
      </c>
      <c r="E591" s="4">
        <v>1.1200000000000001</v>
      </c>
      <c r="F591" s="15">
        <v>12420922</v>
      </c>
      <c r="G591" s="15">
        <v>12703524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12420922</v>
      </c>
      <c r="O591" s="15">
        <v>12703524</v>
      </c>
      <c r="P591" s="4">
        <v>2.2799999999999998</v>
      </c>
      <c r="Q591" s="15">
        <v>1706226</v>
      </c>
      <c r="R591" s="15">
        <v>1689649</v>
      </c>
      <c r="S591" s="15">
        <v>10714696</v>
      </c>
      <c r="T591" s="15">
        <v>11013875</v>
      </c>
      <c r="U591" s="15">
        <v>10714696</v>
      </c>
      <c r="V591" s="15">
        <v>11013875</v>
      </c>
      <c r="W591" s="15">
        <v>0</v>
      </c>
      <c r="X591" s="15">
        <v>0</v>
      </c>
      <c r="Y591" s="4">
        <v>733</v>
      </c>
      <c r="Z591" s="4">
        <v>728</v>
      </c>
      <c r="AA591" s="4">
        <v>-0.68</v>
      </c>
      <c r="AB591" s="15">
        <v>10000</v>
      </c>
      <c r="AC591" s="15">
        <v>510000</v>
      </c>
      <c r="AD591" s="15">
        <v>568157</v>
      </c>
      <c r="AE591" s="15">
        <v>450000</v>
      </c>
      <c r="AF591" s="15">
        <v>1430623</v>
      </c>
      <c r="AG591" s="15">
        <v>989214</v>
      </c>
      <c r="AH591" s="4">
        <v>6.64</v>
      </c>
      <c r="AI591" s="6">
        <v>4.54</v>
      </c>
    </row>
    <row r="592" spans="1:35" x14ac:dyDescent="0.25">
      <c r="A592" s="5" t="str">
        <f>"600903"</f>
        <v>600903</v>
      </c>
      <c r="B592" s="3" t="s">
        <v>578</v>
      </c>
      <c r="C592" s="15">
        <v>19341128</v>
      </c>
      <c r="D592" s="15">
        <v>20558091</v>
      </c>
      <c r="E592" s="4">
        <v>6.29</v>
      </c>
      <c r="F592" s="15">
        <v>3865315</v>
      </c>
      <c r="G592" s="15">
        <v>3878978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3865315</v>
      </c>
      <c r="O592" s="15">
        <v>3878978</v>
      </c>
      <c r="P592" s="4">
        <v>0.35</v>
      </c>
      <c r="Q592" s="15">
        <v>288607</v>
      </c>
      <c r="R592" s="15">
        <v>291776</v>
      </c>
      <c r="S592" s="15">
        <v>3579614</v>
      </c>
      <c r="T592" s="15">
        <v>3587202</v>
      </c>
      <c r="U592" s="15">
        <v>3576708</v>
      </c>
      <c r="V592" s="15">
        <v>3587202</v>
      </c>
      <c r="W592" s="15">
        <v>2906</v>
      </c>
      <c r="X592" s="15">
        <v>0</v>
      </c>
      <c r="Y592" s="4">
        <v>891</v>
      </c>
      <c r="Z592" s="4">
        <v>891</v>
      </c>
      <c r="AA592" s="4">
        <v>0</v>
      </c>
      <c r="AB592" s="15">
        <v>5613300</v>
      </c>
      <c r="AC592" s="15">
        <v>6729010</v>
      </c>
      <c r="AD592" s="15">
        <v>341598</v>
      </c>
      <c r="AE592" s="15">
        <v>341598</v>
      </c>
      <c r="AF592" s="15">
        <v>771737</v>
      </c>
      <c r="AG592" s="15">
        <v>739808</v>
      </c>
      <c r="AH592" s="4">
        <v>3.99</v>
      </c>
      <c r="AI592" s="6">
        <v>3.6</v>
      </c>
    </row>
    <row r="593" spans="1:35" x14ac:dyDescent="0.25">
      <c r="A593" s="5" t="str">
        <f>"142500"</f>
        <v>142500</v>
      </c>
      <c r="B593" s="3" t="s">
        <v>152</v>
      </c>
      <c r="C593" s="15">
        <v>35491482</v>
      </c>
      <c r="D593" s="15">
        <v>38206397</v>
      </c>
      <c r="E593" s="4">
        <v>7.65</v>
      </c>
      <c r="F593" s="15">
        <v>12749523</v>
      </c>
      <c r="G593" s="15">
        <v>12850370</v>
      </c>
      <c r="H593" s="15"/>
      <c r="I593" s="15"/>
      <c r="J593" s="15"/>
      <c r="K593" s="15"/>
      <c r="L593" s="15"/>
      <c r="M593" s="15"/>
      <c r="N593" s="15">
        <v>12749523</v>
      </c>
      <c r="O593" s="15">
        <v>12850370</v>
      </c>
      <c r="P593" s="4">
        <v>0.79</v>
      </c>
      <c r="Q593" s="15">
        <v>584994</v>
      </c>
      <c r="R593" s="15">
        <v>369737</v>
      </c>
      <c r="S593" s="15">
        <v>12749523</v>
      </c>
      <c r="T593" s="15">
        <v>12850370</v>
      </c>
      <c r="U593" s="15">
        <v>12164529</v>
      </c>
      <c r="V593" s="15">
        <v>12480633</v>
      </c>
      <c r="W593" s="15">
        <v>584994</v>
      </c>
      <c r="X593" s="15">
        <v>369737</v>
      </c>
      <c r="Y593" s="4">
        <v>1688</v>
      </c>
      <c r="Z593" s="4">
        <v>1752</v>
      </c>
      <c r="AA593" s="4">
        <v>3.79</v>
      </c>
      <c r="AB593" s="15">
        <v>6304412</v>
      </c>
      <c r="AC593" s="15">
        <v>6304412</v>
      </c>
      <c r="AD593" s="15">
        <v>1300801</v>
      </c>
      <c r="AE593" s="15">
        <v>1300801</v>
      </c>
      <c r="AF593" s="15">
        <v>2504130</v>
      </c>
      <c r="AG593" s="15">
        <v>2504130</v>
      </c>
      <c r="AH593" s="4">
        <v>7.06</v>
      </c>
      <c r="AI593" s="6">
        <v>6.55</v>
      </c>
    </row>
    <row r="594" spans="1:35" x14ac:dyDescent="0.25">
      <c r="A594" s="5" t="str">
        <f>"211901"</f>
        <v>211901</v>
      </c>
      <c r="B594" s="3" t="s">
        <v>205</v>
      </c>
      <c r="C594" s="15">
        <v>9928300</v>
      </c>
      <c r="D594" s="15">
        <v>10636200</v>
      </c>
      <c r="E594" s="4">
        <v>7.13</v>
      </c>
      <c r="F594" s="15">
        <v>6426780</v>
      </c>
      <c r="G594" s="15">
        <v>6599698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6426780</v>
      </c>
      <c r="O594" s="15">
        <v>6599698</v>
      </c>
      <c r="P594" s="4">
        <v>2.69</v>
      </c>
      <c r="Q594" s="15">
        <v>194961</v>
      </c>
      <c r="R594" s="15">
        <v>202610</v>
      </c>
      <c r="S594" s="15">
        <v>6231819</v>
      </c>
      <c r="T594" s="15">
        <v>6397088</v>
      </c>
      <c r="U594" s="15">
        <v>6231819</v>
      </c>
      <c r="V594" s="15">
        <v>6397088</v>
      </c>
      <c r="W594" s="15">
        <v>0</v>
      </c>
      <c r="X594" s="15">
        <v>0</v>
      </c>
      <c r="Y594" s="4">
        <v>252</v>
      </c>
      <c r="Z594" s="4">
        <v>245</v>
      </c>
      <c r="AA594" s="4">
        <v>-2.78</v>
      </c>
      <c r="AB594" s="15">
        <v>3295307</v>
      </c>
      <c r="AC594" s="15">
        <v>2540982</v>
      </c>
      <c r="AD594" s="15">
        <v>1311454</v>
      </c>
      <c r="AE594" s="15">
        <v>1796584</v>
      </c>
      <c r="AF594" s="15">
        <v>993672</v>
      </c>
      <c r="AG594" s="15">
        <v>534398</v>
      </c>
      <c r="AH594" s="4">
        <v>10.01</v>
      </c>
      <c r="AI594" s="6">
        <v>5.0199999999999996</v>
      </c>
    </row>
    <row r="595" spans="1:35" x14ac:dyDescent="0.25">
      <c r="A595" s="5" t="str">
        <f>"591201"</f>
        <v>591201</v>
      </c>
      <c r="B595" s="3" t="s">
        <v>568</v>
      </c>
      <c r="C595" s="15">
        <v>35171263</v>
      </c>
      <c r="D595" s="15">
        <v>35839371</v>
      </c>
      <c r="E595" s="4">
        <v>1.9</v>
      </c>
      <c r="F595" s="15">
        <v>20986560</v>
      </c>
      <c r="G595" s="15">
        <v>21154821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20986560</v>
      </c>
      <c r="O595" s="15">
        <v>21154821</v>
      </c>
      <c r="P595" s="4">
        <v>0.8</v>
      </c>
      <c r="Q595" s="15">
        <v>0</v>
      </c>
      <c r="R595" s="15">
        <v>0</v>
      </c>
      <c r="S595" s="15">
        <v>20986560</v>
      </c>
      <c r="T595" s="15">
        <v>21154821</v>
      </c>
      <c r="U595" s="15">
        <v>20986560</v>
      </c>
      <c r="V595" s="15">
        <v>21154821</v>
      </c>
      <c r="W595" s="15">
        <v>0</v>
      </c>
      <c r="X595" s="15">
        <v>0</v>
      </c>
      <c r="Y595" s="4">
        <v>913</v>
      </c>
      <c r="Z595" s="4">
        <v>890</v>
      </c>
      <c r="AA595" s="4">
        <v>-2.52</v>
      </c>
      <c r="AB595" s="15">
        <v>13526493</v>
      </c>
      <c r="AC595" s="15">
        <v>11659550</v>
      </c>
      <c r="AD595" s="15">
        <v>2059100</v>
      </c>
      <c r="AE595" s="15">
        <v>2150000</v>
      </c>
      <c r="AF595" s="15">
        <v>1983123</v>
      </c>
      <c r="AG595" s="15">
        <v>1750000</v>
      </c>
      <c r="AH595" s="4">
        <v>5.64</v>
      </c>
      <c r="AI595" s="6">
        <v>4.88</v>
      </c>
    </row>
    <row r="596" spans="1:35" x14ac:dyDescent="0.25">
      <c r="A596" s="5" t="str">
        <f>"491700"</f>
        <v>491700</v>
      </c>
      <c r="B596" s="3" t="s">
        <v>429</v>
      </c>
      <c r="C596" s="15">
        <v>115293164</v>
      </c>
      <c r="D596" s="15">
        <v>126903276</v>
      </c>
      <c r="E596" s="4">
        <v>10.07</v>
      </c>
      <c r="F596" s="15">
        <v>37941094</v>
      </c>
      <c r="G596" s="15">
        <v>37941094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37941094</v>
      </c>
      <c r="O596" s="15">
        <v>37941094</v>
      </c>
      <c r="P596" s="4">
        <v>0</v>
      </c>
      <c r="Q596" s="15">
        <v>833353</v>
      </c>
      <c r="R596" s="15">
        <v>821620</v>
      </c>
      <c r="S596" s="15">
        <v>37107741</v>
      </c>
      <c r="T596" s="15">
        <v>37119474</v>
      </c>
      <c r="U596" s="15">
        <v>37107741</v>
      </c>
      <c r="V596" s="15">
        <v>37119474</v>
      </c>
      <c r="W596" s="15">
        <v>0</v>
      </c>
      <c r="X596" s="15">
        <v>0</v>
      </c>
      <c r="Y596" s="4">
        <v>4600</v>
      </c>
      <c r="Z596" s="4">
        <v>4400</v>
      </c>
      <c r="AA596" s="4">
        <v>-4.3499999999999996</v>
      </c>
      <c r="AB596" s="15">
        <v>10255945</v>
      </c>
      <c r="AC596" s="15">
        <v>15469921</v>
      </c>
      <c r="AD596" s="15">
        <v>3400000</v>
      </c>
      <c r="AE596" s="15">
        <v>8500000</v>
      </c>
      <c r="AF596" s="15">
        <v>18723790</v>
      </c>
      <c r="AG596" s="15">
        <v>5076131</v>
      </c>
      <c r="AH596" s="4">
        <v>16.239999999999998</v>
      </c>
      <c r="AI596" s="6">
        <v>4</v>
      </c>
    </row>
    <row r="597" spans="1:35" x14ac:dyDescent="0.25">
      <c r="A597" s="5" t="str">
        <f>"611001"</f>
        <v>611001</v>
      </c>
      <c r="B597" s="3" t="s">
        <v>584</v>
      </c>
      <c r="C597" s="15">
        <v>28382245</v>
      </c>
      <c r="D597" s="15">
        <v>30201002</v>
      </c>
      <c r="E597" s="4">
        <v>6.41</v>
      </c>
      <c r="F597" s="15">
        <v>12164141</v>
      </c>
      <c r="G597" s="15">
        <v>12537918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12164141</v>
      </c>
      <c r="O597" s="15">
        <v>12537918</v>
      </c>
      <c r="P597" s="4">
        <v>3.07</v>
      </c>
      <c r="Q597" s="15">
        <v>0</v>
      </c>
      <c r="R597" s="15">
        <v>0</v>
      </c>
      <c r="S597" s="15">
        <v>12164141</v>
      </c>
      <c r="T597" s="15">
        <v>12537918</v>
      </c>
      <c r="U597" s="15">
        <v>12164141</v>
      </c>
      <c r="V597" s="15">
        <v>12537918</v>
      </c>
      <c r="W597" s="15">
        <v>0</v>
      </c>
      <c r="X597" s="15">
        <v>0</v>
      </c>
      <c r="Y597" s="4">
        <v>934</v>
      </c>
      <c r="Z597" s="4">
        <v>970</v>
      </c>
      <c r="AA597" s="4">
        <v>3.85</v>
      </c>
      <c r="AB597" s="15">
        <v>3396363</v>
      </c>
      <c r="AC597" s="15">
        <v>8742648</v>
      </c>
      <c r="AD597" s="15">
        <v>160849</v>
      </c>
      <c r="AE597" s="15">
        <v>321180</v>
      </c>
      <c r="AF597" s="15">
        <v>4094601</v>
      </c>
      <c r="AG597" s="15">
        <v>1239019</v>
      </c>
      <c r="AH597" s="4">
        <v>14.43</v>
      </c>
      <c r="AI597" s="6">
        <v>4.0999999999999996</v>
      </c>
    </row>
    <row r="598" spans="1:35" x14ac:dyDescent="0.25">
      <c r="A598" s="5" t="str">
        <f>"580913"</f>
        <v>580913</v>
      </c>
      <c r="B598" s="3" t="s">
        <v>558</v>
      </c>
      <c r="C598" s="15">
        <v>23137474</v>
      </c>
      <c r="D598" s="15">
        <v>23090488</v>
      </c>
      <c r="E598" s="4">
        <v>-0.2</v>
      </c>
      <c r="F598" s="15">
        <v>18865730</v>
      </c>
      <c r="G598" s="15">
        <v>19224566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18865730</v>
      </c>
      <c r="O598" s="15">
        <v>19224566</v>
      </c>
      <c r="P598" s="4">
        <v>1.9</v>
      </c>
      <c r="Q598" s="15">
        <v>16977</v>
      </c>
      <c r="R598" s="15">
        <v>18693</v>
      </c>
      <c r="S598" s="15">
        <v>19190856</v>
      </c>
      <c r="T598" s="15">
        <v>19461933</v>
      </c>
      <c r="U598" s="15">
        <v>18848753</v>
      </c>
      <c r="V598" s="15">
        <v>19205873</v>
      </c>
      <c r="W598" s="15">
        <v>342103</v>
      </c>
      <c r="X598" s="15">
        <v>256060</v>
      </c>
      <c r="Y598" s="4">
        <v>490</v>
      </c>
      <c r="Z598" s="4">
        <v>490</v>
      </c>
      <c r="AA598" s="4">
        <v>0</v>
      </c>
      <c r="AB598" s="15">
        <v>5143740</v>
      </c>
      <c r="AC598" s="15">
        <v>5493740</v>
      </c>
      <c r="AD598" s="15">
        <v>1653978</v>
      </c>
      <c r="AE598" s="15">
        <v>1304261</v>
      </c>
      <c r="AF598" s="15">
        <v>925499</v>
      </c>
      <c r="AG598" s="15">
        <v>923620</v>
      </c>
      <c r="AH598" s="4">
        <v>4</v>
      </c>
      <c r="AI598" s="6">
        <v>4</v>
      </c>
    </row>
    <row r="599" spans="1:35" x14ac:dyDescent="0.25">
      <c r="A599" s="5" t="str">
        <f>"660302"</f>
        <v>660302</v>
      </c>
      <c r="B599" s="3" t="s">
        <v>630</v>
      </c>
      <c r="C599" s="15">
        <v>36926600</v>
      </c>
      <c r="D599" s="15">
        <v>38225500</v>
      </c>
      <c r="E599" s="4">
        <v>3.52</v>
      </c>
      <c r="F599" s="15">
        <v>29863702</v>
      </c>
      <c r="G599" s="15">
        <v>30403982</v>
      </c>
      <c r="H599" s="15">
        <v>0</v>
      </c>
      <c r="I599" s="15">
        <v>0</v>
      </c>
      <c r="J599" s="15">
        <v>0</v>
      </c>
      <c r="K599" s="15">
        <v>0</v>
      </c>
      <c r="L599" s="15">
        <v>85072</v>
      </c>
      <c r="M599" s="15">
        <v>0</v>
      </c>
      <c r="N599" s="15">
        <v>29778630</v>
      </c>
      <c r="O599" s="15">
        <v>30403982</v>
      </c>
      <c r="P599" s="4">
        <v>2.1</v>
      </c>
      <c r="Q599" s="15">
        <v>1276208</v>
      </c>
      <c r="R599" s="15">
        <v>1642518</v>
      </c>
      <c r="S599" s="15">
        <v>28602423</v>
      </c>
      <c r="T599" s="15">
        <v>28761464</v>
      </c>
      <c r="U599" s="15">
        <v>28587494</v>
      </c>
      <c r="V599" s="15">
        <v>28761464</v>
      </c>
      <c r="W599" s="15">
        <v>14929</v>
      </c>
      <c r="X599" s="15">
        <v>0</v>
      </c>
      <c r="Y599" s="4">
        <v>1148</v>
      </c>
      <c r="Z599" s="4">
        <v>1094</v>
      </c>
      <c r="AA599" s="4">
        <v>-4.7</v>
      </c>
      <c r="AB599" s="15">
        <v>5984771</v>
      </c>
      <c r="AC599" s="15">
        <v>6517611</v>
      </c>
      <c r="AD599" s="15">
        <v>2015962</v>
      </c>
      <c r="AE599" s="15">
        <v>1435528</v>
      </c>
      <c r="AF599" s="15">
        <v>1723426</v>
      </c>
      <c r="AG599" s="15">
        <v>1529020</v>
      </c>
      <c r="AH599" s="4">
        <v>4.67</v>
      </c>
      <c r="AI599" s="6">
        <v>4</v>
      </c>
    </row>
    <row r="600" spans="1:35" x14ac:dyDescent="0.25">
      <c r="A600" s="5" t="str">
        <f>"421902"</f>
        <v>421902</v>
      </c>
      <c r="B600" s="3" t="s">
        <v>358</v>
      </c>
      <c r="C600" s="15">
        <v>21893037</v>
      </c>
      <c r="D600" s="15">
        <v>22548248</v>
      </c>
      <c r="E600" s="4">
        <v>2.99</v>
      </c>
      <c r="F600" s="15">
        <v>10598499</v>
      </c>
      <c r="G600" s="15">
        <v>10799446</v>
      </c>
      <c r="H600" s="15"/>
      <c r="I600" s="15"/>
      <c r="J600" s="15"/>
      <c r="K600" s="15"/>
      <c r="L600" s="15"/>
      <c r="M600" s="15"/>
      <c r="N600" s="15">
        <v>10598499</v>
      </c>
      <c r="O600" s="15">
        <v>10799446</v>
      </c>
      <c r="P600" s="4">
        <v>1.9</v>
      </c>
      <c r="Q600" s="15">
        <v>580139</v>
      </c>
      <c r="R600" s="15">
        <v>633376</v>
      </c>
      <c r="S600" s="15">
        <v>10020082</v>
      </c>
      <c r="T600" s="15">
        <v>10247916</v>
      </c>
      <c r="U600" s="15">
        <v>10018360</v>
      </c>
      <c r="V600" s="15">
        <v>10166070</v>
      </c>
      <c r="W600" s="15">
        <v>1722</v>
      </c>
      <c r="X600" s="15">
        <v>81846</v>
      </c>
      <c r="Y600" s="4">
        <v>735</v>
      </c>
      <c r="Z600" s="4">
        <v>765</v>
      </c>
      <c r="AA600" s="4">
        <v>4.08</v>
      </c>
      <c r="AB600" s="15">
        <v>5157335</v>
      </c>
      <c r="AC600" s="15">
        <v>5293228</v>
      </c>
      <c r="AD600" s="15">
        <v>150000</v>
      </c>
      <c r="AE600" s="15">
        <v>200000</v>
      </c>
      <c r="AF600" s="15">
        <v>875721</v>
      </c>
      <c r="AG600" s="15">
        <v>901930</v>
      </c>
      <c r="AH600" s="4">
        <v>4</v>
      </c>
      <c r="AI600" s="6">
        <v>4</v>
      </c>
    </row>
    <row r="601" spans="1:35" x14ac:dyDescent="0.25">
      <c r="A601" s="5" t="str">
        <f>"160101"</f>
        <v>160101</v>
      </c>
      <c r="B601" s="3" t="s">
        <v>165</v>
      </c>
      <c r="C601" s="15">
        <v>20549718</v>
      </c>
      <c r="D601" s="15">
        <v>22691048</v>
      </c>
      <c r="E601" s="4">
        <v>10.42</v>
      </c>
      <c r="F601" s="15">
        <v>9000168</v>
      </c>
      <c r="G601" s="15">
        <v>9275397</v>
      </c>
      <c r="H601" s="15"/>
      <c r="I601" s="15"/>
      <c r="J601" s="15"/>
      <c r="K601" s="15"/>
      <c r="L601" s="15"/>
      <c r="M601" s="15"/>
      <c r="N601" s="15">
        <v>9000168</v>
      </c>
      <c r="O601" s="15">
        <v>9275397</v>
      </c>
      <c r="P601" s="4">
        <v>3.06</v>
      </c>
      <c r="Q601" s="15">
        <v>565131</v>
      </c>
      <c r="R601" s="15">
        <v>627404</v>
      </c>
      <c r="S601" s="15">
        <v>8435349</v>
      </c>
      <c r="T601" s="15">
        <v>8648529</v>
      </c>
      <c r="U601" s="15">
        <v>8435037</v>
      </c>
      <c r="V601" s="15">
        <v>8647993</v>
      </c>
      <c r="W601" s="15">
        <v>312</v>
      </c>
      <c r="X601" s="15">
        <v>536</v>
      </c>
      <c r="Y601" s="4">
        <v>774</v>
      </c>
      <c r="Z601" s="4">
        <v>770</v>
      </c>
      <c r="AA601" s="4">
        <v>-0.52</v>
      </c>
      <c r="AB601" s="15">
        <v>470568</v>
      </c>
      <c r="AC601" s="15">
        <v>325000</v>
      </c>
      <c r="AD601" s="15">
        <v>350000</v>
      </c>
      <c r="AE601" s="15">
        <v>525000</v>
      </c>
      <c r="AF601" s="15">
        <v>1691853</v>
      </c>
      <c r="AG601" s="15">
        <v>907642</v>
      </c>
      <c r="AH601" s="4">
        <v>8.23</v>
      </c>
      <c r="AI601" s="6">
        <v>4</v>
      </c>
    </row>
    <row r="602" spans="1:35" x14ac:dyDescent="0.25">
      <c r="A602" s="5" t="str">
        <f>"441903"</f>
        <v>441903</v>
      </c>
      <c r="B602" s="3" t="s">
        <v>381</v>
      </c>
      <c r="C602" s="15">
        <v>13699533</v>
      </c>
      <c r="D602" s="15">
        <v>13962045</v>
      </c>
      <c r="E602" s="4">
        <v>1.92</v>
      </c>
      <c r="F602" s="15">
        <v>11241790</v>
      </c>
      <c r="G602" s="15">
        <v>12063121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11241790</v>
      </c>
      <c r="O602" s="15">
        <v>12063121</v>
      </c>
      <c r="P602" s="4">
        <v>7.31</v>
      </c>
      <c r="Q602" s="15">
        <v>0</v>
      </c>
      <c r="R602" s="15">
        <v>0</v>
      </c>
      <c r="S602" s="15">
        <v>11241790</v>
      </c>
      <c r="T602" s="15">
        <v>12063121</v>
      </c>
      <c r="U602" s="15">
        <v>11241790</v>
      </c>
      <c r="V602" s="15">
        <v>12063121</v>
      </c>
      <c r="W602" s="15">
        <v>0</v>
      </c>
      <c r="X602" s="15">
        <v>0</v>
      </c>
      <c r="Y602" s="4">
        <v>235</v>
      </c>
      <c r="Z602" s="4">
        <v>229</v>
      </c>
      <c r="AA602" s="4">
        <v>-2.5499999999999998</v>
      </c>
      <c r="AB602" s="15">
        <v>3174357</v>
      </c>
      <c r="AC602" s="15">
        <v>2817280</v>
      </c>
      <c r="AD602" s="15">
        <v>797021</v>
      </c>
      <c r="AE602" s="15">
        <v>500000</v>
      </c>
      <c r="AF602" s="15">
        <v>458683</v>
      </c>
      <c r="AG602" s="15">
        <v>560077</v>
      </c>
      <c r="AH602" s="4">
        <v>3.35</v>
      </c>
      <c r="AI602" s="6">
        <v>4.01</v>
      </c>
    </row>
    <row r="603" spans="1:35" x14ac:dyDescent="0.25">
      <c r="A603" s="5" t="str">
        <f>"660401"</f>
        <v>660401</v>
      </c>
      <c r="B603" s="3" t="s">
        <v>632</v>
      </c>
      <c r="C603" s="15">
        <v>83837109</v>
      </c>
      <c r="D603" s="15">
        <v>86430432</v>
      </c>
      <c r="E603" s="4">
        <v>3.09</v>
      </c>
      <c r="F603" s="15">
        <v>61753256</v>
      </c>
      <c r="G603" s="15">
        <v>64581756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61753256</v>
      </c>
      <c r="O603" s="15">
        <v>64581756</v>
      </c>
      <c r="P603" s="4">
        <v>4.58</v>
      </c>
      <c r="Q603" s="15">
        <v>2732840</v>
      </c>
      <c r="R603" s="15">
        <v>4279701</v>
      </c>
      <c r="S603" s="15">
        <v>59020416</v>
      </c>
      <c r="T603" s="15">
        <v>60823936</v>
      </c>
      <c r="U603" s="15">
        <v>59020416</v>
      </c>
      <c r="V603" s="15">
        <v>60302055</v>
      </c>
      <c r="W603" s="15">
        <v>0</v>
      </c>
      <c r="X603" s="15">
        <v>521881</v>
      </c>
      <c r="Y603" s="4">
        <v>2572</v>
      </c>
      <c r="Z603" s="4">
        <v>2580</v>
      </c>
      <c r="AA603" s="4">
        <v>0.31</v>
      </c>
      <c r="AB603" s="15">
        <v>5416770</v>
      </c>
      <c r="AC603" s="15">
        <v>6109912</v>
      </c>
      <c r="AD603" s="15">
        <v>1900000</v>
      </c>
      <c r="AE603" s="15">
        <v>1500000</v>
      </c>
      <c r="AF603" s="15">
        <v>3353484</v>
      </c>
      <c r="AG603" s="15">
        <v>3457217</v>
      </c>
      <c r="AH603" s="4">
        <v>4</v>
      </c>
      <c r="AI603" s="6">
        <v>4</v>
      </c>
    </row>
    <row r="604" spans="1:35" x14ac:dyDescent="0.25">
      <c r="A604" s="5" t="str">
        <f>"081003"</f>
        <v>081003</v>
      </c>
      <c r="B604" s="3" t="s">
        <v>79</v>
      </c>
      <c r="C604" s="15">
        <v>23446865</v>
      </c>
      <c r="D604" s="15">
        <v>23517239</v>
      </c>
      <c r="E604" s="4">
        <v>0.3</v>
      </c>
      <c r="F604" s="15">
        <v>4569743</v>
      </c>
      <c r="G604" s="15">
        <v>4640117</v>
      </c>
      <c r="H604" s="15"/>
      <c r="I604" s="15"/>
      <c r="J604" s="15"/>
      <c r="K604" s="15"/>
      <c r="L604" s="15"/>
      <c r="M604" s="15"/>
      <c r="N604" s="15">
        <v>4569743</v>
      </c>
      <c r="O604" s="15">
        <v>4640117</v>
      </c>
      <c r="P604" s="4">
        <v>1.54</v>
      </c>
      <c r="Q604" s="15">
        <v>404754</v>
      </c>
      <c r="R604" s="15">
        <v>0</v>
      </c>
      <c r="S604" s="15">
        <v>4164989</v>
      </c>
      <c r="T604" s="15">
        <v>4272603</v>
      </c>
      <c r="U604" s="15">
        <v>4164989</v>
      </c>
      <c r="V604" s="15">
        <v>4640117</v>
      </c>
      <c r="W604" s="15">
        <v>0</v>
      </c>
      <c r="X604" s="15">
        <v>-367514</v>
      </c>
      <c r="Y604" s="4">
        <v>797</v>
      </c>
      <c r="Z604" s="4">
        <v>804</v>
      </c>
      <c r="AA604" s="4">
        <v>0.88</v>
      </c>
      <c r="AB604" s="15">
        <v>8779929</v>
      </c>
      <c r="AC604" s="15">
        <v>9823557</v>
      </c>
      <c r="AD604" s="15">
        <v>493036</v>
      </c>
      <c r="AE604" s="15">
        <v>597000</v>
      </c>
      <c r="AF604" s="15">
        <v>2436014</v>
      </c>
      <c r="AG604" s="15">
        <v>1181379</v>
      </c>
      <c r="AH604" s="4">
        <v>10.39</v>
      </c>
      <c r="AI604" s="6">
        <v>5.0199999999999996</v>
      </c>
    </row>
    <row r="605" spans="1:35" x14ac:dyDescent="0.25">
      <c r="A605" s="5" t="str">
        <f>"051901"</f>
        <v>051901</v>
      </c>
      <c r="B605" s="3" t="s">
        <v>54</v>
      </c>
      <c r="C605" s="15">
        <v>19393804</v>
      </c>
      <c r="D605" s="15">
        <v>20182045</v>
      </c>
      <c r="E605" s="4">
        <v>4.0599999999999996</v>
      </c>
      <c r="F605" s="15">
        <v>7678225</v>
      </c>
      <c r="G605" s="15">
        <v>7778810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7678225</v>
      </c>
      <c r="O605" s="15">
        <v>7778810</v>
      </c>
      <c r="P605" s="4">
        <v>1.31</v>
      </c>
      <c r="Q605" s="15">
        <v>0</v>
      </c>
      <c r="R605" s="15">
        <v>0</v>
      </c>
      <c r="S605" s="15">
        <v>7782583</v>
      </c>
      <c r="T605" s="15">
        <v>8233830</v>
      </c>
      <c r="U605" s="15">
        <v>7678225</v>
      </c>
      <c r="V605" s="15">
        <v>7778810</v>
      </c>
      <c r="W605" s="15">
        <v>104358</v>
      </c>
      <c r="X605" s="15">
        <v>455020</v>
      </c>
      <c r="Y605" s="4">
        <v>793</v>
      </c>
      <c r="Z605" s="4">
        <v>769</v>
      </c>
      <c r="AA605" s="4">
        <v>-3.03</v>
      </c>
      <c r="AB605" s="15">
        <v>1182568</v>
      </c>
      <c r="AC605" s="15">
        <v>3068965</v>
      </c>
      <c r="AD605" s="15">
        <v>350000</v>
      </c>
      <c r="AE605" s="15">
        <v>360000</v>
      </c>
      <c r="AF605" s="15">
        <v>739542</v>
      </c>
      <c r="AG605" s="15">
        <v>766918</v>
      </c>
      <c r="AH605" s="4">
        <v>3.81</v>
      </c>
      <c r="AI605" s="6">
        <v>3.8</v>
      </c>
    </row>
    <row r="606" spans="1:35" x14ac:dyDescent="0.25">
      <c r="A606" s="5" t="str">
        <f>"280202"</f>
        <v>280202</v>
      </c>
      <c r="B606" s="3" t="s">
        <v>266</v>
      </c>
      <c r="C606" s="15">
        <v>221303686</v>
      </c>
      <c r="D606" s="15">
        <v>235870966</v>
      </c>
      <c r="E606" s="4">
        <v>6.58</v>
      </c>
      <c r="F606" s="15">
        <v>125852550</v>
      </c>
      <c r="G606" s="15">
        <v>127831656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  <c r="N606" s="15">
        <v>125852550</v>
      </c>
      <c r="O606" s="15">
        <v>127831656</v>
      </c>
      <c r="P606" s="4">
        <v>1.57</v>
      </c>
      <c r="Q606" s="15">
        <v>2030776</v>
      </c>
      <c r="R606" s="15">
        <v>3437337</v>
      </c>
      <c r="S606" s="15">
        <v>129896796</v>
      </c>
      <c r="T606" s="15">
        <v>128578756</v>
      </c>
      <c r="U606" s="15">
        <v>123821774</v>
      </c>
      <c r="V606" s="15">
        <v>124394319</v>
      </c>
      <c r="W606" s="15">
        <v>6075022</v>
      </c>
      <c r="X606" s="15">
        <v>4184437</v>
      </c>
      <c r="Y606" s="4">
        <v>6429</v>
      </c>
      <c r="Z606" s="4">
        <v>6550</v>
      </c>
      <c r="AA606" s="4">
        <v>1.88</v>
      </c>
      <c r="AB606" s="15">
        <v>24254118</v>
      </c>
      <c r="AC606" s="15">
        <v>19992223</v>
      </c>
      <c r="AD606" s="15">
        <v>5850622</v>
      </c>
      <c r="AE606" s="15">
        <v>5850622</v>
      </c>
      <c r="AF606" s="15">
        <v>8245327</v>
      </c>
      <c r="AG606" s="15">
        <v>3395000</v>
      </c>
      <c r="AH606" s="4">
        <v>3.73</v>
      </c>
      <c r="AI606" s="6">
        <v>1.44</v>
      </c>
    </row>
    <row r="607" spans="1:35" x14ac:dyDescent="0.25">
      <c r="A607" s="5" t="str">
        <f>"031501"</f>
        <v>031501</v>
      </c>
      <c r="B607" s="3" t="s">
        <v>32</v>
      </c>
      <c r="C607" s="15">
        <v>89573463</v>
      </c>
      <c r="D607" s="15">
        <v>91920150</v>
      </c>
      <c r="E607" s="4">
        <v>2.62</v>
      </c>
      <c r="F607" s="15">
        <v>43336806</v>
      </c>
      <c r="G607" s="15">
        <v>44228775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43336806</v>
      </c>
      <c r="O607" s="15">
        <v>44228775</v>
      </c>
      <c r="P607" s="4">
        <v>2.06</v>
      </c>
      <c r="Q607" s="15">
        <v>651535</v>
      </c>
      <c r="R607" s="15">
        <v>649741</v>
      </c>
      <c r="S607" s="15">
        <v>42685271</v>
      </c>
      <c r="T607" s="15">
        <v>43579034</v>
      </c>
      <c r="U607" s="15">
        <v>42685271</v>
      </c>
      <c r="V607" s="15">
        <v>43579034</v>
      </c>
      <c r="W607" s="15">
        <v>0</v>
      </c>
      <c r="X607" s="15">
        <v>0</v>
      </c>
      <c r="Y607" s="4">
        <v>3494</v>
      </c>
      <c r="Z607" s="4">
        <v>3494</v>
      </c>
      <c r="AA607" s="4">
        <v>0</v>
      </c>
      <c r="AB607" s="15">
        <v>12604493</v>
      </c>
      <c r="AC607" s="15">
        <v>15456886</v>
      </c>
      <c r="AD607" s="15">
        <v>1500000</v>
      </c>
      <c r="AE607" s="15">
        <v>1500000</v>
      </c>
      <c r="AF607" s="15">
        <v>3277345</v>
      </c>
      <c r="AG607" s="15">
        <v>3424583</v>
      </c>
      <c r="AH607" s="4">
        <v>3.66</v>
      </c>
      <c r="AI607" s="6">
        <v>3.73</v>
      </c>
    </row>
    <row r="608" spans="1:35" x14ac:dyDescent="0.25">
      <c r="A608" s="5" t="str">
        <f>"412300"</f>
        <v>412300</v>
      </c>
      <c r="B608" s="3" t="s">
        <v>338</v>
      </c>
      <c r="C608" s="15">
        <v>194162957</v>
      </c>
      <c r="D608" s="15">
        <v>213512562</v>
      </c>
      <c r="E608" s="4">
        <v>9.9700000000000006</v>
      </c>
      <c r="F608" s="15">
        <v>30005865</v>
      </c>
      <c r="G608" s="15">
        <v>30005865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30005865</v>
      </c>
      <c r="O608" s="15">
        <v>30005865</v>
      </c>
      <c r="P608" s="4">
        <v>0</v>
      </c>
      <c r="Q608" s="15">
        <v>0</v>
      </c>
      <c r="R608" s="15">
        <v>0</v>
      </c>
      <c r="S608" s="15">
        <v>31942756</v>
      </c>
      <c r="T608" s="15">
        <v>31340480</v>
      </c>
      <c r="U608" s="15">
        <v>30005865</v>
      </c>
      <c r="V608" s="15">
        <v>30005865</v>
      </c>
      <c r="W608" s="15">
        <v>1936891</v>
      </c>
      <c r="X608" s="15">
        <v>1334615</v>
      </c>
      <c r="Y608" s="4">
        <v>10300</v>
      </c>
      <c r="Z608" s="4">
        <v>10700</v>
      </c>
      <c r="AA608" s="4">
        <v>3.88</v>
      </c>
      <c r="AB608" s="15">
        <v>27856523</v>
      </c>
      <c r="AC608" s="15">
        <v>27864523</v>
      </c>
      <c r="AD608" s="15">
        <v>4847977</v>
      </c>
      <c r="AE608" s="15">
        <v>3200000</v>
      </c>
      <c r="AF608" s="15">
        <v>17539400</v>
      </c>
      <c r="AG608" s="15">
        <v>15500000</v>
      </c>
      <c r="AH608" s="4">
        <v>9.0299999999999994</v>
      </c>
      <c r="AI608" s="6">
        <v>7.26</v>
      </c>
    </row>
    <row r="609" spans="1:35" x14ac:dyDescent="0.25">
      <c r="A609" s="5" t="str">
        <f>"660805"</f>
        <v>660805</v>
      </c>
      <c r="B609" s="3" t="s">
        <v>644</v>
      </c>
      <c r="C609" s="15">
        <v>55326945</v>
      </c>
      <c r="D609" s="15">
        <v>54876065</v>
      </c>
      <c r="E609" s="4">
        <v>-0.81</v>
      </c>
      <c r="F609" s="15">
        <v>44956027</v>
      </c>
      <c r="G609" s="15">
        <v>45516048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44956027</v>
      </c>
      <c r="O609" s="15">
        <v>45516048</v>
      </c>
      <c r="P609" s="4">
        <v>1.25</v>
      </c>
      <c r="Q609" s="15">
        <v>1950715</v>
      </c>
      <c r="R609" s="15">
        <v>1569102</v>
      </c>
      <c r="S609" s="15">
        <v>43180365</v>
      </c>
      <c r="T609" s="15">
        <v>43946946</v>
      </c>
      <c r="U609" s="15">
        <v>43005312</v>
      </c>
      <c r="V609" s="15">
        <v>43946946</v>
      </c>
      <c r="W609" s="15">
        <v>175053</v>
      </c>
      <c r="X609" s="15">
        <v>0</v>
      </c>
      <c r="Y609" s="4">
        <v>1370</v>
      </c>
      <c r="Z609" s="4">
        <v>1379</v>
      </c>
      <c r="AA609" s="4">
        <v>0.66</v>
      </c>
      <c r="AB609" s="15">
        <v>8861366</v>
      </c>
      <c r="AC609" s="15">
        <v>8465074</v>
      </c>
      <c r="AD609" s="15">
        <v>650000</v>
      </c>
      <c r="AE609" s="15">
        <v>650000</v>
      </c>
      <c r="AF609" s="15">
        <v>2213078</v>
      </c>
      <c r="AG609" s="15">
        <v>2195043</v>
      </c>
      <c r="AH609" s="4">
        <v>4</v>
      </c>
      <c r="AI609" s="6">
        <v>4</v>
      </c>
    </row>
    <row r="610" spans="1:35" x14ac:dyDescent="0.25">
      <c r="A610" s="5" t="str">
        <f>"441301"</f>
        <v>441301</v>
      </c>
      <c r="B610" s="3" t="s">
        <v>378</v>
      </c>
      <c r="C610" s="15">
        <v>112200000</v>
      </c>
      <c r="D610" s="15">
        <v>116600000</v>
      </c>
      <c r="E610" s="4">
        <v>3.92</v>
      </c>
      <c r="F610" s="15">
        <v>65213763</v>
      </c>
      <c r="G610" s="15">
        <v>66358363</v>
      </c>
      <c r="H610" s="15"/>
      <c r="I610" s="15"/>
      <c r="J610" s="15"/>
      <c r="K610" s="15"/>
      <c r="L610" s="15"/>
      <c r="M610" s="15"/>
      <c r="N610" s="15">
        <v>65213763</v>
      </c>
      <c r="O610" s="15">
        <v>66358363</v>
      </c>
      <c r="P610" s="4">
        <v>1.76</v>
      </c>
      <c r="Q610" s="15">
        <v>530241</v>
      </c>
      <c r="R610" s="15">
        <v>630438</v>
      </c>
      <c r="S610" s="15">
        <v>64683522</v>
      </c>
      <c r="T610" s="15">
        <v>67480345</v>
      </c>
      <c r="U610" s="15">
        <v>64683522</v>
      </c>
      <c r="V610" s="15">
        <v>65727925</v>
      </c>
      <c r="W610" s="15">
        <v>0</v>
      </c>
      <c r="X610" s="15">
        <v>1752420</v>
      </c>
      <c r="Y610" s="4">
        <v>4045</v>
      </c>
      <c r="Z610" s="4">
        <v>4100</v>
      </c>
      <c r="AA610" s="4">
        <v>1.36</v>
      </c>
      <c r="AB610" s="15">
        <v>13037451</v>
      </c>
      <c r="AC610" s="15">
        <v>18981993</v>
      </c>
      <c r="AD610" s="15">
        <v>4375000</v>
      </c>
      <c r="AE610" s="15">
        <v>2950000</v>
      </c>
      <c r="AF610" s="15">
        <v>6599176</v>
      </c>
      <c r="AG610" s="15">
        <v>4640000</v>
      </c>
      <c r="AH610" s="4">
        <v>5.88</v>
      </c>
      <c r="AI610" s="6">
        <v>3.98</v>
      </c>
    </row>
    <row r="611" spans="1:35" x14ac:dyDescent="0.25">
      <c r="A611" s="5" t="str">
        <f>"280213"</f>
        <v>280213</v>
      </c>
      <c r="B611" s="3" t="s">
        <v>277</v>
      </c>
      <c r="C611" s="15">
        <v>55526830</v>
      </c>
      <c r="D611" s="15">
        <v>58545088</v>
      </c>
      <c r="E611" s="4">
        <v>5.44</v>
      </c>
      <c r="F611" s="15">
        <v>37997549</v>
      </c>
      <c r="G611" s="15">
        <v>38567512</v>
      </c>
      <c r="H611" s="15"/>
      <c r="I611" s="15"/>
      <c r="J611" s="15"/>
      <c r="K611" s="15"/>
      <c r="L611" s="15"/>
      <c r="M611" s="15"/>
      <c r="N611" s="15">
        <v>37997549</v>
      </c>
      <c r="O611" s="15">
        <v>38567512</v>
      </c>
      <c r="P611" s="4">
        <v>1.5</v>
      </c>
      <c r="Q611" s="15">
        <v>1101623</v>
      </c>
      <c r="R611" s="15">
        <v>1659728</v>
      </c>
      <c r="S611" s="15">
        <v>38473071</v>
      </c>
      <c r="T611" s="15">
        <v>39056745</v>
      </c>
      <c r="U611" s="15">
        <v>36895926</v>
      </c>
      <c r="V611" s="15">
        <v>36907784</v>
      </c>
      <c r="W611" s="15">
        <v>1577145</v>
      </c>
      <c r="X611" s="15">
        <v>2148961</v>
      </c>
      <c r="Y611" s="4">
        <v>1990</v>
      </c>
      <c r="Z611" s="4">
        <v>1900</v>
      </c>
      <c r="AA611" s="4">
        <v>-4.5199999999999996</v>
      </c>
      <c r="AB611" s="15">
        <v>9873530</v>
      </c>
      <c r="AC611" s="15">
        <v>10373530</v>
      </c>
      <c r="AD611" s="15">
        <v>1875000</v>
      </c>
      <c r="AE611" s="15">
        <v>1875000</v>
      </c>
      <c r="AF611" s="15">
        <v>2221073</v>
      </c>
      <c r="AG611" s="15">
        <v>2341803</v>
      </c>
      <c r="AH611" s="4">
        <v>4</v>
      </c>
      <c r="AI611" s="6">
        <v>4</v>
      </c>
    </row>
    <row r="612" spans="1:35" x14ac:dyDescent="0.25">
      <c r="A612" s="5" t="str">
        <f>"280224"</f>
        <v>280224</v>
      </c>
      <c r="B612" s="3" t="s">
        <v>277</v>
      </c>
      <c r="C612" s="15">
        <v>31787655</v>
      </c>
      <c r="D612" s="15">
        <v>33977966</v>
      </c>
      <c r="E612" s="4">
        <v>6.89</v>
      </c>
      <c r="F612" s="15">
        <v>21995845</v>
      </c>
      <c r="G612" s="15">
        <v>22325782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21995845</v>
      </c>
      <c r="O612" s="15">
        <v>22325782</v>
      </c>
      <c r="P612" s="4">
        <v>1.5</v>
      </c>
      <c r="Q612" s="15">
        <v>279835</v>
      </c>
      <c r="R612" s="15">
        <v>179201</v>
      </c>
      <c r="S612" s="15">
        <v>21716010</v>
      </c>
      <c r="T612" s="15">
        <v>22244515</v>
      </c>
      <c r="U612" s="15">
        <v>21716010</v>
      </c>
      <c r="V612" s="15">
        <v>22146581</v>
      </c>
      <c r="W612" s="15">
        <v>0</v>
      </c>
      <c r="X612" s="15">
        <v>97934</v>
      </c>
      <c r="Y612" s="4">
        <v>1041</v>
      </c>
      <c r="Z612" s="4">
        <v>1025</v>
      </c>
      <c r="AA612" s="4">
        <v>-1.54</v>
      </c>
      <c r="AB612" s="15">
        <v>7237970</v>
      </c>
      <c r="AC612" s="15">
        <v>7431732</v>
      </c>
      <c r="AD612" s="15">
        <v>300000</v>
      </c>
      <c r="AE612" s="15">
        <v>200000</v>
      </c>
      <c r="AF612" s="15">
        <v>1271504</v>
      </c>
      <c r="AG612" s="15">
        <v>1359119</v>
      </c>
      <c r="AH612" s="4">
        <v>4</v>
      </c>
      <c r="AI612" s="6">
        <v>4</v>
      </c>
    </row>
    <row r="613" spans="1:35" x14ac:dyDescent="0.25">
      <c r="A613" s="5" t="str">
        <f>"280230"</f>
        <v>280230</v>
      </c>
      <c r="B613" s="3" t="s">
        <v>277</v>
      </c>
      <c r="C613" s="15">
        <v>39606811</v>
      </c>
      <c r="D613" s="15">
        <v>41832912</v>
      </c>
      <c r="E613" s="4">
        <v>5.62</v>
      </c>
      <c r="F613" s="15">
        <v>22815258</v>
      </c>
      <c r="G613" s="15">
        <v>22815258</v>
      </c>
      <c r="H613" s="15"/>
      <c r="I613" s="15"/>
      <c r="J613" s="15"/>
      <c r="K613" s="15"/>
      <c r="L613" s="15"/>
      <c r="M613" s="15"/>
      <c r="N613" s="15">
        <v>22815258</v>
      </c>
      <c r="O613" s="15">
        <v>22815258</v>
      </c>
      <c r="P613" s="4">
        <v>0</v>
      </c>
      <c r="Q613" s="15">
        <v>336823</v>
      </c>
      <c r="R613" s="15">
        <v>0</v>
      </c>
      <c r="S613" s="15">
        <v>22647969</v>
      </c>
      <c r="T613" s="15">
        <v>23285404</v>
      </c>
      <c r="U613" s="15">
        <v>22478435</v>
      </c>
      <c r="V613" s="15">
        <v>22815258</v>
      </c>
      <c r="W613" s="15">
        <v>169534</v>
      </c>
      <c r="X613" s="15">
        <v>470146</v>
      </c>
      <c r="Y613" s="4">
        <v>1369</v>
      </c>
      <c r="Z613" s="4">
        <v>1356</v>
      </c>
      <c r="AA613" s="4">
        <v>-0.95</v>
      </c>
      <c r="AB613" s="15">
        <v>19379229</v>
      </c>
      <c r="AC613" s="15">
        <v>12064108</v>
      </c>
      <c r="AD613" s="15">
        <v>1713652</v>
      </c>
      <c r="AE613" s="15">
        <v>1000000</v>
      </c>
      <c r="AF613" s="15">
        <v>1584270</v>
      </c>
      <c r="AG613" s="15">
        <v>1673316</v>
      </c>
      <c r="AH613" s="4">
        <v>4</v>
      </c>
      <c r="AI613" s="6">
        <v>4</v>
      </c>
    </row>
    <row r="614" spans="1:35" x14ac:dyDescent="0.25">
      <c r="A614" s="5" t="str">
        <f>"280251"</f>
        <v>280251</v>
      </c>
      <c r="B614" s="3" t="s">
        <v>277</v>
      </c>
      <c r="C614" s="15">
        <v>129566399</v>
      </c>
      <c r="D614" s="15">
        <v>138493603</v>
      </c>
      <c r="E614" s="4">
        <v>6.89</v>
      </c>
      <c r="F614" s="15">
        <v>87934742</v>
      </c>
      <c r="G614" s="15">
        <v>87934742</v>
      </c>
      <c r="H614" s="15"/>
      <c r="I614" s="15"/>
      <c r="J614" s="15"/>
      <c r="K614" s="15"/>
      <c r="L614" s="15"/>
      <c r="M614" s="15"/>
      <c r="N614" s="15">
        <v>87934742</v>
      </c>
      <c r="O614" s="15">
        <v>87934742</v>
      </c>
      <c r="P614" s="4">
        <v>0</v>
      </c>
      <c r="Q614" s="15">
        <v>2023202</v>
      </c>
      <c r="R614" s="15">
        <v>99699</v>
      </c>
      <c r="S614" s="15">
        <v>85911540</v>
      </c>
      <c r="T614" s="15">
        <v>87835043</v>
      </c>
      <c r="U614" s="15">
        <v>85911540</v>
      </c>
      <c r="V614" s="15">
        <v>87835043</v>
      </c>
      <c r="W614" s="15">
        <v>0</v>
      </c>
      <c r="X614" s="15">
        <v>0</v>
      </c>
      <c r="Y614" s="4">
        <v>4700</v>
      </c>
      <c r="Z614" s="4">
        <v>4779</v>
      </c>
      <c r="AA614" s="4">
        <v>1.68</v>
      </c>
      <c r="AB614" s="15">
        <v>28499309</v>
      </c>
      <c r="AC614" s="15">
        <v>28559309</v>
      </c>
      <c r="AD614" s="15">
        <v>0</v>
      </c>
      <c r="AE614" s="15">
        <v>0</v>
      </c>
      <c r="AF614" s="15">
        <v>5182656</v>
      </c>
      <c r="AG614" s="15">
        <v>5539744</v>
      </c>
      <c r="AH614" s="4">
        <v>4</v>
      </c>
      <c r="AI614" s="6">
        <v>4</v>
      </c>
    </row>
    <row r="615" spans="1:35" x14ac:dyDescent="0.25">
      <c r="A615" s="5" t="str">
        <f>"211701"</f>
        <v>211701</v>
      </c>
      <c r="B615" s="3" t="s">
        <v>204</v>
      </c>
      <c r="C615" s="15">
        <v>6400000</v>
      </c>
      <c r="D615" s="15">
        <v>6528000</v>
      </c>
      <c r="E615" s="4">
        <v>2</v>
      </c>
      <c r="F615" s="15">
        <v>1905443</v>
      </c>
      <c r="G615" s="15">
        <v>1943551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1905443</v>
      </c>
      <c r="O615" s="15">
        <v>1943551</v>
      </c>
      <c r="P615" s="4">
        <v>2</v>
      </c>
      <c r="Q615" s="15">
        <v>99275</v>
      </c>
      <c r="R615" s="15">
        <v>99253</v>
      </c>
      <c r="S615" s="15">
        <v>1806168</v>
      </c>
      <c r="T615" s="15">
        <v>1858228</v>
      </c>
      <c r="U615" s="15">
        <v>1806168</v>
      </c>
      <c r="V615" s="15">
        <v>1844298</v>
      </c>
      <c r="W615" s="15">
        <v>0</v>
      </c>
      <c r="X615" s="15">
        <v>13930</v>
      </c>
      <c r="Y615" s="4">
        <v>176</v>
      </c>
      <c r="Z615" s="4">
        <v>180</v>
      </c>
      <c r="AA615" s="4">
        <v>2.27</v>
      </c>
      <c r="AB615" s="15">
        <v>1124491</v>
      </c>
      <c r="AC615" s="15">
        <v>1154491</v>
      </c>
      <c r="AD615" s="15">
        <v>432134</v>
      </c>
      <c r="AE615" s="15">
        <v>477631</v>
      </c>
      <c r="AF615" s="15">
        <v>1670686</v>
      </c>
      <c r="AG615" s="15">
        <v>1193055</v>
      </c>
      <c r="AH615" s="4">
        <v>26.1</v>
      </c>
      <c r="AI615" s="6">
        <v>18.28</v>
      </c>
    </row>
    <row r="616" spans="1:35" x14ac:dyDescent="0.25">
      <c r="A616" s="5" t="str">
        <f>"031601"</f>
        <v>031601</v>
      </c>
      <c r="B616" s="3" t="s">
        <v>34</v>
      </c>
      <c r="C616" s="15">
        <v>82972893</v>
      </c>
      <c r="D616" s="15">
        <v>86507841</v>
      </c>
      <c r="E616" s="4">
        <v>4.26</v>
      </c>
      <c r="F616" s="15">
        <v>48596537</v>
      </c>
      <c r="G616" s="15">
        <v>49700916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48596537</v>
      </c>
      <c r="O616" s="15">
        <v>49700916</v>
      </c>
      <c r="P616" s="4">
        <v>2.27</v>
      </c>
      <c r="Q616" s="15">
        <v>1707514</v>
      </c>
      <c r="R616" s="15">
        <v>1705410</v>
      </c>
      <c r="S616" s="15">
        <v>47505263</v>
      </c>
      <c r="T616" s="15">
        <v>47995506</v>
      </c>
      <c r="U616" s="15">
        <v>46889023</v>
      </c>
      <c r="V616" s="15">
        <v>47995506</v>
      </c>
      <c r="W616" s="15">
        <v>616240</v>
      </c>
      <c r="X616" s="15">
        <v>0</v>
      </c>
      <c r="Y616" s="4">
        <v>3314</v>
      </c>
      <c r="Z616" s="4">
        <v>3314</v>
      </c>
      <c r="AA616" s="4">
        <v>0</v>
      </c>
      <c r="AB616" s="15">
        <v>23910489</v>
      </c>
      <c r="AC616" s="15">
        <v>23568810</v>
      </c>
      <c r="AD616" s="15">
        <v>2200000</v>
      </c>
      <c r="AE616" s="15">
        <v>2250000</v>
      </c>
      <c r="AF616" s="15">
        <v>2653457</v>
      </c>
      <c r="AG616" s="15">
        <v>3174794</v>
      </c>
      <c r="AH616" s="4">
        <v>3.2</v>
      </c>
      <c r="AI616" s="6">
        <v>3.67</v>
      </c>
    </row>
    <row r="617" spans="1:35" x14ac:dyDescent="0.25">
      <c r="A617" s="5" t="str">
        <f>"431701"</f>
        <v>431701</v>
      </c>
      <c r="B617" s="3" t="s">
        <v>367</v>
      </c>
      <c r="C617" s="15">
        <v>83218488</v>
      </c>
      <c r="D617" s="15">
        <v>89198479</v>
      </c>
      <c r="E617" s="4">
        <v>7.19</v>
      </c>
      <c r="F617" s="15">
        <v>52329088</v>
      </c>
      <c r="G617" s="15">
        <v>55045566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52329088</v>
      </c>
      <c r="O617" s="15">
        <v>55045566</v>
      </c>
      <c r="P617" s="4">
        <v>5.19</v>
      </c>
      <c r="Q617" s="15">
        <v>0</v>
      </c>
      <c r="R617" s="15">
        <v>0</v>
      </c>
      <c r="S617" s="15">
        <v>52329088</v>
      </c>
      <c r="T617" s="15">
        <v>55045566</v>
      </c>
      <c r="U617" s="15">
        <v>52329088</v>
      </c>
      <c r="V617" s="15">
        <v>55045566</v>
      </c>
      <c r="W617" s="15">
        <v>0</v>
      </c>
      <c r="X617" s="15">
        <v>0</v>
      </c>
      <c r="Y617" s="4">
        <v>4197</v>
      </c>
      <c r="Z617" s="4">
        <v>4129</v>
      </c>
      <c r="AA617" s="4">
        <v>-1.62</v>
      </c>
      <c r="AB617" s="15">
        <v>12344825</v>
      </c>
      <c r="AC617" s="15">
        <v>20000000</v>
      </c>
      <c r="AD617" s="15">
        <v>529000</v>
      </c>
      <c r="AE617" s="15">
        <v>880000</v>
      </c>
      <c r="AF617" s="15">
        <v>3328740</v>
      </c>
      <c r="AG617" s="15">
        <v>3567939</v>
      </c>
      <c r="AH617" s="4">
        <v>4</v>
      </c>
      <c r="AI617" s="6">
        <v>4</v>
      </c>
    </row>
    <row r="618" spans="1:35" x14ac:dyDescent="0.25">
      <c r="A618" s="5" t="str">
        <f>"011003"</f>
        <v>011003</v>
      </c>
      <c r="B618" s="3" t="s">
        <v>10</v>
      </c>
      <c r="C618" s="15">
        <v>26954451</v>
      </c>
      <c r="D618" s="15">
        <v>28146611</v>
      </c>
      <c r="E618" s="4">
        <v>4.42</v>
      </c>
      <c r="F618" s="15">
        <v>19266635</v>
      </c>
      <c r="G618" s="15">
        <v>19748301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19266635</v>
      </c>
      <c r="O618" s="15">
        <v>19748301</v>
      </c>
      <c r="P618" s="4">
        <v>2.5</v>
      </c>
      <c r="Q618" s="15">
        <v>0</v>
      </c>
      <c r="R618" s="15">
        <v>85534</v>
      </c>
      <c r="S618" s="15">
        <v>19266635</v>
      </c>
      <c r="T618" s="15">
        <v>19982121</v>
      </c>
      <c r="U618" s="15">
        <v>19266635</v>
      </c>
      <c r="V618" s="15">
        <v>19662767</v>
      </c>
      <c r="W618" s="15">
        <v>0</v>
      </c>
      <c r="X618" s="15">
        <v>319354</v>
      </c>
      <c r="Y618" s="4">
        <v>1267</v>
      </c>
      <c r="Z618" s="4">
        <v>1300</v>
      </c>
      <c r="AA618" s="4">
        <v>2.6</v>
      </c>
      <c r="AB618" s="15">
        <v>4882439</v>
      </c>
      <c r="AC618" s="15">
        <v>5170368</v>
      </c>
      <c r="AD618" s="15">
        <v>0</v>
      </c>
      <c r="AE618" s="15">
        <v>703665</v>
      </c>
      <c r="AF618" s="15">
        <v>1074079</v>
      </c>
      <c r="AG618" s="15">
        <v>1125864</v>
      </c>
      <c r="AH618" s="4">
        <v>3.98</v>
      </c>
      <c r="AI618" s="6">
        <v>4</v>
      </c>
    </row>
    <row r="619" spans="1:35" x14ac:dyDescent="0.25">
      <c r="A619" s="5" t="str">
        <f>"580302"</f>
        <v>580302</v>
      </c>
      <c r="B619" s="3" t="s">
        <v>521</v>
      </c>
      <c r="C619" s="15">
        <v>3829017</v>
      </c>
      <c r="D619" s="15">
        <v>4127568</v>
      </c>
      <c r="E619" s="4">
        <v>7.8</v>
      </c>
      <c r="F619" s="15">
        <v>3065860</v>
      </c>
      <c r="G619" s="15">
        <v>3394568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3065860</v>
      </c>
      <c r="O619" s="15">
        <v>3394568</v>
      </c>
      <c r="P619" s="4">
        <v>10.72</v>
      </c>
      <c r="Q619" s="15">
        <v>138164</v>
      </c>
      <c r="R619" s="15">
        <v>13640</v>
      </c>
      <c r="S619" s="15">
        <v>2933410</v>
      </c>
      <c r="T619" s="15">
        <v>3012348</v>
      </c>
      <c r="U619" s="15">
        <v>2927696</v>
      </c>
      <c r="V619" s="15">
        <v>3380928</v>
      </c>
      <c r="W619" s="15">
        <v>5714</v>
      </c>
      <c r="X619" s="15">
        <v>-368580</v>
      </c>
      <c r="Y619" s="4">
        <v>102</v>
      </c>
      <c r="Z619" s="4">
        <v>105</v>
      </c>
      <c r="AA619" s="4">
        <v>2.94</v>
      </c>
      <c r="AB619" s="15">
        <v>300562</v>
      </c>
      <c r="AC619" s="15">
        <v>300650</v>
      </c>
      <c r="AD619" s="15">
        <v>350000</v>
      </c>
      <c r="AE619" s="15">
        <v>150000</v>
      </c>
      <c r="AF619" s="15">
        <v>552000</v>
      </c>
      <c r="AG619" s="15">
        <v>150000</v>
      </c>
      <c r="AH619" s="4">
        <v>14.42</v>
      </c>
      <c r="AI619" s="6">
        <v>3.63</v>
      </c>
    </row>
    <row r="620" spans="1:35" x14ac:dyDescent="0.25">
      <c r="A620" s="5" t="str">
        <f>"621801"</f>
        <v>621801</v>
      </c>
      <c r="B620" s="3" t="s">
        <v>592</v>
      </c>
      <c r="C620" s="15">
        <v>79343346</v>
      </c>
      <c r="D620" s="15">
        <v>81713970</v>
      </c>
      <c r="E620" s="4">
        <v>2.99</v>
      </c>
      <c r="F620" s="15">
        <v>44667346</v>
      </c>
      <c r="G620" s="15">
        <v>45784030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44667346</v>
      </c>
      <c r="O620" s="15">
        <v>45784030</v>
      </c>
      <c r="P620" s="4">
        <v>2.5</v>
      </c>
      <c r="Q620" s="15">
        <v>822064</v>
      </c>
      <c r="R620" s="15">
        <v>767119</v>
      </c>
      <c r="S620" s="15">
        <v>43995282</v>
      </c>
      <c r="T620" s="15">
        <v>45086673</v>
      </c>
      <c r="U620" s="15">
        <v>43845282</v>
      </c>
      <c r="V620" s="15">
        <v>45016911</v>
      </c>
      <c r="W620" s="15">
        <v>150000</v>
      </c>
      <c r="X620" s="15">
        <v>69762</v>
      </c>
      <c r="Y620" s="4">
        <v>2850</v>
      </c>
      <c r="Z620" s="4">
        <v>2800</v>
      </c>
      <c r="AA620" s="4">
        <v>-1.75</v>
      </c>
      <c r="AB620" s="15">
        <v>29115666</v>
      </c>
      <c r="AC620" s="15">
        <v>30000000</v>
      </c>
      <c r="AD620" s="15">
        <v>1950000</v>
      </c>
      <c r="AE620" s="15">
        <v>980000</v>
      </c>
      <c r="AF620" s="15">
        <v>3174184</v>
      </c>
      <c r="AG620" s="15">
        <v>3268559</v>
      </c>
      <c r="AH620" s="4">
        <v>4</v>
      </c>
      <c r="AI620" s="6">
        <v>4</v>
      </c>
    </row>
    <row r="621" spans="1:35" x14ac:dyDescent="0.25">
      <c r="A621" s="5" t="str">
        <f>"121901"</f>
        <v>121901</v>
      </c>
      <c r="B621" s="3" t="s">
        <v>114</v>
      </c>
      <c r="C621" s="15">
        <v>22292000</v>
      </c>
      <c r="D621" s="15">
        <v>22866338</v>
      </c>
      <c r="E621" s="4">
        <v>2.58</v>
      </c>
      <c r="F621" s="15">
        <v>6856000</v>
      </c>
      <c r="G621" s="15">
        <v>7025000</v>
      </c>
      <c r="H621" s="15"/>
      <c r="I621" s="15"/>
      <c r="J621" s="15"/>
      <c r="K621" s="15"/>
      <c r="L621" s="15"/>
      <c r="M621" s="15"/>
      <c r="N621" s="15">
        <v>6856000</v>
      </c>
      <c r="O621" s="15">
        <v>7025000</v>
      </c>
      <c r="P621" s="4">
        <v>2.46</v>
      </c>
      <c r="Q621" s="15">
        <v>340375</v>
      </c>
      <c r="R621" s="15">
        <v>333415</v>
      </c>
      <c r="S621" s="15">
        <v>6515735</v>
      </c>
      <c r="T621" s="15">
        <v>6691789</v>
      </c>
      <c r="U621" s="15">
        <v>6515625</v>
      </c>
      <c r="V621" s="15">
        <v>6691585</v>
      </c>
      <c r="W621" s="15">
        <v>110</v>
      </c>
      <c r="X621" s="15">
        <v>204</v>
      </c>
      <c r="Y621" s="4">
        <v>866</v>
      </c>
      <c r="Z621" s="4">
        <v>827</v>
      </c>
      <c r="AA621" s="4">
        <v>-4.5</v>
      </c>
      <c r="AB621" s="15">
        <v>1445371</v>
      </c>
      <c r="AC621" s="15">
        <v>2320536</v>
      </c>
      <c r="AD621" s="15">
        <v>820928</v>
      </c>
      <c r="AE621" s="15">
        <v>580000</v>
      </c>
      <c r="AF621" s="15">
        <v>1862417</v>
      </c>
      <c r="AG621" s="15">
        <v>1587417</v>
      </c>
      <c r="AH621" s="4">
        <v>8.35</v>
      </c>
      <c r="AI621" s="6">
        <v>6.94</v>
      </c>
    </row>
    <row r="622" spans="1:35" x14ac:dyDescent="0.25">
      <c r="A622" s="5" t="str">
        <f>"280223"</f>
        <v>280223</v>
      </c>
      <c r="B622" s="3" t="s">
        <v>287</v>
      </c>
      <c r="C622" s="15">
        <v>82755890</v>
      </c>
      <c r="D622" s="15">
        <v>84981612</v>
      </c>
      <c r="E622" s="4">
        <v>2.69</v>
      </c>
      <c r="F622" s="15">
        <v>62323381</v>
      </c>
      <c r="G622" s="15">
        <v>63641702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62323381</v>
      </c>
      <c r="O622" s="15">
        <v>63641702</v>
      </c>
      <c r="P622" s="4">
        <v>2.12</v>
      </c>
      <c r="Q622" s="15">
        <v>1199098</v>
      </c>
      <c r="R622" s="15">
        <v>998544</v>
      </c>
      <c r="S622" s="15">
        <v>59549107</v>
      </c>
      <c r="T622" s="15">
        <v>62646018</v>
      </c>
      <c r="U622" s="15">
        <v>61124283</v>
      </c>
      <c r="V622" s="15">
        <v>62643158</v>
      </c>
      <c r="W622" s="15">
        <v>-1575176</v>
      </c>
      <c r="X622" s="15">
        <v>2860</v>
      </c>
      <c r="Y622" s="4">
        <v>2820</v>
      </c>
      <c r="Z622" s="4">
        <v>2828</v>
      </c>
      <c r="AA622" s="4">
        <v>0.28000000000000003</v>
      </c>
      <c r="AB622" s="15">
        <v>5528250</v>
      </c>
      <c r="AC622" s="15">
        <v>10117000</v>
      </c>
      <c r="AD622" s="15">
        <v>0</v>
      </c>
      <c r="AE622" s="15">
        <v>0</v>
      </c>
      <c r="AF622" s="15">
        <v>3310235</v>
      </c>
      <c r="AG622" s="15">
        <v>3399264</v>
      </c>
      <c r="AH622" s="4">
        <v>4</v>
      </c>
      <c r="AI622" s="6">
        <v>4</v>
      </c>
    </row>
    <row r="623" spans="1:35" x14ac:dyDescent="0.25">
      <c r="A623" s="5" t="str">
        <f>"132101"</f>
        <v>132101</v>
      </c>
      <c r="B623" s="3" t="s">
        <v>126</v>
      </c>
      <c r="C623" s="15">
        <v>256403547</v>
      </c>
      <c r="D623" s="15">
        <v>265714022</v>
      </c>
      <c r="E623" s="4">
        <v>3.63</v>
      </c>
      <c r="F623" s="15">
        <v>179699213</v>
      </c>
      <c r="G623" s="15">
        <v>181192000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179699213</v>
      </c>
      <c r="O623" s="15">
        <v>181192000</v>
      </c>
      <c r="P623" s="4">
        <v>0.83</v>
      </c>
      <c r="Q623" s="15">
        <v>6884679</v>
      </c>
      <c r="R623" s="15">
        <v>4352077</v>
      </c>
      <c r="S623" s="15">
        <v>172814534</v>
      </c>
      <c r="T623" s="15">
        <v>176839923</v>
      </c>
      <c r="U623" s="15">
        <v>172814534</v>
      </c>
      <c r="V623" s="15">
        <v>176839923</v>
      </c>
      <c r="W623" s="15">
        <v>0</v>
      </c>
      <c r="X623" s="15">
        <v>0</v>
      </c>
      <c r="Y623" s="4">
        <v>10638</v>
      </c>
      <c r="Z623" s="4">
        <v>10372</v>
      </c>
      <c r="AA623" s="4">
        <v>-2.5</v>
      </c>
      <c r="AB623" s="15">
        <v>382000</v>
      </c>
      <c r="AC623" s="15">
        <v>385000</v>
      </c>
      <c r="AD623" s="15">
        <v>3750000</v>
      </c>
      <c r="AE623" s="15">
        <v>3750000</v>
      </c>
      <c r="AF623" s="15">
        <v>10100000</v>
      </c>
      <c r="AG623" s="15">
        <v>10565000</v>
      </c>
      <c r="AH623" s="4">
        <v>3.94</v>
      </c>
      <c r="AI623" s="6">
        <v>3.98</v>
      </c>
    </row>
    <row r="624" spans="1:35" x14ac:dyDescent="0.25">
      <c r="A624" s="5" t="str">
        <f>"631201"</f>
        <v>631201</v>
      </c>
      <c r="B624" s="3" t="s">
        <v>602</v>
      </c>
      <c r="C624" s="15">
        <v>21766212</v>
      </c>
      <c r="D624" s="15">
        <v>21976903</v>
      </c>
      <c r="E624" s="4">
        <v>0.97</v>
      </c>
      <c r="F624" s="15">
        <v>7911737</v>
      </c>
      <c r="G624" s="15">
        <v>7753502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7911737</v>
      </c>
      <c r="O624" s="15">
        <v>7753502</v>
      </c>
      <c r="P624" s="4">
        <v>-2</v>
      </c>
      <c r="Q624" s="15">
        <v>49646</v>
      </c>
      <c r="R624" s="15">
        <v>92641</v>
      </c>
      <c r="S624" s="15">
        <v>8122759</v>
      </c>
      <c r="T624" s="15">
        <v>8173286</v>
      </c>
      <c r="U624" s="15">
        <v>7862091</v>
      </c>
      <c r="V624" s="15">
        <v>7660861</v>
      </c>
      <c r="W624" s="15">
        <v>260668</v>
      </c>
      <c r="X624" s="15">
        <v>512425</v>
      </c>
      <c r="Y624" s="4">
        <v>648</v>
      </c>
      <c r="Z624" s="4">
        <v>654</v>
      </c>
      <c r="AA624" s="4">
        <v>0.93</v>
      </c>
      <c r="AB624" s="15">
        <v>4565436</v>
      </c>
      <c r="AC624" s="15">
        <v>5270467</v>
      </c>
      <c r="AD624" s="15">
        <v>448450</v>
      </c>
      <c r="AE624" s="15">
        <v>891111</v>
      </c>
      <c r="AF624" s="15">
        <v>2416134</v>
      </c>
      <c r="AG624" s="15">
        <v>2713635</v>
      </c>
      <c r="AH624" s="4">
        <v>11.1</v>
      </c>
      <c r="AI624" s="6">
        <v>12.35</v>
      </c>
    </row>
    <row r="625" spans="1:35" x14ac:dyDescent="0.25">
      <c r="A625" s="5" t="str">
        <f>"671501"</f>
        <v>671501</v>
      </c>
      <c r="B625" s="3" t="s">
        <v>668</v>
      </c>
      <c r="C625" s="15">
        <v>21747000</v>
      </c>
      <c r="D625" s="15">
        <v>22743000</v>
      </c>
      <c r="E625" s="4">
        <v>4.58</v>
      </c>
      <c r="F625" s="15">
        <v>7384204</v>
      </c>
      <c r="G625" s="15">
        <v>7384204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7384204</v>
      </c>
      <c r="O625" s="15">
        <v>7384204</v>
      </c>
      <c r="P625" s="4">
        <v>0</v>
      </c>
      <c r="Q625" s="15">
        <v>0</v>
      </c>
      <c r="R625" s="15">
        <v>0</v>
      </c>
      <c r="S625" s="15">
        <v>7559431</v>
      </c>
      <c r="T625" s="15">
        <v>7720721</v>
      </c>
      <c r="U625" s="15">
        <v>7384204</v>
      </c>
      <c r="V625" s="15">
        <v>7384204</v>
      </c>
      <c r="W625" s="15">
        <v>175227</v>
      </c>
      <c r="X625" s="15">
        <v>336517</v>
      </c>
      <c r="Y625" s="4">
        <v>858</v>
      </c>
      <c r="Z625" s="4">
        <v>850</v>
      </c>
      <c r="AA625" s="4">
        <v>-0.93</v>
      </c>
      <c r="AB625" s="15">
        <v>8879819</v>
      </c>
      <c r="AC625" s="15">
        <v>9437613</v>
      </c>
      <c r="AD625" s="15">
        <v>604942</v>
      </c>
      <c r="AE625" s="15">
        <v>776766</v>
      </c>
      <c r="AF625" s="15">
        <v>869081</v>
      </c>
      <c r="AG625" s="15">
        <v>909720</v>
      </c>
      <c r="AH625" s="4">
        <v>4</v>
      </c>
      <c r="AI625" s="6">
        <v>4</v>
      </c>
    </row>
    <row r="626" spans="1:35" x14ac:dyDescent="0.25">
      <c r="A626" s="5" t="str">
        <f>"442101"</f>
        <v>442101</v>
      </c>
      <c r="B626" s="3" t="s">
        <v>382</v>
      </c>
      <c r="C626" s="15">
        <v>98620042</v>
      </c>
      <c r="D626" s="15">
        <v>101729239</v>
      </c>
      <c r="E626" s="4">
        <v>3.15</v>
      </c>
      <c r="F626" s="15">
        <v>64146212</v>
      </c>
      <c r="G626" s="15">
        <v>63907990</v>
      </c>
      <c r="H626" s="15">
        <v>426450</v>
      </c>
      <c r="I626" s="15">
        <v>426850</v>
      </c>
      <c r="J626" s="15"/>
      <c r="K626" s="15"/>
      <c r="L626" s="15"/>
      <c r="M626" s="15"/>
      <c r="N626" s="15">
        <v>64572662</v>
      </c>
      <c r="O626" s="15">
        <v>64334840</v>
      </c>
      <c r="P626" s="4">
        <v>-0.37</v>
      </c>
      <c r="Q626" s="15">
        <v>1997109</v>
      </c>
      <c r="R626" s="15">
        <v>106142</v>
      </c>
      <c r="S626" s="15">
        <v>63167998</v>
      </c>
      <c r="T626" s="15">
        <v>64228698</v>
      </c>
      <c r="U626" s="15">
        <v>62149103</v>
      </c>
      <c r="V626" s="15">
        <v>63801848</v>
      </c>
      <c r="W626" s="15">
        <v>1018895</v>
      </c>
      <c r="X626" s="15">
        <v>426850</v>
      </c>
      <c r="Y626" s="4">
        <v>3608</v>
      </c>
      <c r="Z626" s="4">
        <v>3653</v>
      </c>
      <c r="AA626" s="4">
        <v>1.25</v>
      </c>
      <c r="AB626" s="15">
        <v>18961013</v>
      </c>
      <c r="AC626" s="15">
        <v>14000000</v>
      </c>
      <c r="AD626" s="15">
        <v>4284531</v>
      </c>
      <c r="AE626" s="15">
        <v>4000000</v>
      </c>
      <c r="AF626" s="15">
        <v>3944801</v>
      </c>
      <c r="AG626" s="15">
        <v>4069169</v>
      </c>
      <c r="AH626" s="4">
        <v>4</v>
      </c>
      <c r="AI626" s="6">
        <v>4</v>
      </c>
    </row>
    <row r="627" spans="1:35" x14ac:dyDescent="0.25">
      <c r="A627" s="5" t="str">
        <f>"440102"</f>
        <v>440102</v>
      </c>
      <c r="B627" s="3" t="s">
        <v>368</v>
      </c>
      <c r="C627" s="15">
        <v>109623308</v>
      </c>
      <c r="D627" s="15">
        <v>116675305</v>
      </c>
      <c r="E627" s="4">
        <v>6.43</v>
      </c>
      <c r="F627" s="15">
        <v>60763580</v>
      </c>
      <c r="G627" s="15">
        <v>61876473</v>
      </c>
      <c r="H627" s="15"/>
      <c r="I627" s="15"/>
      <c r="J627" s="15"/>
      <c r="K627" s="15"/>
      <c r="L627" s="15"/>
      <c r="M627" s="15"/>
      <c r="N627" s="15">
        <v>60763580</v>
      </c>
      <c r="O627" s="15">
        <v>61876473</v>
      </c>
      <c r="P627" s="4">
        <v>1.83</v>
      </c>
      <c r="Q627" s="15">
        <v>2119975</v>
      </c>
      <c r="R627" s="15">
        <v>1733548</v>
      </c>
      <c r="S627" s="15">
        <v>58952597</v>
      </c>
      <c r="T627" s="15">
        <v>60142925</v>
      </c>
      <c r="U627" s="15">
        <v>58643605</v>
      </c>
      <c r="V627" s="15">
        <v>60142925</v>
      </c>
      <c r="W627" s="15">
        <v>308992</v>
      </c>
      <c r="X627" s="15">
        <v>0</v>
      </c>
      <c r="Y627" s="4">
        <v>3897</v>
      </c>
      <c r="Z627" s="4">
        <v>3831</v>
      </c>
      <c r="AA627" s="4">
        <v>-1.69</v>
      </c>
      <c r="AB627" s="15">
        <v>15566111</v>
      </c>
      <c r="AC627" s="15">
        <v>12119813</v>
      </c>
      <c r="AD627" s="15">
        <v>3500000</v>
      </c>
      <c r="AE627" s="15">
        <v>5000000</v>
      </c>
      <c r="AF627" s="15">
        <v>4384932</v>
      </c>
      <c r="AG627" s="15">
        <v>4667012</v>
      </c>
      <c r="AH627" s="4">
        <v>4</v>
      </c>
      <c r="AI627" s="6">
        <v>4</v>
      </c>
    </row>
    <row r="628" spans="1:35" x14ac:dyDescent="0.25">
      <c r="A628" s="5" t="str">
        <f>"522101"</f>
        <v>522101</v>
      </c>
      <c r="B628" s="3" t="s">
        <v>466</v>
      </c>
      <c r="C628" s="15">
        <v>20791576</v>
      </c>
      <c r="D628" s="15">
        <v>20955754</v>
      </c>
      <c r="E628" s="4">
        <v>0.79</v>
      </c>
      <c r="F628" s="15">
        <v>11680000</v>
      </c>
      <c r="G628" s="15">
        <v>11901920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11680000</v>
      </c>
      <c r="O628" s="15">
        <v>11901920</v>
      </c>
      <c r="P628" s="4">
        <v>1.9</v>
      </c>
      <c r="Q628" s="15">
        <v>775128</v>
      </c>
      <c r="R628" s="15">
        <v>846599</v>
      </c>
      <c r="S628" s="15">
        <v>11005181</v>
      </c>
      <c r="T628" s="15">
        <v>11116069</v>
      </c>
      <c r="U628" s="15">
        <v>10904872</v>
      </c>
      <c r="V628" s="15">
        <v>11055321</v>
      </c>
      <c r="W628" s="15">
        <v>100309</v>
      </c>
      <c r="X628" s="15">
        <v>60748</v>
      </c>
      <c r="Y628" s="4">
        <v>747</v>
      </c>
      <c r="Z628" s="4">
        <v>750</v>
      </c>
      <c r="AA628" s="4">
        <v>0.4</v>
      </c>
      <c r="AB628" s="15">
        <v>2590186</v>
      </c>
      <c r="AC628" s="15">
        <v>3316168</v>
      </c>
      <c r="AD628" s="15">
        <v>892576</v>
      </c>
      <c r="AE628" s="15">
        <v>955074</v>
      </c>
      <c r="AF628" s="15">
        <v>3457719</v>
      </c>
      <c r="AG628" s="15">
        <v>2578418</v>
      </c>
      <c r="AH628" s="4">
        <v>16.63</v>
      </c>
      <c r="AI628" s="6">
        <v>12.3</v>
      </c>
    </row>
    <row r="629" spans="1:35" x14ac:dyDescent="0.25">
      <c r="A629" s="5" t="str">
        <f>"561006"</f>
        <v>561006</v>
      </c>
      <c r="B629" s="3" t="s">
        <v>484</v>
      </c>
      <c r="C629" s="15">
        <v>43530958</v>
      </c>
      <c r="D629" s="15">
        <v>45786016</v>
      </c>
      <c r="E629" s="4">
        <v>5.18</v>
      </c>
      <c r="F629" s="15">
        <v>12588492</v>
      </c>
      <c r="G629" s="15">
        <v>12808791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12588492</v>
      </c>
      <c r="O629" s="15">
        <v>12808791</v>
      </c>
      <c r="P629" s="4">
        <v>1.75</v>
      </c>
      <c r="Q629" s="15">
        <v>0</v>
      </c>
      <c r="R629" s="15">
        <v>0</v>
      </c>
      <c r="S629" s="15">
        <v>12894639</v>
      </c>
      <c r="T629" s="15">
        <v>12956394</v>
      </c>
      <c r="U629" s="15">
        <v>12588492</v>
      </c>
      <c r="V629" s="15">
        <v>12808791</v>
      </c>
      <c r="W629" s="15">
        <v>306147</v>
      </c>
      <c r="X629" s="15">
        <v>147603</v>
      </c>
      <c r="Y629" s="4">
        <v>1477</v>
      </c>
      <c r="Z629" s="4">
        <v>1477</v>
      </c>
      <c r="AA629" s="4">
        <v>0</v>
      </c>
      <c r="AB629" s="15">
        <v>20061459</v>
      </c>
      <c r="AC629" s="15">
        <v>22962987</v>
      </c>
      <c r="AD629" s="15">
        <v>1500000</v>
      </c>
      <c r="AE629" s="15">
        <v>1200000</v>
      </c>
      <c r="AF629" s="15">
        <v>1741238</v>
      </c>
      <c r="AG629" s="15">
        <v>1831441</v>
      </c>
      <c r="AH629" s="4">
        <v>4</v>
      </c>
      <c r="AI629" s="6">
        <v>4</v>
      </c>
    </row>
    <row r="630" spans="1:35" x14ac:dyDescent="0.25">
      <c r="A630" s="5" t="str">
        <f>"222000"</f>
        <v>222000</v>
      </c>
      <c r="B630" s="3" t="s">
        <v>217</v>
      </c>
      <c r="C630" s="15">
        <v>78377057</v>
      </c>
      <c r="D630" s="15">
        <v>82983069</v>
      </c>
      <c r="E630" s="4">
        <v>5.88</v>
      </c>
      <c r="F630" s="15">
        <v>17011298</v>
      </c>
      <c r="G630" s="15">
        <v>17128139</v>
      </c>
      <c r="H630" s="15"/>
      <c r="I630" s="15"/>
      <c r="J630" s="15"/>
      <c r="K630" s="15"/>
      <c r="L630" s="15"/>
      <c r="M630" s="15"/>
      <c r="N630" s="15">
        <v>17011298</v>
      </c>
      <c r="O630" s="15">
        <v>17128139</v>
      </c>
      <c r="P630" s="4">
        <v>0.69</v>
      </c>
      <c r="Q630" s="15">
        <v>199030</v>
      </c>
      <c r="R630" s="15">
        <v>36816</v>
      </c>
      <c r="S630" s="15">
        <v>16815509</v>
      </c>
      <c r="T630" s="15">
        <v>17091323</v>
      </c>
      <c r="U630" s="15">
        <v>16812268</v>
      </c>
      <c r="V630" s="15">
        <v>17091323</v>
      </c>
      <c r="W630" s="15">
        <v>3241</v>
      </c>
      <c r="X630" s="15">
        <v>0</v>
      </c>
      <c r="Y630" s="4">
        <v>4000</v>
      </c>
      <c r="Z630" s="4">
        <v>3895</v>
      </c>
      <c r="AA630" s="4">
        <v>-2.62</v>
      </c>
      <c r="AB630" s="15">
        <v>4082081</v>
      </c>
      <c r="AC630" s="15">
        <v>4153926</v>
      </c>
      <c r="AD630" s="15">
        <v>9233770</v>
      </c>
      <c r="AE630" s="15">
        <v>9948250</v>
      </c>
      <c r="AF630" s="15">
        <v>5331153</v>
      </c>
      <c r="AG630" s="15">
        <v>4571378</v>
      </c>
      <c r="AH630" s="4">
        <v>6.8</v>
      </c>
      <c r="AI630" s="6">
        <v>5.51</v>
      </c>
    </row>
    <row r="631" spans="1:35" x14ac:dyDescent="0.25">
      <c r="A631" s="5" t="str">
        <f>"411902"</f>
        <v>411902</v>
      </c>
      <c r="B631" s="3" t="s">
        <v>335</v>
      </c>
      <c r="C631" s="15">
        <v>19096357</v>
      </c>
      <c r="D631" s="15">
        <v>20043141</v>
      </c>
      <c r="E631" s="4">
        <v>4.96</v>
      </c>
      <c r="F631" s="15">
        <v>5573097</v>
      </c>
      <c r="G631" s="15">
        <v>5762331</v>
      </c>
      <c r="H631" s="15"/>
      <c r="I631" s="15"/>
      <c r="J631" s="15"/>
      <c r="K631" s="15"/>
      <c r="L631" s="15"/>
      <c r="M631" s="15"/>
      <c r="N631" s="15">
        <v>5573097</v>
      </c>
      <c r="O631" s="15">
        <v>5762331</v>
      </c>
      <c r="P631" s="4">
        <v>3.4</v>
      </c>
      <c r="Q631" s="15">
        <v>295686</v>
      </c>
      <c r="R631" s="15">
        <v>372969</v>
      </c>
      <c r="S631" s="15">
        <v>5147330</v>
      </c>
      <c r="T631" s="15">
        <v>5389362</v>
      </c>
      <c r="U631" s="15">
        <v>5277411</v>
      </c>
      <c r="V631" s="15">
        <v>5389362</v>
      </c>
      <c r="W631" s="15">
        <v>-130081</v>
      </c>
      <c r="X631" s="15">
        <v>0</v>
      </c>
      <c r="Y631" s="4">
        <v>745</v>
      </c>
      <c r="Z631" s="4">
        <v>780</v>
      </c>
      <c r="AA631" s="4">
        <v>4.7</v>
      </c>
      <c r="AB631" s="15">
        <v>138234</v>
      </c>
      <c r="AC631" s="15">
        <v>150000</v>
      </c>
      <c r="AD631" s="15">
        <v>0</v>
      </c>
      <c r="AE631" s="15">
        <v>0</v>
      </c>
      <c r="AF631" s="15">
        <v>1872258</v>
      </c>
      <c r="AG631" s="15">
        <v>2022258</v>
      </c>
      <c r="AH631" s="4">
        <v>9.8000000000000007</v>
      </c>
      <c r="AI631" s="6">
        <v>10.09</v>
      </c>
    </row>
    <row r="632" spans="1:35" x14ac:dyDescent="0.25">
      <c r="A632" s="5" t="str">
        <f>"011200"</f>
        <v>011200</v>
      </c>
      <c r="B632" s="3" t="s">
        <v>11</v>
      </c>
      <c r="C632" s="15">
        <v>30463000</v>
      </c>
      <c r="D632" s="15">
        <v>33736000</v>
      </c>
      <c r="E632" s="4">
        <v>10.74</v>
      </c>
      <c r="F632" s="15">
        <v>7275000</v>
      </c>
      <c r="G632" s="15">
        <v>7367500</v>
      </c>
      <c r="H632" s="15">
        <v>0</v>
      </c>
      <c r="I632" s="15">
        <v>0</v>
      </c>
      <c r="J632" s="15">
        <v>0</v>
      </c>
      <c r="K632" s="15">
        <v>58500</v>
      </c>
      <c r="L632" s="15">
        <v>0</v>
      </c>
      <c r="M632" s="15">
        <v>0</v>
      </c>
      <c r="N632" s="15">
        <v>7275000</v>
      </c>
      <c r="O632" s="15">
        <v>7426000</v>
      </c>
      <c r="P632" s="4">
        <v>2.08</v>
      </c>
      <c r="Q632" s="15">
        <v>0</v>
      </c>
      <c r="R632" s="15">
        <v>0</v>
      </c>
      <c r="S632" s="15">
        <v>7378723</v>
      </c>
      <c r="T632" s="15">
        <v>7539152</v>
      </c>
      <c r="U632" s="15">
        <v>7275000</v>
      </c>
      <c r="V632" s="15">
        <v>7426000</v>
      </c>
      <c r="W632" s="15">
        <v>103723</v>
      </c>
      <c r="X632" s="15">
        <v>113152</v>
      </c>
      <c r="Y632" s="4">
        <v>1425</v>
      </c>
      <c r="Z632" s="4">
        <v>1450</v>
      </c>
      <c r="AA632" s="4">
        <v>1.75</v>
      </c>
      <c r="AB632" s="15">
        <v>1980000</v>
      </c>
      <c r="AC632" s="15">
        <v>2980000</v>
      </c>
      <c r="AD632" s="15">
        <v>100000</v>
      </c>
      <c r="AE632" s="15">
        <v>0</v>
      </c>
      <c r="AF632" s="15">
        <v>1803674</v>
      </c>
      <c r="AG632" s="15">
        <v>1803674</v>
      </c>
      <c r="AH632" s="4">
        <v>5.92</v>
      </c>
      <c r="AI632" s="6">
        <v>5.35</v>
      </c>
    </row>
    <row r="633" spans="1:35" x14ac:dyDescent="0.25">
      <c r="A633" s="5" t="str">
        <f>"550301"</f>
        <v>550301</v>
      </c>
      <c r="B633" s="3" t="s">
        <v>480</v>
      </c>
      <c r="C633" s="15">
        <v>27120691</v>
      </c>
      <c r="D633" s="15">
        <v>28574037</v>
      </c>
      <c r="E633" s="4">
        <v>5.36</v>
      </c>
      <c r="F633" s="15">
        <v>9600000</v>
      </c>
      <c r="G633" s="15">
        <v>9800000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9600000</v>
      </c>
      <c r="O633" s="15">
        <v>9800000</v>
      </c>
      <c r="P633" s="4">
        <v>2.08</v>
      </c>
      <c r="Q633" s="15">
        <v>620571</v>
      </c>
      <c r="R633" s="15">
        <v>638810</v>
      </c>
      <c r="S633" s="15">
        <v>9205373</v>
      </c>
      <c r="T633" s="15">
        <v>9248165</v>
      </c>
      <c r="U633" s="15">
        <v>8979429</v>
      </c>
      <c r="V633" s="15">
        <v>9161190</v>
      </c>
      <c r="W633" s="15">
        <v>225944</v>
      </c>
      <c r="X633" s="15">
        <v>86975</v>
      </c>
      <c r="Y633" s="4">
        <v>902</v>
      </c>
      <c r="Z633" s="4">
        <v>910</v>
      </c>
      <c r="AA633" s="4">
        <v>0.89</v>
      </c>
      <c r="AB633" s="15">
        <v>6756142</v>
      </c>
      <c r="AC633" s="15">
        <v>7395529</v>
      </c>
      <c r="AD633" s="15">
        <v>762160</v>
      </c>
      <c r="AE633" s="15">
        <v>1755486</v>
      </c>
      <c r="AF633" s="15">
        <v>2566781</v>
      </c>
      <c r="AG633" s="15">
        <v>1142215</v>
      </c>
      <c r="AH633" s="4">
        <v>9.4600000000000009</v>
      </c>
      <c r="AI633" s="6">
        <v>4</v>
      </c>
    </row>
    <row r="634" spans="1:35" x14ac:dyDescent="0.25">
      <c r="A634" s="5" t="str">
        <f>"600101"</f>
        <v>600101</v>
      </c>
      <c r="B634" s="3" t="s">
        <v>573</v>
      </c>
      <c r="C634" s="15">
        <v>33618083</v>
      </c>
      <c r="D634" s="15">
        <v>34964417</v>
      </c>
      <c r="E634" s="4">
        <v>4</v>
      </c>
      <c r="F634" s="15">
        <v>7401000</v>
      </c>
      <c r="G634" s="15">
        <v>7401000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7401000</v>
      </c>
      <c r="O634" s="15">
        <v>7401000</v>
      </c>
      <c r="P634" s="4">
        <v>0</v>
      </c>
      <c r="Q634" s="15">
        <v>468644</v>
      </c>
      <c r="R634" s="15">
        <v>439708</v>
      </c>
      <c r="S634" s="15">
        <v>6933004</v>
      </c>
      <c r="T634" s="15">
        <v>7088537</v>
      </c>
      <c r="U634" s="15">
        <v>6932356</v>
      </c>
      <c r="V634" s="15">
        <v>6961292</v>
      </c>
      <c r="W634" s="15">
        <v>648</v>
      </c>
      <c r="X634" s="15">
        <v>127245</v>
      </c>
      <c r="Y634" s="4">
        <v>1640</v>
      </c>
      <c r="Z634" s="4">
        <v>1640</v>
      </c>
      <c r="AA634" s="4">
        <v>0</v>
      </c>
      <c r="AB634" s="15">
        <v>3312577</v>
      </c>
      <c r="AC634" s="15">
        <v>3822078</v>
      </c>
      <c r="AD634" s="15">
        <v>1664126</v>
      </c>
      <c r="AE634" s="15">
        <v>1664126</v>
      </c>
      <c r="AF634" s="15">
        <v>2752222</v>
      </c>
      <c r="AG634" s="15">
        <v>2500000</v>
      </c>
      <c r="AH634" s="4">
        <v>8.19</v>
      </c>
      <c r="AI634" s="6">
        <v>7.15</v>
      </c>
    </row>
    <row r="635" spans="1:35" x14ac:dyDescent="0.25">
      <c r="A635" s="5" t="str">
        <f>"573002"</f>
        <v>573002</v>
      </c>
      <c r="B635" s="3" t="s">
        <v>497</v>
      </c>
      <c r="C635" s="15">
        <v>33261381</v>
      </c>
      <c r="D635" s="15">
        <v>35131002</v>
      </c>
      <c r="E635" s="4">
        <v>5.62</v>
      </c>
      <c r="F635" s="15">
        <v>8107880</v>
      </c>
      <c r="G635" s="15">
        <v>8265983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8107880</v>
      </c>
      <c r="O635" s="15">
        <v>8265983</v>
      </c>
      <c r="P635" s="4">
        <v>1.95</v>
      </c>
      <c r="Q635" s="15">
        <v>85467</v>
      </c>
      <c r="R635" s="15">
        <v>61625</v>
      </c>
      <c r="S635" s="15">
        <v>8098335</v>
      </c>
      <c r="T635" s="15">
        <v>8241237</v>
      </c>
      <c r="U635" s="15">
        <v>8022413</v>
      </c>
      <c r="V635" s="15">
        <v>8204358</v>
      </c>
      <c r="W635" s="15">
        <v>75922</v>
      </c>
      <c r="X635" s="15">
        <v>36879</v>
      </c>
      <c r="Y635" s="4">
        <v>1281</v>
      </c>
      <c r="Z635" s="4">
        <v>1331</v>
      </c>
      <c r="AA635" s="4">
        <v>3.9</v>
      </c>
      <c r="AB635" s="15">
        <v>12683113</v>
      </c>
      <c r="AC635" s="15">
        <v>12463507</v>
      </c>
      <c r="AD635" s="15">
        <v>600000</v>
      </c>
      <c r="AE635" s="15">
        <v>600000</v>
      </c>
      <c r="AF635" s="15">
        <v>1995683</v>
      </c>
      <c r="AG635" s="15">
        <v>1405240</v>
      </c>
      <c r="AH635" s="4">
        <v>6</v>
      </c>
      <c r="AI635" s="6">
        <v>4</v>
      </c>
    </row>
    <row r="636" spans="1:35" x14ac:dyDescent="0.25">
      <c r="A636" s="5" t="str">
        <f>"650801"</f>
        <v>650801</v>
      </c>
      <c r="B636" s="3" t="s">
        <v>618</v>
      </c>
      <c r="C636" s="15">
        <v>48946132</v>
      </c>
      <c r="D636" s="15">
        <v>51437528</v>
      </c>
      <c r="E636" s="4">
        <v>5.09</v>
      </c>
      <c r="F636" s="15">
        <v>24857443</v>
      </c>
      <c r="G636" s="15">
        <v>25826884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24857443</v>
      </c>
      <c r="O636" s="15">
        <v>25826884</v>
      </c>
      <c r="P636" s="4">
        <v>3.9</v>
      </c>
      <c r="Q636" s="15">
        <v>365123</v>
      </c>
      <c r="R636" s="15">
        <v>250908</v>
      </c>
      <c r="S636" s="15">
        <v>24543863</v>
      </c>
      <c r="T636" s="15">
        <v>25684537</v>
      </c>
      <c r="U636" s="15">
        <v>24492320</v>
      </c>
      <c r="V636" s="15">
        <v>25575976</v>
      </c>
      <c r="W636" s="15">
        <v>51543</v>
      </c>
      <c r="X636" s="15">
        <v>108561</v>
      </c>
      <c r="Y636" s="4">
        <v>2048</v>
      </c>
      <c r="Z636" s="4">
        <v>2015</v>
      </c>
      <c r="AA636" s="4">
        <v>-1.61</v>
      </c>
      <c r="AB636" s="15">
        <v>17706752</v>
      </c>
      <c r="AC636" s="15">
        <v>11300000</v>
      </c>
      <c r="AD636" s="15">
        <v>88107</v>
      </c>
      <c r="AE636" s="15">
        <v>1282883</v>
      </c>
      <c r="AF636" s="15">
        <v>1957845</v>
      </c>
      <c r="AG636" s="15">
        <v>2057501</v>
      </c>
      <c r="AH636" s="4">
        <v>4</v>
      </c>
      <c r="AI636" s="6">
        <v>4</v>
      </c>
    </row>
    <row r="637" spans="1:35" x14ac:dyDescent="0.25">
      <c r="A637" s="5" t="str">
        <f>"261901"</f>
        <v>261901</v>
      </c>
      <c r="B637" s="3" t="s">
        <v>257</v>
      </c>
      <c r="C637" s="15">
        <v>188814445</v>
      </c>
      <c r="D637" s="15">
        <v>195813457</v>
      </c>
      <c r="E637" s="4">
        <v>3.71</v>
      </c>
      <c r="F637" s="15">
        <v>114626807</v>
      </c>
      <c r="G637" s="15">
        <v>116818533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114626807</v>
      </c>
      <c r="O637" s="15">
        <v>116818533</v>
      </c>
      <c r="P637" s="4">
        <v>1.91</v>
      </c>
      <c r="Q637" s="15">
        <v>4123338</v>
      </c>
      <c r="R637" s="15">
        <v>3452168</v>
      </c>
      <c r="S637" s="15">
        <v>110503469</v>
      </c>
      <c r="T637" s="15">
        <v>113966365</v>
      </c>
      <c r="U637" s="15">
        <v>110503469</v>
      </c>
      <c r="V637" s="15">
        <v>113366365</v>
      </c>
      <c r="W637" s="15">
        <v>0</v>
      </c>
      <c r="X637" s="15">
        <v>600000</v>
      </c>
      <c r="Y637" s="4">
        <v>8400</v>
      </c>
      <c r="Z637" s="4">
        <v>8300</v>
      </c>
      <c r="AA637" s="4">
        <v>-1.19</v>
      </c>
      <c r="AB637" s="15">
        <v>30089874</v>
      </c>
      <c r="AC637" s="15">
        <v>32700000</v>
      </c>
      <c r="AD637" s="15">
        <v>5500000</v>
      </c>
      <c r="AE637" s="15">
        <v>5500000</v>
      </c>
      <c r="AF637" s="15">
        <v>5983258</v>
      </c>
      <c r="AG637" s="15">
        <v>7832538</v>
      </c>
      <c r="AH637" s="4">
        <v>3.17</v>
      </c>
      <c r="AI637" s="6">
        <v>4</v>
      </c>
    </row>
    <row r="638" spans="1:35" x14ac:dyDescent="0.25">
      <c r="A638" s="5" t="str">
        <f>"050301"</f>
        <v>050301</v>
      </c>
      <c r="B638" s="3" t="s">
        <v>49</v>
      </c>
      <c r="C638" s="15">
        <v>20423622</v>
      </c>
      <c r="D638" s="15">
        <v>21272020</v>
      </c>
      <c r="E638" s="4">
        <v>4.1500000000000004</v>
      </c>
      <c r="F638" s="15">
        <v>8178021</v>
      </c>
      <c r="G638" s="15">
        <v>8325206</v>
      </c>
      <c r="H638" s="15"/>
      <c r="I638" s="15"/>
      <c r="J638" s="15"/>
      <c r="K638" s="15"/>
      <c r="L638" s="15"/>
      <c r="M638" s="15"/>
      <c r="N638" s="15">
        <v>8178021</v>
      </c>
      <c r="O638" s="15">
        <v>8325206</v>
      </c>
      <c r="P638" s="4">
        <v>1.8</v>
      </c>
      <c r="Q638" s="15">
        <v>0</v>
      </c>
      <c r="R638" s="15">
        <v>0</v>
      </c>
      <c r="S638" s="15">
        <v>8371335</v>
      </c>
      <c r="T638" s="15">
        <v>8370361</v>
      </c>
      <c r="U638" s="15">
        <v>8178021</v>
      </c>
      <c r="V638" s="15">
        <v>8325206</v>
      </c>
      <c r="W638" s="15">
        <v>193314</v>
      </c>
      <c r="X638" s="15">
        <v>45155</v>
      </c>
      <c r="Y638" s="4">
        <v>692</v>
      </c>
      <c r="Z638" s="4">
        <v>692</v>
      </c>
      <c r="AA638" s="4">
        <v>0</v>
      </c>
      <c r="AB638" s="15">
        <v>1299928</v>
      </c>
      <c r="AC638" s="15">
        <v>1000000</v>
      </c>
      <c r="AD638" s="15">
        <v>564500</v>
      </c>
      <c r="AE638" s="15">
        <v>564500</v>
      </c>
      <c r="AF638" s="15">
        <v>816945</v>
      </c>
      <c r="AG638" s="15">
        <v>850880</v>
      </c>
      <c r="AH638" s="4">
        <v>4</v>
      </c>
      <c r="AI638" s="6">
        <v>4</v>
      </c>
    </row>
    <row r="639" spans="1:35" x14ac:dyDescent="0.25">
      <c r="A639" s="5" t="str">
        <f>"200901"</f>
        <v>200901</v>
      </c>
      <c r="B639" s="3" t="s">
        <v>197</v>
      </c>
      <c r="C639" s="15">
        <v>6056738</v>
      </c>
      <c r="D639" s="15">
        <v>5986097</v>
      </c>
      <c r="E639" s="4">
        <v>-1.17</v>
      </c>
      <c r="F639" s="15">
        <v>4289487</v>
      </c>
      <c r="G639" s="15">
        <v>4374847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4289487</v>
      </c>
      <c r="O639" s="15">
        <v>4374847</v>
      </c>
      <c r="P639" s="4">
        <v>1.99</v>
      </c>
      <c r="Q639" s="15">
        <v>0</v>
      </c>
      <c r="R639" s="15">
        <v>0</v>
      </c>
      <c r="S639" s="15">
        <v>4289487</v>
      </c>
      <c r="T639" s="15">
        <v>4398466</v>
      </c>
      <c r="U639" s="15">
        <v>4289487</v>
      </c>
      <c r="V639" s="15">
        <v>4374847</v>
      </c>
      <c r="W639" s="15">
        <v>0</v>
      </c>
      <c r="X639" s="15">
        <v>23619</v>
      </c>
      <c r="Y639" s="4">
        <v>136</v>
      </c>
      <c r="Z639" s="4">
        <v>132</v>
      </c>
      <c r="AA639" s="4">
        <v>-2.94</v>
      </c>
      <c r="AB639" s="15">
        <v>833951</v>
      </c>
      <c r="AC639" s="15">
        <v>1243000</v>
      </c>
      <c r="AD639" s="15">
        <v>40000</v>
      </c>
      <c r="AE639" s="15">
        <v>40000</v>
      </c>
      <c r="AF639" s="15">
        <v>700000</v>
      </c>
      <c r="AG639" s="15">
        <v>750000</v>
      </c>
      <c r="AH639" s="4">
        <v>11.56</v>
      </c>
      <c r="AI639" s="6">
        <v>12.53</v>
      </c>
    </row>
    <row r="640" spans="1:35" x14ac:dyDescent="0.25">
      <c r="A640" s="5" t="str">
        <f>"022601"</f>
        <v>022601</v>
      </c>
      <c r="B640" s="3" t="s">
        <v>22</v>
      </c>
      <c r="C640" s="15">
        <v>31568830</v>
      </c>
      <c r="D640" s="15">
        <v>33474916</v>
      </c>
      <c r="E640" s="4">
        <v>6.04</v>
      </c>
      <c r="F640" s="15">
        <v>8057632</v>
      </c>
      <c r="G640" s="15">
        <v>8057632</v>
      </c>
      <c r="H640" s="15"/>
      <c r="I640" s="15"/>
      <c r="J640" s="15"/>
      <c r="K640" s="15"/>
      <c r="L640" s="15"/>
      <c r="M640" s="15"/>
      <c r="N640" s="15">
        <v>8057632</v>
      </c>
      <c r="O640" s="15">
        <v>8057632</v>
      </c>
      <c r="P640" s="4">
        <v>0</v>
      </c>
      <c r="Q640" s="15">
        <v>195888</v>
      </c>
      <c r="R640" s="15">
        <v>124390</v>
      </c>
      <c r="S640" s="15">
        <v>8488527</v>
      </c>
      <c r="T640" s="15">
        <v>8265114</v>
      </c>
      <c r="U640" s="15">
        <v>7861744</v>
      </c>
      <c r="V640" s="15">
        <v>7933242</v>
      </c>
      <c r="W640" s="15">
        <v>626783</v>
      </c>
      <c r="X640" s="15">
        <v>331872</v>
      </c>
      <c r="Y640" s="4">
        <v>1150</v>
      </c>
      <c r="Z640" s="4">
        <v>1146</v>
      </c>
      <c r="AA640" s="4">
        <v>-0.35</v>
      </c>
      <c r="AB640" s="15">
        <v>2947725</v>
      </c>
      <c r="AC640" s="15">
        <v>2950000</v>
      </c>
      <c r="AD640" s="15">
        <v>495756</v>
      </c>
      <c r="AE640" s="15">
        <v>444531</v>
      </c>
      <c r="AF640" s="15">
        <v>6122257</v>
      </c>
      <c r="AG640" s="15">
        <v>1339000</v>
      </c>
      <c r="AH640" s="4">
        <v>19.39</v>
      </c>
      <c r="AI640" s="6">
        <v>4</v>
      </c>
    </row>
    <row r="641" spans="1:35" x14ac:dyDescent="0.25">
      <c r="A641" s="5" t="str">
        <f>"580102"</f>
        <v>580102</v>
      </c>
      <c r="B641" s="3" t="s">
        <v>499</v>
      </c>
      <c r="C641" s="15">
        <v>119777603</v>
      </c>
      <c r="D641" s="15">
        <v>122711868</v>
      </c>
      <c r="E641" s="4">
        <v>2.4500000000000002</v>
      </c>
      <c r="F641" s="15">
        <v>78069038</v>
      </c>
      <c r="G641" s="15">
        <v>79762487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78069038</v>
      </c>
      <c r="O641" s="15">
        <v>79762487</v>
      </c>
      <c r="P641" s="4">
        <v>2.17</v>
      </c>
      <c r="Q641" s="15">
        <v>2490472</v>
      </c>
      <c r="R641" s="15">
        <v>2492490</v>
      </c>
      <c r="S641" s="15">
        <v>75578566</v>
      </c>
      <c r="T641" s="15">
        <v>77269997</v>
      </c>
      <c r="U641" s="15">
        <v>75578566</v>
      </c>
      <c r="V641" s="15">
        <v>77269997</v>
      </c>
      <c r="W641" s="15">
        <v>0</v>
      </c>
      <c r="X641" s="15">
        <v>0</v>
      </c>
      <c r="Y641" s="4">
        <v>3637</v>
      </c>
      <c r="Z641" s="4">
        <v>3670</v>
      </c>
      <c r="AA641" s="4">
        <v>0.91</v>
      </c>
      <c r="AB641" s="15">
        <v>9059498</v>
      </c>
      <c r="AC641" s="15">
        <v>10420816</v>
      </c>
      <c r="AD641" s="15">
        <v>1204311</v>
      </c>
      <c r="AE641" s="15">
        <v>488024</v>
      </c>
      <c r="AF641" s="15">
        <v>4791104</v>
      </c>
      <c r="AG641" s="15">
        <v>4908475</v>
      </c>
      <c r="AH641" s="4">
        <v>4</v>
      </c>
      <c r="AI641" s="6">
        <v>4</v>
      </c>
    </row>
    <row r="642" spans="1:35" x14ac:dyDescent="0.25">
      <c r="A642" s="5" t="str">
        <f>"210302"</f>
        <v>210302</v>
      </c>
      <c r="B642" s="3" t="s">
        <v>198</v>
      </c>
      <c r="C642" s="15">
        <v>18988751</v>
      </c>
      <c r="D642" s="15">
        <v>19671986</v>
      </c>
      <c r="E642" s="4">
        <v>3.6</v>
      </c>
      <c r="F642" s="15">
        <v>5139357</v>
      </c>
      <c r="G642" s="15">
        <v>5139357</v>
      </c>
      <c r="H642" s="15"/>
      <c r="I642" s="15"/>
      <c r="J642" s="15"/>
      <c r="K642" s="15"/>
      <c r="L642" s="15"/>
      <c r="M642" s="15"/>
      <c r="N642" s="15">
        <v>5139357</v>
      </c>
      <c r="O642" s="15">
        <v>5139357</v>
      </c>
      <c r="P642" s="4">
        <v>0</v>
      </c>
      <c r="Q642" s="15">
        <v>144842</v>
      </c>
      <c r="R642" s="15">
        <v>152803</v>
      </c>
      <c r="S642" s="15">
        <v>4994515</v>
      </c>
      <c r="T642" s="15">
        <v>4986554</v>
      </c>
      <c r="U642" s="15">
        <v>4994515</v>
      </c>
      <c r="V642" s="15">
        <v>4986554</v>
      </c>
      <c r="W642" s="15">
        <v>0</v>
      </c>
      <c r="X642" s="15">
        <v>0</v>
      </c>
      <c r="Y642" s="4">
        <v>641</v>
      </c>
      <c r="Z642" s="4">
        <v>644</v>
      </c>
      <c r="AA642" s="4">
        <v>0.47</v>
      </c>
      <c r="AB642" s="15">
        <v>2345</v>
      </c>
      <c r="AC642" s="15">
        <v>2750</v>
      </c>
      <c r="AD642" s="15">
        <v>1199269</v>
      </c>
      <c r="AE642" s="15">
        <v>1841995</v>
      </c>
      <c r="AF642" s="15">
        <v>2585550</v>
      </c>
      <c r="AG642" s="15">
        <v>2350000</v>
      </c>
      <c r="AH642" s="4">
        <v>13.62</v>
      </c>
      <c r="AI642" s="6">
        <v>11.95</v>
      </c>
    </row>
    <row r="643" spans="1:35" x14ac:dyDescent="0.25">
      <c r="A643" s="5" t="str">
        <f>"420101"</f>
        <v>420101</v>
      </c>
      <c r="B643" s="3" t="s">
        <v>342</v>
      </c>
      <c r="C643" s="15">
        <v>92895256</v>
      </c>
      <c r="D643" s="15">
        <v>97279760</v>
      </c>
      <c r="E643" s="4">
        <v>4.72</v>
      </c>
      <c r="F643" s="15">
        <v>52496485</v>
      </c>
      <c r="G643" s="15">
        <v>53809708</v>
      </c>
      <c r="H643" s="15"/>
      <c r="I643" s="15"/>
      <c r="J643" s="15"/>
      <c r="K643" s="15"/>
      <c r="L643" s="15"/>
      <c r="M643" s="15"/>
      <c r="N643" s="15">
        <v>52496485</v>
      </c>
      <c r="O643" s="15">
        <v>53809708</v>
      </c>
      <c r="P643" s="4">
        <v>2.5</v>
      </c>
      <c r="Q643" s="15">
        <v>1637349</v>
      </c>
      <c r="R643" s="15">
        <v>1450876</v>
      </c>
      <c r="S643" s="15">
        <v>50859136</v>
      </c>
      <c r="T643" s="15">
        <v>52358832</v>
      </c>
      <c r="U643" s="15">
        <v>50859136</v>
      </c>
      <c r="V643" s="15">
        <v>52358832</v>
      </c>
      <c r="W643" s="15">
        <v>0</v>
      </c>
      <c r="X643" s="15">
        <v>0</v>
      </c>
      <c r="Y643" s="4">
        <v>4349</v>
      </c>
      <c r="Z643" s="4">
        <v>4320</v>
      </c>
      <c r="AA643" s="4">
        <v>-0.67</v>
      </c>
      <c r="AB643" s="15">
        <v>9594589</v>
      </c>
      <c r="AC643" s="15">
        <v>9938933</v>
      </c>
      <c r="AD643" s="15">
        <v>696804</v>
      </c>
      <c r="AE643" s="15">
        <v>1050000</v>
      </c>
      <c r="AF643" s="15">
        <v>3715810</v>
      </c>
      <c r="AG643" s="15">
        <v>3891190</v>
      </c>
      <c r="AH643" s="4">
        <v>4</v>
      </c>
      <c r="AI643" s="6">
        <v>4</v>
      </c>
    </row>
    <row r="644" spans="1:35" x14ac:dyDescent="0.25">
      <c r="A644" s="5" t="str">
        <f>"280227"</f>
        <v>280227</v>
      </c>
      <c r="B644" s="3" t="s">
        <v>290</v>
      </c>
      <c r="C644" s="15">
        <v>68905000</v>
      </c>
      <c r="D644" s="15">
        <v>71392000</v>
      </c>
      <c r="E644" s="4">
        <v>3.61</v>
      </c>
      <c r="F644" s="15">
        <v>47807538</v>
      </c>
      <c r="G644" s="15">
        <v>48831177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47807538</v>
      </c>
      <c r="O644" s="15">
        <v>48831177</v>
      </c>
      <c r="P644" s="4">
        <v>2.14</v>
      </c>
      <c r="Q644" s="15">
        <v>1660093</v>
      </c>
      <c r="R644" s="15">
        <v>1621953</v>
      </c>
      <c r="S644" s="15">
        <v>46147445</v>
      </c>
      <c r="T644" s="15">
        <v>47209224</v>
      </c>
      <c r="U644" s="15">
        <v>46147445</v>
      </c>
      <c r="V644" s="15">
        <v>47209224</v>
      </c>
      <c r="W644" s="15">
        <v>0</v>
      </c>
      <c r="X644" s="15">
        <v>0</v>
      </c>
      <c r="Y644" s="4">
        <v>1643</v>
      </c>
      <c r="Z644" s="4">
        <v>1625</v>
      </c>
      <c r="AA644" s="4">
        <v>-1.1000000000000001</v>
      </c>
      <c r="AB644" s="15">
        <v>12249915</v>
      </c>
      <c r="AC644" s="15">
        <v>12249915</v>
      </c>
      <c r="AD644" s="15">
        <v>2425000</v>
      </c>
      <c r="AE644" s="15">
        <v>2425000</v>
      </c>
      <c r="AF644" s="15">
        <v>3006200</v>
      </c>
      <c r="AG644" s="15">
        <v>2855600</v>
      </c>
      <c r="AH644" s="4">
        <v>4.3600000000000003</v>
      </c>
      <c r="AI644" s="6">
        <v>4</v>
      </c>
    </row>
    <row r="645" spans="1:35" x14ac:dyDescent="0.25">
      <c r="A645" s="5" t="str">
        <f>"260803"</f>
        <v>260803</v>
      </c>
      <c r="B645" s="3" t="s">
        <v>246</v>
      </c>
      <c r="C645" s="15">
        <v>77452765</v>
      </c>
      <c r="D645" s="15">
        <v>82403923</v>
      </c>
      <c r="E645" s="4">
        <v>6.39</v>
      </c>
      <c r="F645" s="15">
        <v>41273363</v>
      </c>
      <c r="G645" s="15">
        <v>42503672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41273363</v>
      </c>
      <c r="O645" s="15">
        <v>42503672</v>
      </c>
      <c r="P645" s="4">
        <v>2.98</v>
      </c>
      <c r="Q645" s="15">
        <v>0</v>
      </c>
      <c r="R645" s="15">
        <v>0</v>
      </c>
      <c r="S645" s="15">
        <v>41568693</v>
      </c>
      <c r="T645" s="15">
        <v>42504672</v>
      </c>
      <c r="U645" s="15">
        <v>41273363</v>
      </c>
      <c r="V645" s="15">
        <v>42503672</v>
      </c>
      <c r="W645" s="15">
        <v>295330</v>
      </c>
      <c r="X645" s="15">
        <v>1000</v>
      </c>
      <c r="Y645" s="4">
        <v>3600</v>
      </c>
      <c r="Z645" s="4">
        <v>3588</v>
      </c>
      <c r="AA645" s="4">
        <v>-0.33</v>
      </c>
      <c r="AB645" s="15">
        <v>13661562</v>
      </c>
      <c r="AC645" s="15">
        <v>13661562</v>
      </c>
      <c r="AD645" s="15">
        <v>971306</v>
      </c>
      <c r="AE645" s="15">
        <v>681633</v>
      </c>
      <c r="AF645" s="15">
        <v>3098110</v>
      </c>
      <c r="AG645" s="15">
        <v>3296157</v>
      </c>
      <c r="AH645" s="4">
        <v>4</v>
      </c>
      <c r="AI645" s="6">
        <v>4</v>
      </c>
    </row>
    <row r="646" spans="1:35" x14ac:dyDescent="0.25">
      <c r="A646" s="5" t="str">
        <f>"580509"</f>
        <v>580509</v>
      </c>
      <c r="B646" s="3" t="s">
        <v>541</v>
      </c>
      <c r="C646" s="15">
        <v>127501568</v>
      </c>
      <c r="D646" s="15">
        <v>130246851</v>
      </c>
      <c r="E646" s="4">
        <v>2.15</v>
      </c>
      <c r="F646" s="15">
        <v>88619244</v>
      </c>
      <c r="G646" s="15">
        <v>90382573</v>
      </c>
      <c r="H646" s="15"/>
      <c r="I646" s="15"/>
      <c r="J646" s="15"/>
      <c r="K646" s="15"/>
      <c r="L646" s="15"/>
      <c r="M646" s="15"/>
      <c r="N646" s="15">
        <v>88619244</v>
      </c>
      <c r="O646" s="15">
        <v>90382573</v>
      </c>
      <c r="P646" s="4">
        <v>1.99</v>
      </c>
      <c r="Q646" s="15">
        <v>3384167</v>
      </c>
      <c r="R646" s="15">
        <v>3294758</v>
      </c>
      <c r="S646" s="15">
        <v>85235077</v>
      </c>
      <c r="T646" s="15">
        <v>87087815</v>
      </c>
      <c r="U646" s="15">
        <v>85235077</v>
      </c>
      <c r="V646" s="15">
        <v>87087815</v>
      </c>
      <c r="W646" s="15">
        <v>0</v>
      </c>
      <c r="X646" s="15">
        <v>0</v>
      </c>
      <c r="Y646" s="4">
        <v>3787</v>
      </c>
      <c r="Z646" s="4">
        <v>3730</v>
      </c>
      <c r="AA646" s="4">
        <v>-1.51</v>
      </c>
      <c r="AB646" s="15">
        <v>30215809</v>
      </c>
      <c r="AC646" s="15">
        <v>34215809</v>
      </c>
      <c r="AD646" s="15">
        <v>2251332</v>
      </c>
      <c r="AE646" s="15">
        <v>1850000</v>
      </c>
      <c r="AF646" s="15">
        <v>5100063</v>
      </c>
      <c r="AG646" s="15">
        <v>5209693</v>
      </c>
      <c r="AH646" s="4">
        <v>4</v>
      </c>
      <c r="AI646" s="6">
        <v>4</v>
      </c>
    </row>
    <row r="647" spans="1:35" x14ac:dyDescent="0.25">
      <c r="A647" s="5" t="str">
        <f>"142801"</f>
        <v>142801</v>
      </c>
      <c r="B647" s="3" t="s">
        <v>154</v>
      </c>
      <c r="C647" s="15">
        <v>134641980</v>
      </c>
      <c r="D647" s="15">
        <v>138676004</v>
      </c>
      <c r="E647" s="4">
        <v>3</v>
      </c>
      <c r="F647" s="15">
        <v>65500000</v>
      </c>
      <c r="G647" s="15">
        <v>66970883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65500000</v>
      </c>
      <c r="O647" s="15">
        <v>66970883</v>
      </c>
      <c r="P647" s="4">
        <v>2.25</v>
      </c>
      <c r="Q647" s="15">
        <v>3158994</v>
      </c>
      <c r="R647" s="15">
        <v>2785365</v>
      </c>
      <c r="S647" s="15">
        <v>63457861</v>
      </c>
      <c r="T647" s="15">
        <v>64185518</v>
      </c>
      <c r="U647" s="15">
        <v>62341006</v>
      </c>
      <c r="V647" s="15">
        <v>64185518</v>
      </c>
      <c r="W647" s="15">
        <v>1116855</v>
      </c>
      <c r="X647" s="15">
        <v>0</v>
      </c>
      <c r="Y647" s="4">
        <v>5957</v>
      </c>
      <c r="Z647" s="4">
        <v>5957</v>
      </c>
      <c r="AA647" s="4">
        <v>0</v>
      </c>
      <c r="AB647" s="15">
        <v>18441895</v>
      </c>
      <c r="AC647" s="15">
        <v>16211884</v>
      </c>
      <c r="AD647" s="15">
        <v>2507103</v>
      </c>
      <c r="AE647" s="15">
        <v>4993494</v>
      </c>
      <c r="AF647" s="15">
        <v>5315673</v>
      </c>
      <c r="AG647" s="15">
        <v>5547040</v>
      </c>
      <c r="AH647" s="4">
        <v>3.95</v>
      </c>
      <c r="AI647" s="6">
        <v>4</v>
      </c>
    </row>
    <row r="648" spans="1:35" x14ac:dyDescent="0.25">
      <c r="A648" s="5" t="str">
        <f>"040204"</f>
        <v>040204</v>
      </c>
      <c r="B648" s="3" t="s">
        <v>36</v>
      </c>
      <c r="C648" s="15">
        <v>9038905</v>
      </c>
      <c r="D648" s="15">
        <v>9095698</v>
      </c>
      <c r="E648" s="4">
        <v>0.63</v>
      </c>
      <c r="F648" s="15">
        <v>2883716</v>
      </c>
      <c r="G648" s="15">
        <v>2927113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2883716</v>
      </c>
      <c r="O648" s="15">
        <v>2927113</v>
      </c>
      <c r="P648" s="4">
        <v>1.5</v>
      </c>
      <c r="Q648" s="15">
        <v>0</v>
      </c>
      <c r="R648" s="15">
        <v>0</v>
      </c>
      <c r="S648" s="15">
        <v>2947435</v>
      </c>
      <c r="T648" s="15">
        <v>2988382</v>
      </c>
      <c r="U648" s="15">
        <v>2883716</v>
      </c>
      <c r="V648" s="15">
        <v>2927113</v>
      </c>
      <c r="W648" s="15">
        <v>63719</v>
      </c>
      <c r="X648" s="15">
        <v>61269</v>
      </c>
      <c r="Y648" s="4">
        <v>207</v>
      </c>
      <c r="Z648" s="4">
        <v>211</v>
      </c>
      <c r="AA648" s="4">
        <v>1.93</v>
      </c>
      <c r="AB648" s="15">
        <v>3422170</v>
      </c>
      <c r="AC648" s="15">
        <v>3441420</v>
      </c>
      <c r="AD648" s="15">
        <v>761220</v>
      </c>
      <c r="AE648" s="15">
        <v>600000</v>
      </c>
      <c r="AF648" s="15">
        <v>361556</v>
      </c>
      <c r="AG648" s="15">
        <v>363827</v>
      </c>
      <c r="AH648" s="4">
        <v>4</v>
      </c>
      <c r="AI648" s="6">
        <v>4</v>
      </c>
    </row>
    <row r="649" spans="1:35" x14ac:dyDescent="0.25">
      <c r="A649" s="5" t="str">
        <f>"280401"</f>
        <v>280401</v>
      </c>
      <c r="B649" s="3" t="s">
        <v>296</v>
      </c>
      <c r="C649" s="15">
        <v>168777798</v>
      </c>
      <c r="D649" s="15">
        <v>175085809</v>
      </c>
      <c r="E649" s="4">
        <v>3.74</v>
      </c>
      <c r="F649" s="15">
        <v>82218241</v>
      </c>
      <c r="G649" s="15">
        <v>80218042</v>
      </c>
      <c r="H649" s="15"/>
      <c r="I649" s="15"/>
      <c r="J649" s="15"/>
      <c r="K649" s="15"/>
      <c r="L649" s="15">
        <v>0</v>
      </c>
      <c r="M649" s="15"/>
      <c r="N649" s="15">
        <v>82218241</v>
      </c>
      <c r="O649" s="15">
        <v>80218042</v>
      </c>
      <c r="P649" s="4">
        <v>-2.4300000000000002</v>
      </c>
      <c r="Q649" s="15">
        <v>3327409</v>
      </c>
      <c r="R649" s="15">
        <v>3410133</v>
      </c>
      <c r="S649" s="15">
        <v>82606040</v>
      </c>
      <c r="T649" s="15">
        <v>80571585</v>
      </c>
      <c r="U649" s="15">
        <v>78890832</v>
      </c>
      <c r="V649" s="15">
        <v>76807909</v>
      </c>
      <c r="W649" s="15">
        <v>3715208</v>
      </c>
      <c r="X649" s="15">
        <v>3763676</v>
      </c>
      <c r="Y649" s="4">
        <v>4812</v>
      </c>
      <c r="Z649" s="4">
        <v>4815</v>
      </c>
      <c r="AA649" s="4">
        <v>0.06</v>
      </c>
      <c r="AB649" s="15">
        <v>31483802</v>
      </c>
      <c r="AC649" s="15">
        <v>33450910</v>
      </c>
      <c r="AD649" s="15">
        <v>10685081</v>
      </c>
      <c r="AE649" s="15">
        <v>10800000</v>
      </c>
      <c r="AF649" s="15">
        <v>7296649</v>
      </c>
      <c r="AG649" s="15">
        <v>8754291</v>
      </c>
      <c r="AH649" s="4">
        <v>4.32</v>
      </c>
      <c r="AI649" s="6">
        <v>5</v>
      </c>
    </row>
    <row r="650" spans="1:35" x14ac:dyDescent="0.25">
      <c r="A650" s="5" t="str">
        <f>"062901"</f>
        <v>062901</v>
      </c>
      <c r="B650" s="3" t="s">
        <v>72</v>
      </c>
      <c r="C650" s="15">
        <v>16956770</v>
      </c>
      <c r="D650" s="15">
        <v>17122216</v>
      </c>
      <c r="E650" s="4">
        <v>0.98</v>
      </c>
      <c r="F650" s="15">
        <v>6175602</v>
      </c>
      <c r="G650" s="15">
        <v>6231950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6175602</v>
      </c>
      <c r="O650" s="15">
        <v>6231950</v>
      </c>
      <c r="P650" s="4">
        <v>0.91</v>
      </c>
      <c r="Q650" s="15">
        <v>0</v>
      </c>
      <c r="R650" s="15">
        <v>12913</v>
      </c>
      <c r="S650" s="15">
        <v>6323702</v>
      </c>
      <c r="T650" s="15">
        <v>6445019</v>
      </c>
      <c r="U650" s="15">
        <v>6175602</v>
      </c>
      <c r="V650" s="15">
        <v>6219037</v>
      </c>
      <c r="W650" s="15">
        <v>148100</v>
      </c>
      <c r="X650" s="15">
        <v>225982</v>
      </c>
      <c r="Y650" s="4">
        <v>647</v>
      </c>
      <c r="Z650" s="4">
        <v>650</v>
      </c>
      <c r="AA650" s="4">
        <v>0.46</v>
      </c>
      <c r="AB650" s="15">
        <v>3735567</v>
      </c>
      <c r="AC650" s="15">
        <v>3968500</v>
      </c>
      <c r="AD650" s="15">
        <v>45000</v>
      </c>
      <c r="AE650" s="15">
        <v>55000</v>
      </c>
      <c r="AF650" s="15">
        <v>1979049</v>
      </c>
      <c r="AG650" s="15">
        <v>1710509</v>
      </c>
      <c r="AH650" s="4">
        <v>11.67</v>
      </c>
      <c r="AI650" s="6">
        <v>9.99</v>
      </c>
    </row>
    <row r="651" spans="1:35" x14ac:dyDescent="0.25">
      <c r="A651" s="5" t="str">
        <f>"580902"</f>
        <v>580902</v>
      </c>
      <c r="B651" s="3" t="s">
        <v>551</v>
      </c>
      <c r="C651" s="15">
        <v>60108537</v>
      </c>
      <c r="D651" s="15">
        <v>61544294</v>
      </c>
      <c r="E651" s="4">
        <v>2.39</v>
      </c>
      <c r="F651" s="15">
        <v>32159971</v>
      </c>
      <c r="G651" s="15">
        <v>32849387</v>
      </c>
      <c r="H651" s="15"/>
      <c r="I651" s="15"/>
      <c r="J651" s="15"/>
      <c r="K651" s="15"/>
      <c r="L651" s="15"/>
      <c r="M651" s="15"/>
      <c r="N651" s="15">
        <v>32159971</v>
      </c>
      <c r="O651" s="15">
        <v>32849387</v>
      </c>
      <c r="P651" s="4">
        <v>2.14</v>
      </c>
      <c r="Q651" s="15">
        <v>5174125</v>
      </c>
      <c r="R651" s="15">
        <v>5040829</v>
      </c>
      <c r="S651" s="15">
        <v>26988714</v>
      </c>
      <c r="T651" s="15">
        <v>27808558</v>
      </c>
      <c r="U651" s="15">
        <v>26985846</v>
      </c>
      <c r="V651" s="15">
        <v>27808558</v>
      </c>
      <c r="W651" s="15">
        <v>2868</v>
      </c>
      <c r="X651" s="15">
        <v>0</v>
      </c>
      <c r="Y651" s="4">
        <v>1805</v>
      </c>
      <c r="Z651" s="4">
        <v>1788</v>
      </c>
      <c r="AA651" s="4">
        <v>-0.94</v>
      </c>
      <c r="AB651" s="15">
        <v>5018092</v>
      </c>
      <c r="AC651" s="15">
        <v>5352596</v>
      </c>
      <c r="AD651" s="15">
        <v>1200000</v>
      </c>
      <c r="AE651" s="15">
        <v>1200000</v>
      </c>
      <c r="AF651" s="15">
        <v>2404341</v>
      </c>
      <c r="AG651" s="15">
        <v>2461772</v>
      </c>
      <c r="AH651" s="4">
        <v>4</v>
      </c>
      <c r="AI651" s="6">
        <v>4</v>
      </c>
    </row>
    <row r="652" spans="1:35" x14ac:dyDescent="0.25">
      <c r="A652" s="5" t="str">
        <f>"420701"</f>
        <v>420701</v>
      </c>
      <c r="B652" s="3" t="s">
        <v>348</v>
      </c>
      <c r="C652" s="15">
        <v>41671857</v>
      </c>
      <c r="D652" s="15">
        <v>44149992</v>
      </c>
      <c r="E652" s="4">
        <v>5.95</v>
      </c>
      <c r="F652" s="15">
        <v>22671557</v>
      </c>
      <c r="G652" s="15">
        <v>23127966</v>
      </c>
      <c r="H652" s="15"/>
      <c r="I652" s="15"/>
      <c r="J652" s="15"/>
      <c r="K652" s="15"/>
      <c r="L652" s="15"/>
      <c r="M652" s="15"/>
      <c r="N652" s="15">
        <v>22671557</v>
      </c>
      <c r="O652" s="15">
        <v>23127966</v>
      </c>
      <c r="P652" s="4">
        <v>2.0099999999999998</v>
      </c>
      <c r="Q652" s="15">
        <v>1135796</v>
      </c>
      <c r="R652" s="15">
        <v>1110615</v>
      </c>
      <c r="S652" s="15">
        <v>21535761</v>
      </c>
      <c r="T652" s="15">
        <v>22017351</v>
      </c>
      <c r="U652" s="15">
        <v>21535761</v>
      </c>
      <c r="V652" s="15">
        <v>22017351</v>
      </c>
      <c r="W652" s="15">
        <v>0</v>
      </c>
      <c r="X652" s="15">
        <v>0</v>
      </c>
      <c r="Y652" s="4">
        <v>1749</v>
      </c>
      <c r="Z652" s="4">
        <v>1729</v>
      </c>
      <c r="AA652" s="4">
        <v>-1.1399999999999999</v>
      </c>
      <c r="AB652" s="15">
        <v>3782422</v>
      </c>
      <c r="AC652" s="15">
        <v>3782485</v>
      </c>
      <c r="AD652" s="15">
        <v>2511817</v>
      </c>
      <c r="AE652" s="15">
        <v>2478938</v>
      </c>
      <c r="AF652" s="15">
        <v>3581375</v>
      </c>
      <c r="AG652" s="15">
        <v>3844195</v>
      </c>
      <c r="AH652" s="4">
        <v>8.59</v>
      </c>
      <c r="AI652" s="6">
        <v>8.7100000000000009</v>
      </c>
    </row>
    <row r="653" spans="1:35" x14ac:dyDescent="0.25">
      <c r="A653" s="5" t="str">
        <f>"412801"</f>
        <v>412801</v>
      </c>
      <c r="B653" s="3" t="s">
        <v>339</v>
      </c>
      <c r="C653" s="15">
        <v>23643089</v>
      </c>
      <c r="D653" s="15">
        <v>24323839</v>
      </c>
      <c r="E653" s="4">
        <v>2.88</v>
      </c>
      <c r="F653" s="15">
        <v>8490526</v>
      </c>
      <c r="G653" s="15">
        <v>8659487</v>
      </c>
      <c r="H653" s="15"/>
      <c r="I653" s="15"/>
      <c r="J653" s="15"/>
      <c r="K653" s="15"/>
      <c r="L653" s="15"/>
      <c r="M653" s="15"/>
      <c r="N653" s="15">
        <v>8490526</v>
      </c>
      <c r="O653" s="15">
        <v>8659487</v>
      </c>
      <c r="P653" s="4">
        <v>1.99</v>
      </c>
      <c r="Q653" s="15">
        <v>0</v>
      </c>
      <c r="R653" s="15">
        <v>0</v>
      </c>
      <c r="S653" s="15">
        <v>8686287</v>
      </c>
      <c r="T653" s="15">
        <v>8949981</v>
      </c>
      <c r="U653" s="15">
        <v>8490526</v>
      </c>
      <c r="V653" s="15">
        <v>8659487</v>
      </c>
      <c r="W653" s="15">
        <v>195761</v>
      </c>
      <c r="X653" s="15">
        <v>290494</v>
      </c>
      <c r="Y653" s="4">
        <v>846</v>
      </c>
      <c r="Z653" s="4">
        <v>852</v>
      </c>
      <c r="AA653" s="4">
        <v>0.71</v>
      </c>
      <c r="AB653" s="15">
        <v>3776004</v>
      </c>
      <c r="AC653" s="15">
        <v>4715909</v>
      </c>
      <c r="AD653" s="15">
        <v>1100000</v>
      </c>
      <c r="AE653" s="15">
        <v>1100000</v>
      </c>
      <c r="AF653" s="15">
        <v>945723</v>
      </c>
      <c r="AG653" s="15">
        <v>972933</v>
      </c>
      <c r="AH653" s="4">
        <v>4</v>
      </c>
      <c r="AI653" s="6">
        <v>4</v>
      </c>
    </row>
    <row r="654" spans="1:35" x14ac:dyDescent="0.25">
      <c r="A654" s="5" t="str">
        <f>"262001"</f>
        <v>262001</v>
      </c>
      <c r="B654" s="3" t="s">
        <v>258</v>
      </c>
      <c r="C654" s="15">
        <v>20909493</v>
      </c>
      <c r="D654" s="15">
        <v>20836533</v>
      </c>
      <c r="E654" s="4">
        <v>-0.35</v>
      </c>
      <c r="F654" s="15">
        <v>9804107</v>
      </c>
      <c r="G654" s="15">
        <v>10041347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9804107</v>
      </c>
      <c r="O654" s="15">
        <v>10041347</v>
      </c>
      <c r="P654" s="4">
        <v>2.42</v>
      </c>
      <c r="Q654" s="15">
        <v>156597</v>
      </c>
      <c r="R654" s="15">
        <v>99285</v>
      </c>
      <c r="S654" s="15">
        <v>9647510</v>
      </c>
      <c r="T654" s="15">
        <v>9942062</v>
      </c>
      <c r="U654" s="15">
        <v>9647510</v>
      </c>
      <c r="V654" s="15">
        <v>9942062</v>
      </c>
      <c r="W654" s="15">
        <v>0</v>
      </c>
      <c r="X654" s="15">
        <v>0</v>
      </c>
      <c r="Y654" s="4">
        <v>634</v>
      </c>
      <c r="Z654" s="4">
        <v>677</v>
      </c>
      <c r="AA654" s="4">
        <v>6.78</v>
      </c>
      <c r="AB654" s="15">
        <v>2537941</v>
      </c>
      <c r="AC654" s="15">
        <v>2723020</v>
      </c>
      <c r="AD654" s="15">
        <v>515706</v>
      </c>
      <c r="AE654" s="15">
        <v>520000</v>
      </c>
      <c r="AF654" s="15">
        <v>836380</v>
      </c>
      <c r="AG654" s="15">
        <v>833461</v>
      </c>
      <c r="AH654" s="4">
        <v>4</v>
      </c>
      <c r="AI654" s="6">
        <v>4</v>
      </c>
    </row>
    <row r="655" spans="1:35" x14ac:dyDescent="0.25">
      <c r="A655" s="5" t="str">
        <f>"170301"</f>
        <v>170301</v>
      </c>
      <c r="B655" s="3" t="s">
        <v>172</v>
      </c>
      <c r="C655" s="15">
        <v>4691512</v>
      </c>
      <c r="D655" s="15">
        <v>4832229</v>
      </c>
      <c r="E655" s="4">
        <v>3</v>
      </c>
      <c r="F655" s="15">
        <v>2461661</v>
      </c>
      <c r="G655" s="15">
        <v>2526974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2461661</v>
      </c>
      <c r="O655" s="15">
        <v>2526974</v>
      </c>
      <c r="P655" s="4">
        <v>2.65</v>
      </c>
      <c r="Q655" s="15">
        <v>85453</v>
      </c>
      <c r="R655" s="15">
        <v>85917</v>
      </c>
      <c r="S655" s="15">
        <v>2376208</v>
      </c>
      <c r="T655" s="15">
        <v>2441057</v>
      </c>
      <c r="U655" s="15">
        <v>2376208</v>
      </c>
      <c r="V655" s="15">
        <v>2441057</v>
      </c>
      <c r="W655" s="15">
        <v>0</v>
      </c>
      <c r="X655" s="15">
        <v>0</v>
      </c>
      <c r="Y655" s="4">
        <v>115</v>
      </c>
      <c r="Z655" s="4">
        <v>120</v>
      </c>
      <c r="AA655" s="4">
        <v>4.3499999999999996</v>
      </c>
      <c r="AB655" s="15">
        <v>346154</v>
      </c>
      <c r="AC655" s="15">
        <v>446386</v>
      </c>
      <c r="AD655" s="15">
        <v>482504</v>
      </c>
      <c r="AE655" s="15">
        <v>489323</v>
      </c>
      <c r="AF655" s="15">
        <v>555467</v>
      </c>
      <c r="AG655" s="15">
        <v>455235</v>
      </c>
      <c r="AH655" s="4">
        <v>11.84</v>
      </c>
      <c r="AI655" s="6">
        <v>9.42</v>
      </c>
    </row>
    <row r="656" spans="1:35" x14ac:dyDescent="0.25">
      <c r="A656" s="5" t="str">
        <f>"662200"</f>
        <v>662200</v>
      </c>
      <c r="B656" s="3" t="s">
        <v>661</v>
      </c>
      <c r="C656" s="15">
        <v>229627400</v>
      </c>
      <c r="D656" s="15">
        <v>244846646</v>
      </c>
      <c r="E656" s="4">
        <v>6.63</v>
      </c>
      <c r="F656" s="15">
        <v>197235072</v>
      </c>
      <c r="G656" s="15">
        <v>197235072</v>
      </c>
      <c r="H656" s="15"/>
      <c r="I656" s="15"/>
      <c r="J656" s="15"/>
      <c r="K656" s="15"/>
      <c r="L656" s="15"/>
      <c r="M656" s="15"/>
      <c r="N656" s="15">
        <v>197235072</v>
      </c>
      <c r="O656" s="15">
        <v>197235072</v>
      </c>
      <c r="P656" s="4">
        <v>0</v>
      </c>
      <c r="Q656" s="15">
        <v>4438920</v>
      </c>
      <c r="R656" s="15">
        <v>3847493</v>
      </c>
      <c r="S656" s="15">
        <v>195846135</v>
      </c>
      <c r="T656" s="15">
        <v>197659841</v>
      </c>
      <c r="U656" s="15">
        <v>192796152</v>
      </c>
      <c r="V656" s="15">
        <v>193387579</v>
      </c>
      <c r="W656" s="15">
        <v>3049983</v>
      </c>
      <c r="X656" s="15">
        <v>4272262</v>
      </c>
      <c r="Y656" s="4">
        <v>6833</v>
      </c>
      <c r="Z656" s="4">
        <v>6756</v>
      </c>
      <c r="AA656" s="4">
        <v>-1.1299999999999999</v>
      </c>
      <c r="AB656" s="15">
        <v>93963346</v>
      </c>
      <c r="AC656" s="15">
        <v>109174105</v>
      </c>
      <c r="AD656" s="15">
        <v>11336509</v>
      </c>
      <c r="AE656" s="15">
        <v>1000000</v>
      </c>
      <c r="AF656" s="15">
        <v>9181095</v>
      </c>
      <c r="AG656" s="15">
        <v>9793866</v>
      </c>
      <c r="AH656" s="4">
        <v>4</v>
      </c>
      <c r="AI656" s="6">
        <v>4</v>
      </c>
    </row>
    <row r="657" spans="1:35" x14ac:dyDescent="0.25">
      <c r="A657" s="5" t="str">
        <f>"641701"</f>
        <v>641701</v>
      </c>
      <c r="B657" s="3" t="s">
        <v>613</v>
      </c>
      <c r="C657" s="15">
        <v>17806903</v>
      </c>
      <c r="D657" s="15">
        <v>19360485</v>
      </c>
      <c r="E657" s="4">
        <v>8.7200000000000006</v>
      </c>
      <c r="F657" s="15">
        <v>5683334</v>
      </c>
      <c r="G657" s="15">
        <v>5683334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  <c r="N657" s="15">
        <v>5683334</v>
      </c>
      <c r="O657" s="15">
        <v>5683334</v>
      </c>
      <c r="P657" s="4">
        <v>0</v>
      </c>
      <c r="Q657" s="15">
        <v>0</v>
      </c>
      <c r="R657" s="15">
        <v>0</v>
      </c>
      <c r="S657" s="15">
        <v>5847719</v>
      </c>
      <c r="T657" s="15">
        <v>6090372</v>
      </c>
      <c r="U657" s="15">
        <v>5683334</v>
      </c>
      <c r="V657" s="15">
        <v>5683334</v>
      </c>
      <c r="W657" s="15">
        <v>164385</v>
      </c>
      <c r="X657" s="15">
        <v>407038</v>
      </c>
      <c r="Y657" s="4">
        <v>732</v>
      </c>
      <c r="Z657" s="4">
        <v>735</v>
      </c>
      <c r="AA657" s="4">
        <v>0.41</v>
      </c>
      <c r="AB657" s="15">
        <v>5447058</v>
      </c>
      <c r="AC657" s="15">
        <v>6131058</v>
      </c>
      <c r="AD657" s="15">
        <v>1082876</v>
      </c>
      <c r="AE657" s="15">
        <v>541049</v>
      </c>
      <c r="AF657" s="15">
        <v>820797</v>
      </c>
      <c r="AG657" s="15">
        <v>712276</v>
      </c>
      <c r="AH657" s="4">
        <v>4.6100000000000003</v>
      </c>
      <c r="AI657" s="6">
        <v>3.68</v>
      </c>
    </row>
    <row r="658" spans="1:35" x14ac:dyDescent="0.25">
      <c r="A658" s="5" t="str">
        <f>"412902"</f>
        <v>412902</v>
      </c>
      <c r="B658" s="3" t="s">
        <v>341</v>
      </c>
      <c r="C658" s="15">
        <v>74702240</v>
      </c>
      <c r="D658" s="15">
        <v>77027772</v>
      </c>
      <c r="E658" s="4">
        <v>3.11</v>
      </c>
      <c r="F658" s="15">
        <v>33333587</v>
      </c>
      <c r="G658" s="15">
        <v>34196985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33333587</v>
      </c>
      <c r="O658" s="15">
        <v>34196985</v>
      </c>
      <c r="P658" s="4">
        <v>2.59</v>
      </c>
      <c r="Q658" s="15">
        <v>1228585</v>
      </c>
      <c r="R658" s="15">
        <v>1510606</v>
      </c>
      <c r="S658" s="15">
        <v>32105002</v>
      </c>
      <c r="T658" s="15">
        <v>32686379</v>
      </c>
      <c r="U658" s="15">
        <v>32105002</v>
      </c>
      <c r="V658" s="15">
        <v>32686379</v>
      </c>
      <c r="W658" s="15">
        <v>0</v>
      </c>
      <c r="X658" s="15">
        <v>0</v>
      </c>
      <c r="Y658" s="4">
        <v>3038</v>
      </c>
      <c r="Z658" s="4">
        <v>3061</v>
      </c>
      <c r="AA658" s="4">
        <v>0.76</v>
      </c>
      <c r="AB658" s="15">
        <v>10029186</v>
      </c>
      <c r="AC658" s="15">
        <v>10489385</v>
      </c>
      <c r="AD658" s="15">
        <v>4800000</v>
      </c>
      <c r="AE658" s="15">
        <v>4750000</v>
      </c>
      <c r="AF658" s="15">
        <v>2950738</v>
      </c>
      <c r="AG658" s="15">
        <v>3042597</v>
      </c>
      <c r="AH658" s="4">
        <v>3.95</v>
      </c>
      <c r="AI658" s="6">
        <v>3.95</v>
      </c>
    </row>
    <row r="659" spans="1:35" x14ac:dyDescent="0.25">
      <c r="A659" s="5" t="str">
        <f>"022101"</f>
        <v>022101</v>
      </c>
      <c r="B659" s="3" t="s">
        <v>19</v>
      </c>
      <c r="C659" s="15">
        <v>6465705</v>
      </c>
      <c r="D659" s="15">
        <v>6475700</v>
      </c>
      <c r="E659" s="4">
        <v>0.15</v>
      </c>
      <c r="F659" s="15">
        <v>1266058</v>
      </c>
      <c r="G659" s="15">
        <v>1202755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1266058</v>
      </c>
      <c r="O659" s="15">
        <v>1202755</v>
      </c>
      <c r="P659" s="4">
        <v>-5</v>
      </c>
      <c r="Q659" s="15">
        <v>0</v>
      </c>
      <c r="R659" s="15">
        <v>0</v>
      </c>
      <c r="S659" s="15">
        <v>1369810</v>
      </c>
      <c r="T659" s="15">
        <v>1312314</v>
      </c>
      <c r="U659" s="15">
        <v>1266058</v>
      </c>
      <c r="V659" s="15">
        <v>1202755</v>
      </c>
      <c r="W659" s="15">
        <v>103752</v>
      </c>
      <c r="X659" s="15">
        <v>109559</v>
      </c>
      <c r="Y659" s="4">
        <v>158</v>
      </c>
      <c r="Z659" s="4">
        <v>157</v>
      </c>
      <c r="AA659" s="4">
        <v>-0.63</v>
      </c>
      <c r="AB659" s="15">
        <v>2117742</v>
      </c>
      <c r="AC659" s="15">
        <v>2427742</v>
      </c>
      <c r="AD659" s="15">
        <v>29712</v>
      </c>
      <c r="AE659" s="15">
        <v>29485</v>
      </c>
      <c r="AF659" s="15">
        <v>2638422</v>
      </c>
      <c r="AG659" s="15">
        <v>2338422</v>
      </c>
      <c r="AH659" s="4">
        <v>40.81</v>
      </c>
      <c r="AI659" s="6">
        <v>36.11</v>
      </c>
    </row>
    <row r="660" spans="1:35" x14ac:dyDescent="0.25">
      <c r="A660" s="5" t="str">
        <f>"031401"</f>
        <v>031401</v>
      </c>
      <c r="B660" s="3" t="s">
        <v>31</v>
      </c>
      <c r="C660" s="15">
        <v>38072888</v>
      </c>
      <c r="D660" s="15">
        <v>38787745</v>
      </c>
      <c r="E660" s="4">
        <v>1.88</v>
      </c>
      <c r="F660" s="15">
        <v>8551853</v>
      </c>
      <c r="G660" s="15">
        <v>8551853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8551853</v>
      </c>
      <c r="O660" s="15">
        <v>8551853</v>
      </c>
      <c r="P660" s="4">
        <v>0</v>
      </c>
      <c r="Q660" s="15">
        <v>336797</v>
      </c>
      <c r="R660" s="15">
        <v>287367</v>
      </c>
      <c r="S660" s="15">
        <v>8215056</v>
      </c>
      <c r="T660" s="15">
        <v>8416866</v>
      </c>
      <c r="U660" s="15">
        <v>8215056</v>
      </c>
      <c r="V660" s="15">
        <v>8264486</v>
      </c>
      <c r="W660" s="15">
        <v>0</v>
      </c>
      <c r="X660" s="15">
        <v>152380</v>
      </c>
      <c r="Y660" s="4">
        <v>1363</v>
      </c>
      <c r="Z660" s="4">
        <v>1363</v>
      </c>
      <c r="AA660" s="4">
        <v>0</v>
      </c>
      <c r="AB660" s="15">
        <v>4246014</v>
      </c>
      <c r="AC660" s="15">
        <v>5908959</v>
      </c>
      <c r="AD660" s="15">
        <v>500000</v>
      </c>
      <c r="AE660" s="15">
        <v>500000</v>
      </c>
      <c r="AF660" s="15">
        <v>1427263</v>
      </c>
      <c r="AG660" s="15">
        <v>1456768</v>
      </c>
      <c r="AH660" s="4">
        <v>3.75</v>
      </c>
      <c r="AI660" s="6">
        <v>3.76</v>
      </c>
    </row>
    <row r="661" spans="1:35" x14ac:dyDescent="0.25">
      <c r="A661" s="5" t="str">
        <f>"580232"</f>
        <v>580232</v>
      </c>
      <c r="B661" s="3" t="s">
        <v>516</v>
      </c>
      <c r="C661" s="15">
        <v>251311607</v>
      </c>
      <c r="D661" s="15">
        <v>265022650</v>
      </c>
      <c r="E661" s="4">
        <v>5.46</v>
      </c>
      <c r="F661" s="15">
        <v>102888275</v>
      </c>
      <c r="G661" s="15">
        <v>97888275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102888275</v>
      </c>
      <c r="O661" s="15">
        <v>97888275</v>
      </c>
      <c r="P661" s="4">
        <v>-4.8600000000000003</v>
      </c>
      <c r="Q661" s="15">
        <v>0</v>
      </c>
      <c r="R661" s="15">
        <v>0</v>
      </c>
      <c r="S661" s="15">
        <v>105882753</v>
      </c>
      <c r="T661" s="15">
        <v>107047826</v>
      </c>
      <c r="U661" s="15">
        <v>102888275</v>
      </c>
      <c r="V661" s="15">
        <v>97888275</v>
      </c>
      <c r="W661" s="15">
        <v>2994478</v>
      </c>
      <c r="X661" s="15">
        <v>9159551</v>
      </c>
      <c r="Y661" s="4">
        <v>8941</v>
      </c>
      <c r="Z661" s="4">
        <v>8947</v>
      </c>
      <c r="AA661" s="4">
        <v>7.0000000000000007E-2</v>
      </c>
      <c r="AB661" s="15">
        <v>32866433</v>
      </c>
      <c r="AC661" s="15">
        <v>34250650</v>
      </c>
      <c r="AD661" s="15">
        <v>1500000</v>
      </c>
      <c r="AE661" s="15">
        <v>0</v>
      </c>
      <c r="AF661" s="15">
        <v>23169119</v>
      </c>
      <c r="AG661" s="15">
        <v>10600906</v>
      </c>
      <c r="AH661" s="4">
        <v>9.2200000000000006</v>
      </c>
      <c r="AI661" s="6">
        <v>4</v>
      </c>
    </row>
    <row r="662" spans="1:35" x14ac:dyDescent="0.25">
      <c r="A662" s="5" t="str">
        <f>"651402"</f>
        <v>651402</v>
      </c>
      <c r="B662" s="3" t="s">
        <v>622</v>
      </c>
      <c r="C662" s="15">
        <v>25285305</v>
      </c>
      <c r="D662" s="15">
        <v>25979008</v>
      </c>
      <c r="E662" s="4">
        <v>2.74</v>
      </c>
      <c r="F662" s="15">
        <v>11072047</v>
      </c>
      <c r="G662" s="15">
        <v>11644007</v>
      </c>
      <c r="H662" s="15"/>
      <c r="I662" s="15"/>
      <c r="J662" s="15"/>
      <c r="K662" s="15"/>
      <c r="L662" s="15"/>
      <c r="M662" s="15"/>
      <c r="N662" s="15">
        <v>11072047</v>
      </c>
      <c r="O662" s="15">
        <v>11644007</v>
      </c>
      <c r="P662" s="4">
        <v>5.17</v>
      </c>
      <c r="Q662" s="15">
        <v>0</v>
      </c>
      <c r="R662" s="15">
        <v>0</v>
      </c>
      <c r="S662" s="15">
        <v>11072047</v>
      </c>
      <c r="T662" s="15">
        <v>11644007</v>
      </c>
      <c r="U662" s="15">
        <v>11072047</v>
      </c>
      <c r="V662" s="15">
        <v>11644007</v>
      </c>
      <c r="W662" s="15">
        <v>0</v>
      </c>
      <c r="X662" s="15">
        <v>0</v>
      </c>
      <c r="Y662" s="4">
        <v>1001</v>
      </c>
      <c r="Z662" s="4">
        <v>975</v>
      </c>
      <c r="AA662" s="4">
        <v>-2.6</v>
      </c>
      <c r="AB662" s="15">
        <v>8376014</v>
      </c>
      <c r="AC662" s="15">
        <v>7779880</v>
      </c>
      <c r="AD662" s="15">
        <v>387035</v>
      </c>
      <c r="AE662" s="15">
        <v>402651</v>
      </c>
      <c r="AF662" s="15">
        <v>1011351</v>
      </c>
      <c r="AG662" s="15">
        <v>1036560</v>
      </c>
      <c r="AH662" s="4">
        <v>4</v>
      </c>
      <c r="AI662" s="6">
        <v>3.99</v>
      </c>
    </row>
    <row r="663" spans="1:35" x14ac:dyDescent="0.25">
      <c r="A663" s="5" t="str">
        <f>"140203"</f>
        <v>140203</v>
      </c>
      <c r="B663" s="3" t="s">
        <v>130</v>
      </c>
      <c r="C663" s="15">
        <v>205020967</v>
      </c>
      <c r="D663" s="15">
        <v>212528086</v>
      </c>
      <c r="E663" s="4">
        <v>3.66</v>
      </c>
      <c r="F663" s="15">
        <v>133790000</v>
      </c>
      <c r="G663" s="15">
        <v>137200000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133790000</v>
      </c>
      <c r="O663" s="15">
        <v>137200000</v>
      </c>
      <c r="P663" s="4">
        <v>2.5499999999999998</v>
      </c>
      <c r="Q663" s="15">
        <v>0</v>
      </c>
      <c r="R663" s="15">
        <v>0</v>
      </c>
      <c r="S663" s="15">
        <v>133797572</v>
      </c>
      <c r="T663" s="15">
        <v>137246862</v>
      </c>
      <c r="U663" s="15">
        <v>133790000</v>
      </c>
      <c r="V663" s="15">
        <v>137200000</v>
      </c>
      <c r="W663" s="15">
        <v>7572</v>
      </c>
      <c r="X663" s="15">
        <v>46862</v>
      </c>
      <c r="Y663" s="4">
        <v>9517</v>
      </c>
      <c r="Z663" s="4">
        <v>9494</v>
      </c>
      <c r="AA663" s="4">
        <v>-0.24</v>
      </c>
      <c r="AB663" s="15">
        <v>66660019</v>
      </c>
      <c r="AC663" s="15">
        <v>61239350</v>
      </c>
      <c r="AD663" s="15">
        <v>7783519</v>
      </c>
      <c r="AE663" s="15">
        <v>7783519</v>
      </c>
      <c r="AF663" s="15">
        <v>8200801</v>
      </c>
      <c r="AG663" s="15">
        <v>8501123</v>
      </c>
      <c r="AH663" s="4">
        <v>4</v>
      </c>
      <c r="AI663" s="6">
        <v>4</v>
      </c>
    </row>
    <row r="664" spans="1:35" x14ac:dyDescent="0.25">
      <c r="A664" s="5" t="str">
        <f>"151701"</f>
        <v>151701</v>
      </c>
      <c r="B664" s="3" t="s">
        <v>163</v>
      </c>
      <c r="C664" s="15">
        <v>10114584</v>
      </c>
      <c r="D664" s="15">
        <v>10479884</v>
      </c>
      <c r="E664" s="4">
        <v>3.61</v>
      </c>
      <c r="F664" s="15">
        <v>5709720</v>
      </c>
      <c r="G664" s="15">
        <v>5863165</v>
      </c>
      <c r="H664" s="15"/>
      <c r="I664" s="15"/>
      <c r="J664" s="15"/>
      <c r="K664" s="15"/>
      <c r="L664" s="15">
        <v>4462</v>
      </c>
      <c r="M664" s="15"/>
      <c r="N664" s="15">
        <v>5705258</v>
      </c>
      <c r="O664" s="15">
        <v>5863165</v>
      </c>
      <c r="P664" s="4">
        <v>2.77</v>
      </c>
      <c r="Q664" s="15">
        <v>682196</v>
      </c>
      <c r="R664" s="15">
        <v>724544</v>
      </c>
      <c r="S664" s="15">
        <v>5023062</v>
      </c>
      <c r="T664" s="15">
        <v>5138621</v>
      </c>
      <c r="U664" s="15">
        <v>5027524</v>
      </c>
      <c r="V664" s="15">
        <v>5138621</v>
      </c>
      <c r="W664" s="15">
        <v>-4462</v>
      </c>
      <c r="X664" s="15">
        <v>0</v>
      </c>
      <c r="Y664" s="4">
        <v>252</v>
      </c>
      <c r="Z664" s="4">
        <v>248</v>
      </c>
      <c r="AA664" s="4">
        <v>-1.59</v>
      </c>
      <c r="AB664" s="15">
        <v>1199313</v>
      </c>
      <c r="AC664" s="15">
        <v>1244072</v>
      </c>
      <c r="AD664" s="15">
        <v>1253899</v>
      </c>
      <c r="AE664" s="15">
        <v>1489519</v>
      </c>
      <c r="AF664" s="15">
        <v>1139645</v>
      </c>
      <c r="AG664" s="15">
        <v>924879</v>
      </c>
      <c r="AH664" s="4">
        <v>11.27</v>
      </c>
      <c r="AI664" s="6">
        <v>8.83</v>
      </c>
    </row>
    <row r="665" spans="1:35" x14ac:dyDescent="0.25">
      <c r="A665" s="5" t="str">
        <f>"401501"</f>
        <v>401501</v>
      </c>
      <c r="B665" s="3" t="s">
        <v>326</v>
      </c>
      <c r="C665" s="15">
        <v>28323085</v>
      </c>
      <c r="D665" s="15">
        <v>28545921</v>
      </c>
      <c r="E665" s="4">
        <v>0.79</v>
      </c>
      <c r="F665" s="15">
        <v>12689987</v>
      </c>
      <c r="G665" s="15">
        <v>12689987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12689987</v>
      </c>
      <c r="O665" s="15">
        <v>12689987</v>
      </c>
      <c r="P665" s="4">
        <v>0</v>
      </c>
      <c r="Q665" s="15">
        <v>0</v>
      </c>
      <c r="R665" s="15">
        <v>0</v>
      </c>
      <c r="S665" s="15">
        <v>12689987</v>
      </c>
      <c r="T665" s="15">
        <v>13025749</v>
      </c>
      <c r="U665" s="15">
        <v>12689987</v>
      </c>
      <c r="V665" s="15">
        <v>12689987</v>
      </c>
      <c r="W665" s="15">
        <v>0</v>
      </c>
      <c r="X665" s="15">
        <v>335762</v>
      </c>
      <c r="Y665" s="4">
        <v>1033</v>
      </c>
      <c r="Z665" s="4">
        <v>1025</v>
      </c>
      <c r="AA665" s="4">
        <v>-0.77</v>
      </c>
      <c r="AB665" s="15">
        <v>16996959</v>
      </c>
      <c r="AC665" s="15">
        <v>18423100</v>
      </c>
      <c r="AD665" s="15">
        <v>585700</v>
      </c>
      <c r="AE665" s="15">
        <v>620000</v>
      </c>
      <c r="AF665" s="15">
        <v>2803490</v>
      </c>
      <c r="AG665" s="15">
        <v>2553490</v>
      </c>
      <c r="AH665" s="4">
        <v>9.9</v>
      </c>
      <c r="AI665" s="6">
        <v>8.9499999999999993</v>
      </c>
    </row>
    <row r="666" spans="1:35" x14ac:dyDescent="0.25">
      <c r="A666" s="5" t="str">
        <f>"191401"</f>
        <v>191401</v>
      </c>
      <c r="B666" s="3" t="s">
        <v>191</v>
      </c>
      <c r="C666" s="15">
        <v>12730593</v>
      </c>
      <c r="D666" s="15">
        <v>13260253</v>
      </c>
      <c r="E666" s="4">
        <v>4.16</v>
      </c>
      <c r="F666" s="15">
        <v>10567965</v>
      </c>
      <c r="G666" s="15">
        <v>10853352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  <c r="N666" s="15">
        <v>10567965</v>
      </c>
      <c r="O666" s="15">
        <v>10853352</v>
      </c>
      <c r="P666" s="4">
        <v>2.7</v>
      </c>
      <c r="Q666" s="15">
        <v>1272069</v>
      </c>
      <c r="R666" s="15">
        <v>1407828</v>
      </c>
      <c r="S666" s="15">
        <v>9301985</v>
      </c>
      <c r="T666" s="15">
        <v>9602832</v>
      </c>
      <c r="U666" s="15">
        <v>9295896</v>
      </c>
      <c r="V666" s="15">
        <v>9445524</v>
      </c>
      <c r="W666" s="15">
        <v>6089</v>
      </c>
      <c r="X666" s="15">
        <v>157308</v>
      </c>
      <c r="Y666" s="4">
        <v>315</v>
      </c>
      <c r="Z666" s="4">
        <v>312</v>
      </c>
      <c r="AA666" s="4">
        <v>-0.95</v>
      </c>
      <c r="AB666" s="15">
        <v>2262337</v>
      </c>
      <c r="AC666" s="15">
        <v>2264606</v>
      </c>
      <c r="AD666" s="15">
        <v>250000</v>
      </c>
      <c r="AE666" s="15">
        <v>250000</v>
      </c>
      <c r="AF666" s="15">
        <v>507368</v>
      </c>
      <c r="AG666" s="15">
        <v>530410</v>
      </c>
      <c r="AH666" s="4">
        <v>3.99</v>
      </c>
      <c r="AI666" s="6">
        <v>4</v>
      </c>
    </row>
    <row r="667" spans="1:35" x14ac:dyDescent="0.25">
      <c r="A667" s="5" t="str">
        <f>"031701"</f>
        <v>031701</v>
      </c>
      <c r="B667" s="3" t="s">
        <v>35</v>
      </c>
      <c r="C667" s="15">
        <v>43137114</v>
      </c>
      <c r="D667" s="15">
        <v>45088432</v>
      </c>
      <c r="E667" s="4">
        <v>4.5199999999999996</v>
      </c>
      <c r="F667" s="15">
        <v>16008579</v>
      </c>
      <c r="G667" s="15">
        <v>16512665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16008579</v>
      </c>
      <c r="O667" s="15">
        <v>16512665</v>
      </c>
      <c r="P667" s="4">
        <v>3.15</v>
      </c>
      <c r="Q667" s="15">
        <v>507232</v>
      </c>
      <c r="R667" s="15">
        <v>569309</v>
      </c>
      <c r="S667" s="15">
        <v>15501347</v>
      </c>
      <c r="T667" s="15">
        <v>15943356</v>
      </c>
      <c r="U667" s="15">
        <v>15501347</v>
      </c>
      <c r="V667" s="15">
        <v>15943356</v>
      </c>
      <c r="W667" s="15">
        <v>0</v>
      </c>
      <c r="X667" s="15">
        <v>0</v>
      </c>
      <c r="Y667" s="4">
        <v>1575</v>
      </c>
      <c r="Z667" s="4">
        <v>1575</v>
      </c>
      <c r="AA667" s="4">
        <v>0</v>
      </c>
      <c r="AB667" s="15">
        <v>7149404</v>
      </c>
      <c r="AC667" s="15">
        <v>5839593</v>
      </c>
      <c r="AD667" s="15">
        <v>500000</v>
      </c>
      <c r="AE667" s="15">
        <v>500000</v>
      </c>
      <c r="AF667" s="15">
        <v>1610608</v>
      </c>
      <c r="AG667" s="15">
        <v>1648903</v>
      </c>
      <c r="AH667" s="4">
        <v>3.73</v>
      </c>
      <c r="AI667" s="6">
        <v>3.66</v>
      </c>
    </row>
    <row r="668" spans="1:35" x14ac:dyDescent="0.25">
      <c r="A668" s="5" t="str">
        <f>"472506"</f>
        <v>472506</v>
      </c>
      <c r="B668" s="3" t="s">
        <v>410</v>
      </c>
      <c r="C668" s="15">
        <v>11700578</v>
      </c>
      <c r="D668" s="15">
        <v>11885006</v>
      </c>
      <c r="E668" s="4">
        <v>1.58</v>
      </c>
      <c r="F668" s="15">
        <v>3550400</v>
      </c>
      <c r="G668" s="15">
        <v>3594177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3550400</v>
      </c>
      <c r="O668" s="15">
        <v>3594177</v>
      </c>
      <c r="P668" s="4">
        <v>1.23</v>
      </c>
      <c r="Q668" s="15">
        <v>343137</v>
      </c>
      <c r="R668" s="15">
        <v>320817</v>
      </c>
      <c r="S668" s="15">
        <v>3180505</v>
      </c>
      <c r="T668" s="15">
        <v>3273581</v>
      </c>
      <c r="U668" s="15">
        <v>3207263</v>
      </c>
      <c r="V668" s="15">
        <v>3273360</v>
      </c>
      <c r="W668" s="15">
        <v>-26758</v>
      </c>
      <c r="X668" s="15">
        <v>221</v>
      </c>
      <c r="Y668" s="4">
        <v>320</v>
      </c>
      <c r="Z668" s="4">
        <v>336</v>
      </c>
      <c r="AA668" s="4">
        <v>5</v>
      </c>
      <c r="AB668" s="15">
        <v>1043549</v>
      </c>
      <c r="AC668" s="15">
        <v>2093785</v>
      </c>
      <c r="AD668" s="15">
        <v>750000</v>
      </c>
      <c r="AE668" s="15">
        <v>685000</v>
      </c>
      <c r="AF668" s="15">
        <v>2300391</v>
      </c>
      <c r="AG668" s="15">
        <v>1150391</v>
      </c>
      <c r="AH668" s="4">
        <v>19.66</v>
      </c>
      <c r="AI668" s="6">
        <v>9.68</v>
      </c>
    </row>
    <row r="669" spans="1:35" x14ac:dyDescent="0.25">
      <c r="A669" s="5" t="str">
        <f>"580109"</f>
        <v>580109</v>
      </c>
      <c r="B669" s="3" t="s">
        <v>505</v>
      </c>
      <c r="C669" s="15">
        <v>79906906</v>
      </c>
      <c r="D669" s="15">
        <v>88178217</v>
      </c>
      <c r="E669" s="4">
        <v>10.35</v>
      </c>
      <c r="F669" s="15">
        <v>22922337</v>
      </c>
      <c r="G669" s="15">
        <v>23105027</v>
      </c>
      <c r="H669" s="15"/>
      <c r="I669" s="15"/>
      <c r="J669" s="15"/>
      <c r="K669" s="15"/>
      <c r="L669" s="15"/>
      <c r="M669" s="15"/>
      <c r="N669" s="15">
        <v>22922337</v>
      </c>
      <c r="O669" s="15">
        <v>23105027</v>
      </c>
      <c r="P669" s="4">
        <v>0.8</v>
      </c>
      <c r="Q669" s="15">
        <v>129380</v>
      </c>
      <c r="R669" s="15">
        <v>207756</v>
      </c>
      <c r="S669" s="15">
        <v>22922337</v>
      </c>
      <c r="T669" s="15">
        <v>23040713</v>
      </c>
      <c r="U669" s="15">
        <v>22792957</v>
      </c>
      <c r="V669" s="15">
        <v>22897271</v>
      </c>
      <c r="W669" s="15">
        <v>129380</v>
      </c>
      <c r="X669" s="15">
        <v>143442</v>
      </c>
      <c r="Y669" s="4">
        <v>2867</v>
      </c>
      <c r="Z669" s="4">
        <v>2900</v>
      </c>
      <c r="AA669" s="4">
        <v>1.1499999999999999</v>
      </c>
      <c r="AB669" s="15">
        <v>10144974</v>
      </c>
      <c r="AC669" s="15">
        <v>16053109</v>
      </c>
      <c r="AD669" s="15">
        <v>0</v>
      </c>
      <c r="AE669" s="15">
        <v>0</v>
      </c>
      <c r="AF669" s="15">
        <v>5448760</v>
      </c>
      <c r="AG669" s="15">
        <v>3527129</v>
      </c>
      <c r="AH669" s="4">
        <v>6.82</v>
      </c>
      <c r="AI669" s="6">
        <v>4</v>
      </c>
    </row>
    <row r="670" spans="1:35" x14ac:dyDescent="0.25">
      <c r="A670" s="5" t="str">
        <f>"490804"</f>
        <v>490804</v>
      </c>
      <c r="B670" s="3" t="s">
        <v>424</v>
      </c>
      <c r="C670" s="15">
        <v>10148848</v>
      </c>
      <c r="D670" s="15">
        <v>10380611</v>
      </c>
      <c r="E670" s="4">
        <v>2.2799999999999998</v>
      </c>
      <c r="F670" s="15">
        <v>5663056</v>
      </c>
      <c r="G670" s="15">
        <v>5782093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5663056</v>
      </c>
      <c r="O670" s="15">
        <v>5782093</v>
      </c>
      <c r="P670" s="4">
        <v>2.1</v>
      </c>
      <c r="Q670" s="15">
        <v>0</v>
      </c>
      <c r="R670" s="15">
        <v>0</v>
      </c>
      <c r="S670" s="15">
        <v>5663056</v>
      </c>
      <c r="T670" s="15">
        <v>5782093</v>
      </c>
      <c r="U670" s="15">
        <v>5663056</v>
      </c>
      <c r="V670" s="15">
        <v>5782093</v>
      </c>
      <c r="W670" s="15">
        <v>0</v>
      </c>
      <c r="X670" s="15">
        <v>0</v>
      </c>
      <c r="Y670" s="4">
        <v>343</v>
      </c>
      <c r="Z670" s="4">
        <v>336</v>
      </c>
      <c r="AA670" s="4">
        <v>-2.04</v>
      </c>
      <c r="AB670" s="15">
        <v>1834681</v>
      </c>
      <c r="AC670" s="15">
        <v>2013254</v>
      </c>
      <c r="AD670" s="15">
        <v>156000</v>
      </c>
      <c r="AE670" s="15">
        <v>156000</v>
      </c>
      <c r="AF670" s="15">
        <v>715930</v>
      </c>
      <c r="AG670" s="15">
        <v>415224</v>
      </c>
      <c r="AH670" s="4">
        <v>7.05</v>
      </c>
      <c r="AI670" s="6">
        <v>4</v>
      </c>
    </row>
    <row r="671" spans="1:35" x14ac:dyDescent="0.25">
      <c r="A671" s="5" t="str">
        <f>"671002"</f>
        <v>671002</v>
      </c>
      <c r="B671" s="3" t="s">
        <v>666</v>
      </c>
      <c r="C671" s="15">
        <v>5832070</v>
      </c>
      <c r="D671" s="15">
        <v>6182244</v>
      </c>
      <c r="E671" s="4">
        <v>6</v>
      </c>
      <c r="F671" s="15">
        <v>2086499</v>
      </c>
      <c r="G671" s="15">
        <v>2128020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2086499</v>
      </c>
      <c r="O671" s="15">
        <v>2128020</v>
      </c>
      <c r="P671" s="4">
        <v>1.99</v>
      </c>
      <c r="Q671" s="15">
        <v>0</v>
      </c>
      <c r="R671" s="15">
        <v>0</v>
      </c>
      <c r="S671" s="15">
        <v>2086499</v>
      </c>
      <c r="T671" s="15">
        <v>2154741</v>
      </c>
      <c r="U671" s="15">
        <v>2086499</v>
      </c>
      <c r="V671" s="15">
        <v>2128020</v>
      </c>
      <c r="W671" s="15">
        <v>0</v>
      </c>
      <c r="X671" s="15">
        <v>26721</v>
      </c>
      <c r="Y671" s="4">
        <v>123</v>
      </c>
      <c r="Z671" s="4">
        <v>147</v>
      </c>
      <c r="AA671" s="4">
        <v>19.510000000000002</v>
      </c>
      <c r="AB671" s="15">
        <v>2353262</v>
      </c>
      <c r="AC671" s="15">
        <v>2726546</v>
      </c>
      <c r="AD671" s="15">
        <v>465771</v>
      </c>
      <c r="AE671" s="15">
        <v>565000</v>
      </c>
      <c r="AF671" s="15">
        <v>463331</v>
      </c>
      <c r="AG671" s="15">
        <v>247290</v>
      </c>
      <c r="AH671" s="4">
        <v>7.94</v>
      </c>
      <c r="AI671" s="6">
        <v>4</v>
      </c>
    </row>
    <row r="672" spans="1:35" x14ac:dyDescent="0.25">
      <c r="A672" s="5" t="str">
        <f>"241701"</f>
        <v>241701</v>
      </c>
      <c r="B672" s="3" t="s">
        <v>231</v>
      </c>
      <c r="C672" s="15">
        <v>17802581</v>
      </c>
      <c r="D672" s="15">
        <v>18723309</v>
      </c>
      <c r="E672" s="4">
        <v>5.17</v>
      </c>
      <c r="F672" s="15">
        <v>5863393</v>
      </c>
      <c r="G672" s="15">
        <v>5921893</v>
      </c>
      <c r="H672" s="15"/>
      <c r="I672" s="15"/>
      <c r="J672" s="15"/>
      <c r="K672" s="15"/>
      <c r="L672" s="15"/>
      <c r="M672" s="15"/>
      <c r="N672" s="15">
        <v>5863393</v>
      </c>
      <c r="O672" s="15">
        <v>5921893</v>
      </c>
      <c r="P672" s="4">
        <v>1</v>
      </c>
      <c r="Q672" s="15">
        <v>106559</v>
      </c>
      <c r="R672" s="15">
        <v>94434</v>
      </c>
      <c r="S672" s="15">
        <v>5930245</v>
      </c>
      <c r="T672" s="15">
        <v>5970132</v>
      </c>
      <c r="U672" s="15">
        <v>5756834</v>
      </c>
      <c r="V672" s="15">
        <v>5827459</v>
      </c>
      <c r="W672" s="15">
        <v>173411</v>
      </c>
      <c r="X672" s="15">
        <v>142673</v>
      </c>
      <c r="Y672" s="4">
        <v>719</v>
      </c>
      <c r="Z672" s="4">
        <v>712</v>
      </c>
      <c r="AA672" s="4">
        <v>-0.97</v>
      </c>
      <c r="AB672" s="15">
        <v>4571060</v>
      </c>
      <c r="AC672" s="15">
        <v>3048797</v>
      </c>
      <c r="AD672" s="15">
        <v>550000</v>
      </c>
      <c r="AE672" s="15">
        <v>550000</v>
      </c>
      <c r="AF672" s="15">
        <v>1068155</v>
      </c>
      <c r="AG672" s="15">
        <v>748932</v>
      </c>
      <c r="AH672" s="4">
        <v>6</v>
      </c>
      <c r="AI672" s="6">
        <v>4</v>
      </c>
    </row>
    <row r="673" spans="1:35" x14ac:dyDescent="0.25">
      <c r="A673" s="5" t="str">
        <f>"043501"</f>
        <v>043501</v>
      </c>
      <c r="B673" s="3" t="s">
        <v>47</v>
      </c>
      <c r="C673" s="15">
        <v>59421266</v>
      </c>
      <c r="D673" s="15">
        <v>62408491</v>
      </c>
      <c r="E673" s="4">
        <v>5.03</v>
      </c>
      <c r="F673" s="15">
        <v>13430208</v>
      </c>
      <c r="G673" s="15">
        <v>13831000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13430208</v>
      </c>
      <c r="O673" s="15">
        <v>13831000</v>
      </c>
      <c r="P673" s="4">
        <v>2.98</v>
      </c>
      <c r="Q673" s="15">
        <v>33458</v>
      </c>
      <c r="R673" s="15">
        <v>0</v>
      </c>
      <c r="S673" s="15">
        <v>13396750</v>
      </c>
      <c r="T673" s="15">
        <v>13831000</v>
      </c>
      <c r="U673" s="15">
        <v>13396750</v>
      </c>
      <c r="V673" s="15">
        <v>13831000</v>
      </c>
      <c r="W673" s="15">
        <v>0</v>
      </c>
      <c r="X673" s="15">
        <v>0</v>
      </c>
      <c r="Y673" s="4">
        <v>2160</v>
      </c>
      <c r="Z673" s="4">
        <v>2161</v>
      </c>
      <c r="AA673" s="4">
        <v>0.05</v>
      </c>
      <c r="AB673" s="15">
        <v>6575710</v>
      </c>
      <c r="AC673" s="15">
        <v>4278410</v>
      </c>
      <c r="AD673" s="15">
        <v>3250000</v>
      </c>
      <c r="AE673" s="15">
        <v>3180000</v>
      </c>
      <c r="AF673" s="15">
        <v>7734854</v>
      </c>
      <c r="AG673" s="15">
        <v>7700000</v>
      </c>
      <c r="AH673" s="4">
        <v>13.02</v>
      </c>
      <c r="AI673" s="6">
        <v>12.34</v>
      </c>
    </row>
    <row r="674" spans="1:35" x14ac:dyDescent="0.25">
      <c r="A674" s="7" t="str">
        <f>"662402"</f>
        <v>662402</v>
      </c>
      <c r="B674" s="8" t="s">
        <v>663</v>
      </c>
      <c r="C674" s="16">
        <v>101906000</v>
      </c>
      <c r="D674" s="16">
        <v>108805000</v>
      </c>
      <c r="E674" s="9">
        <v>6.77</v>
      </c>
      <c r="F674" s="16">
        <v>80866263</v>
      </c>
      <c r="G674" s="16">
        <v>82503533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80866263</v>
      </c>
      <c r="O674" s="16">
        <v>82503533</v>
      </c>
      <c r="P674" s="9">
        <v>2.02</v>
      </c>
      <c r="Q674" s="16">
        <v>1481335</v>
      </c>
      <c r="R674" s="16">
        <v>1498753</v>
      </c>
      <c r="S674" s="16">
        <v>80195585</v>
      </c>
      <c r="T674" s="16">
        <v>81277816</v>
      </c>
      <c r="U674" s="16">
        <v>79384928</v>
      </c>
      <c r="V674" s="16">
        <v>81004780</v>
      </c>
      <c r="W674" s="16">
        <v>810657</v>
      </c>
      <c r="X674" s="16">
        <v>273036</v>
      </c>
      <c r="Y674" s="9">
        <v>3377</v>
      </c>
      <c r="Z674" s="9">
        <v>3363</v>
      </c>
      <c r="AA674" s="9">
        <v>-0.41</v>
      </c>
      <c r="AB674" s="16">
        <v>13066244</v>
      </c>
      <c r="AC674" s="16">
        <v>14450000</v>
      </c>
      <c r="AD674" s="16">
        <v>557000</v>
      </c>
      <c r="AE674" s="16">
        <v>2650000</v>
      </c>
      <c r="AF674" s="16">
        <v>4076240</v>
      </c>
      <c r="AG674" s="16">
        <v>4350000</v>
      </c>
      <c r="AH674" s="9">
        <v>4</v>
      </c>
      <c r="AI674" s="10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PTRC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dcterms:created xsi:type="dcterms:W3CDTF">2022-04-29T19:03:38Z</dcterms:created>
  <dcterms:modified xsi:type="dcterms:W3CDTF">2022-04-29T19:03:56Z</dcterms:modified>
</cp:coreProperties>
</file>