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Z:\P12\School_Operation\EDMGTSRV\Website Documents\"/>
    </mc:Choice>
  </mc:AlternateContent>
  <xr:revisionPtr revIDLastSave="0" documentId="13_ncr:1_{4CEFE17A-0371-4DE1-9D7A-98D660B46E2B}" xr6:coauthVersionLast="32" xr6:coauthVersionMax="32" xr10:uidLastSave="{00000000-0000-0000-0000-000000000000}"/>
  <bookViews>
    <workbookView xWindow="0" yWindow="0" windowWidth="22935" windowHeight="10470" xr2:uid="{E5695E69-F8E5-420D-AE8E-F730A732CFD1}"/>
  </bookViews>
  <sheets>
    <sheet name="5_1_18 Post" sheetId="1" r:id="rId1"/>
    <sheet name="Reserve Data" sheetId="2" r:id="rId2"/>
  </sheets>
  <definedNames>
    <definedName name="_xlnm._FilterDatabase" localSheetId="0" hidden="1">'5_1_18 Post'!$A$4:$AI$4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c r="A8" i="1"/>
  <c r="A596" i="1" l="1"/>
  <c r="A672" i="1" l="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0" i="1"/>
  <c r="A612" i="1"/>
  <c r="A611" i="1"/>
  <c r="A613" i="1"/>
  <c r="A609" i="1"/>
  <c r="A608" i="1"/>
  <c r="A607" i="1"/>
  <c r="A606" i="1"/>
  <c r="A605" i="1"/>
  <c r="A604" i="1"/>
  <c r="A603" i="1"/>
  <c r="A602" i="1"/>
  <c r="A601" i="1"/>
  <c r="A600" i="1"/>
  <c r="A599" i="1"/>
  <c r="A598" i="1"/>
  <c r="A597"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alcChain>
</file>

<file path=xl/sharedStrings.xml><?xml version="1.0" encoding="utf-8"?>
<sst xmlns="http://schemas.openxmlformats.org/spreadsheetml/2006/main" count="27441" uniqueCount="5753">
  <si>
    <t>Extract of data from Claim Year 2017-2018 Data as of: Wed Apr 25 15:25:28 EDT 2018</t>
  </si>
  <si>
    <t>Total Spending - Budgeted (A) | Field size 16 | CY:2017-2018 Data as of: Wed Apr 25 15:25:28 EDT 2018</t>
  </si>
  <si>
    <t>Total Spending - Budgeted (B) | Field size 16 | CY:2017-2018 Data as of: Wed Apr 25 15:25:28 EDT 2018</t>
  </si>
  <si>
    <t>Total Spending - Percent change  | Field size 19 (Decimal places 2) | CY:2017-2018 Data as of: Wed Apr 25 15:25:28 EDT 2018</t>
  </si>
  <si>
    <t>PTRC: Tax Levy to support the Total Budgeted Amount | Field size 16 | CY:2017-2018 Data as of: Wed Apr 25 15:25:28 EDT 2018</t>
  </si>
  <si>
    <t>PTRC: Tax Levy to support Library Debt | Field size 16 | CY:2017-2018 Data as of: Wed Apr 25 15:25:28 EDT 2018</t>
  </si>
  <si>
    <t>PTRC: Tax Levy for Non-Excludable Propositions | Field size 16 | CY:2017-2018 Data as of: Wed Apr 25 15:25:28 EDT 2018</t>
  </si>
  <si>
    <t>PTRC: Total Tax Cap Reserve Amount used to reduce Current Year Levy | Field size 16 | CY:2017-2018 Data as of: Wed Apr 25 15:25:28 EDT 2018</t>
  </si>
  <si>
    <t>PTRC: Total Proposed School Year Tax Levy; Net of Tax Cap Reserve | Field size 16 | CY:2017-2018 Data as of: Wed Apr 25 15:25:28 EDT 2018</t>
  </si>
  <si>
    <t>PTRC: Percentage Change (Net of Tax Cap Reserve) | Field size 19 (Decimal places 2) | CY:2017-2018 Data as of: Wed Apr 25 15:25:28 EDT 2018</t>
  </si>
  <si>
    <t>PTRC: Permissible Exclusions to School YearTax Levy Limited  (B) | Field size 16 | CY:2017-2018 Data as of: Wed Apr 25 15:25:28 EDT 2018</t>
  </si>
  <si>
    <t>PTRC: School Tax Levy Limited (B) | Field size 16 | CY:2017-2018 Data as of: Wed Apr 25 15:25:28 EDT 2018</t>
  </si>
  <si>
    <t>PTRC: Proposed School YearTax Levy(B) | Field size 16 | CY:2017-2018 Data as of: Wed Apr 25 15:25:28 EDT 2018</t>
  </si>
  <si>
    <t>PTRC: Difference - Budgeted | Field size 16 | CY:2017-2018 Data as of: Wed Apr 25 15:25:28 EDT 2018</t>
  </si>
  <si>
    <t>PTRC: Difference - Proposed Budget | Field size 16 | CY:2017-2018 Data as of: Wed Apr 25 15:25:28 EDT 2018</t>
  </si>
  <si>
    <t>Public School Enrollment - Budgeted (A) | Field size 16 | CY:2017-2018 Data as of: Wed Apr 25 15:25:28 EDT 2018</t>
  </si>
  <si>
    <t>Public School Enrollment - Budgeted (B) | Field size 16 | CY:2017-2018 Data as of: Wed Apr 25 15:25:28 EDT 2018</t>
  </si>
  <si>
    <t>Public School Enrollment - Percent Change | Field size 19 (Decimal places 2) | CY:2017-2018 Data as of: Wed Apr 25 15:25:28 EDT 2018</t>
  </si>
  <si>
    <t>Adjusted Restricted Fund Balance(D) | Field size 16 | CY:2017-2018 Data as of: Wed Apr 25 15:25:28 EDT 2018</t>
  </si>
  <si>
    <t>Adjusted Restricted Fund Balance(E) | Field size 16 | CY:2017-2018 Data as of: Wed Apr 25 15:25:28 EDT 2018</t>
  </si>
  <si>
    <t>Assigned Appropriated Fund Balance(D) | Field size 16 | CY:2017-2018 Data as of: Wed Apr 25 15:25:28 EDT 2018</t>
  </si>
  <si>
    <t>Assigned Appropriated Fund Balance(E) | Field size 16 | CY:2017-2018 Data as of: Wed Apr 25 15:25:28 EDT 2018</t>
  </si>
  <si>
    <t>Adjusted Unrestricted Fund Balance(D) | Field size 16 | CY:2017-2018 Data as of: Wed Apr 25 15:25:28 EDT 2018</t>
  </si>
  <si>
    <t>Adjusted Unrestricted Fund Balance(E) | Field size 16 | CY:2017-2018 Data as of: Wed Apr 25 15:25:28 EDT 2018</t>
  </si>
  <si>
    <t>Adjusted Unrestricted Fund Balance as a Percent of the Total Budget(D) | Field size 16 (Decimal places 2) | CY:2017-2018 Data as of: Wed Apr 25 15:25:28 EDT 2018</t>
  </si>
  <si>
    <t>Adjusted Unrestricted Fund Balance as a Percent of the Total Budget(E) | Field size 16 (Decimal places 2) | CY:2017-2018 Data as of: Wed Apr 25 15:25:28 EDT 2018</t>
  </si>
  <si>
    <t>SEQ: 1</t>
  </si>
  <si>
    <t>SEQ: 2</t>
  </si>
  <si>
    <t>SEQ: 3</t>
  </si>
  <si>
    <t>SEQ: 4</t>
  </si>
  <si>
    <t>SEQ: 5</t>
  </si>
  <si>
    <t>SEQ: 6</t>
  </si>
  <si>
    <t>SEQ: 7</t>
  </si>
  <si>
    <t>SEQ: 8</t>
  </si>
  <si>
    <t>SEQ: 9</t>
  </si>
  <si>
    <t>SEQ: 10</t>
  </si>
  <si>
    <t>SEQ: 11</t>
  </si>
  <si>
    <t>SEQ: 12</t>
  </si>
  <si>
    <t>SEQ: 13</t>
  </si>
  <si>
    <t>SEQ: 14</t>
  </si>
  <si>
    <t>SEQ: 15</t>
  </si>
  <si>
    <t>SEQ: 16</t>
  </si>
  <si>
    <t>SEQ: 17</t>
  </si>
  <si>
    <t>SEQ: 18</t>
  </si>
  <si>
    <t>SEQ: 19</t>
  </si>
  <si>
    <t>SEQ: 20</t>
  </si>
  <si>
    <t>SEQ: 21</t>
  </si>
  <si>
    <t>SEQ: 22</t>
  </si>
  <si>
    <t>SEQ: 23</t>
  </si>
  <si>
    <t>SEQ: 24</t>
  </si>
  <si>
    <t>SEQ: 25</t>
  </si>
  <si>
    <t>SEQ: 26</t>
  </si>
  <si>
    <t>SEQ: 27</t>
  </si>
  <si>
    <t>SEQ: 28</t>
  </si>
  <si>
    <t>SEQ: 29</t>
  </si>
  <si>
    <t>SEQ: 30</t>
  </si>
  <si>
    <t>SEQ: 31</t>
  </si>
  <si>
    <t>SEQ: 32</t>
  </si>
  <si>
    <t>SEQ: 33</t>
  </si>
  <si>
    <t>BEDS Code</t>
  </si>
  <si>
    <t>District Name</t>
  </si>
  <si>
    <t>Total Proposed Spending 2017-18</t>
  </si>
  <si>
    <t>Total Proposed Spending 2018-19</t>
  </si>
  <si>
    <t>Spending Percent Change</t>
  </si>
  <si>
    <t>Proposed Tax Levy to Support Budget 
2017-18</t>
  </si>
  <si>
    <t>Proposed Tax Levy to Support Budget 
2018-19</t>
  </si>
  <si>
    <t>Levy for Library Debt 2017-18</t>
  </si>
  <si>
    <t>Levy for Library Debt 2018-19</t>
  </si>
  <si>
    <t>Levy for Non-Excludable Propositions 
2017-18</t>
  </si>
  <si>
    <t>Levy for Non-Excludable Propositions 
2018-19</t>
  </si>
  <si>
    <t>Tax Cap Reserve Used for
2017-18</t>
  </si>
  <si>
    <t>Tax Cap Reserve Used for
2018-19</t>
  </si>
  <si>
    <t>Total Proposed Tax Levy 2017-18</t>
  </si>
  <si>
    <t>Total Proposed Tax Levy  2018-19</t>
  </si>
  <si>
    <t>Proposed Tax Levy Percent Change</t>
  </si>
  <si>
    <t>Permissible Exclusions 2017-18</t>
  </si>
  <si>
    <t>Permissible Exclusions 2018-19</t>
  </si>
  <si>
    <t>Tax Levy Limit w/o Exclusions 2017-18</t>
  </si>
  <si>
    <t>Tax Levy Limit w/o Exclusions 2018-19</t>
  </si>
  <si>
    <t>Proposed Tax Levy w/o Excl. 2017-18</t>
  </si>
  <si>
    <t>Proposed Tax Levy w/o Excl. 2018-19</t>
  </si>
  <si>
    <t>(w/o Exc.)
Tax Levy vs. Tax Levy Limit 2017-18</t>
  </si>
  <si>
    <t>(w/o Exc.) 
Tax Levy vs. Tax Levy Limit 2018-19</t>
  </si>
  <si>
    <t>Enrollment 2017-18</t>
  </si>
  <si>
    <t>Enrollment 2018-19</t>
  </si>
  <si>
    <t>Enrollment Percent Change</t>
  </si>
  <si>
    <t>FB - Adj Restricted 2017-18</t>
  </si>
  <si>
    <t>FB - Adj Restricted 2018-19</t>
  </si>
  <si>
    <t>Assigned Approp FB 2017-18</t>
  </si>
  <si>
    <t>Assigned Approp FB 2018-19</t>
  </si>
  <si>
    <t>Adjusted Unrestricted 2017-18</t>
  </si>
  <si>
    <t>Adjusted Unrestricted 2018-19</t>
  </si>
  <si>
    <t>Adjusted Unrestricted Fund Balance as a Percent of Total Budget 2017-18</t>
  </si>
  <si>
    <t>Adjusted Unrestricted Fund Balance as a Percent of Total Budget 2018-19</t>
  </si>
  <si>
    <t>ADIRONDACK CSD</t>
  </si>
  <si>
    <t xml:space="preserve"> </t>
  </si>
  <si>
    <t xml:space="preserve">AFTON CSD     </t>
  </si>
  <si>
    <t xml:space="preserve">AKRON CSD     </t>
  </si>
  <si>
    <t>ALBANY CITY SD</t>
  </si>
  <si>
    <t xml:space="preserve">ALBION CSD    </t>
  </si>
  <si>
    <t xml:space="preserve">ALDEN CSD     </t>
  </si>
  <si>
    <t xml:space="preserve">ALEXANDER CSD </t>
  </si>
  <si>
    <t>ALEXANDRIA CSD</t>
  </si>
  <si>
    <t xml:space="preserve">ALFRED-ALMOND </t>
  </si>
  <si>
    <t>ALLEGANY-LIMES</t>
  </si>
  <si>
    <t>ALTMAR-PARISH-</t>
  </si>
  <si>
    <t>AMAGANSETT UFS</t>
  </si>
  <si>
    <t xml:space="preserve">AMHERST CSD   </t>
  </si>
  <si>
    <t>AMITYVILLE UFS</t>
  </si>
  <si>
    <t>AMSTERDAM CITY</t>
  </si>
  <si>
    <t xml:space="preserve">ANDES CSD     </t>
  </si>
  <si>
    <t xml:space="preserve">ANDOVER CSD   </t>
  </si>
  <si>
    <t xml:space="preserve">ARDSLEY UFSD  </t>
  </si>
  <si>
    <t xml:space="preserve">ARGYLE CSD    </t>
  </si>
  <si>
    <t xml:space="preserve">ARKPORT CSD   </t>
  </si>
  <si>
    <t xml:space="preserve">ARLINGTON CSD </t>
  </si>
  <si>
    <t xml:space="preserve">ATTICA CSD    </t>
  </si>
  <si>
    <t>AUBURN CITY SD</t>
  </si>
  <si>
    <t>AUSABLE VALLEY</t>
  </si>
  <si>
    <t>AVERILL PARK C</t>
  </si>
  <si>
    <t xml:space="preserve">AVOCA CSD     </t>
  </si>
  <si>
    <t xml:space="preserve">AVON CSD      </t>
  </si>
  <si>
    <t xml:space="preserve">BABYLON UFSD  </t>
  </si>
  <si>
    <t>BAINBRIDGE-GUI</t>
  </si>
  <si>
    <t xml:space="preserve">BALDWIN UFSD  </t>
  </si>
  <si>
    <t xml:space="preserve">BALDWINSVILLE </t>
  </si>
  <si>
    <t>BALLSTON SPA C</t>
  </si>
  <si>
    <t xml:space="preserve">BARKER CSD    </t>
  </si>
  <si>
    <t>BATAVIA CITY S</t>
  </si>
  <si>
    <t xml:space="preserve">BATH CSD      </t>
  </si>
  <si>
    <t>BAY SHORE UFSD</t>
  </si>
  <si>
    <t>BAYPORT-BLUE P</t>
  </si>
  <si>
    <t>BEACON CITY SD</t>
  </si>
  <si>
    <t>BEAVER RIVER C</t>
  </si>
  <si>
    <t xml:space="preserve">BEDFORD CSD   </t>
  </si>
  <si>
    <t>BEEKMANTOWN CS</t>
  </si>
  <si>
    <t xml:space="preserve">BELFAST CSD   </t>
  </si>
  <si>
    <t>BELLEVILLE-HEN</t>
  </si>
  <si>
    <t xml:space="preserve">BELLMORE UFSD </t>
  </si>
  <si>
    <t>BELLMORE-MERRI</t>
  </si>
  <si>
    <t>BEMUS POINT CS</t>
  </si>
  <si>
    <t xml:space="preserve">BERLIN CSD    </t>
  </si>
  <si>
    <t>BERNE-KNOX-WES</t>
  </si>
  <si>
    <t xml:space="preserve">BETHLEHEM CSD </t>
  </si>
  <si>
    <t xml:space="preserve">BETHPAGE UFSD </t>
  </si>
  <si>
    <t>BINGHAMTON CIT</t>
  </si>
  <si>
    <t>BLIND BROOK-RY</t>
  </si>
  <si>
    <t>BOLIVAR-RICHBU</t>
  </si>
  <si>
    <t xml:space="preserve">BOLTON CSD    </t>
  </si>
  <si>
    <t xml:space="preserve">BRADFORD CSD  </t>
  </si>
  <si>
    <t xml:space="preserve">BRASHER FALLS </t>
  </si>
  <si>
    <t>BRENTWOOD UFSD</t>
  </si>
  <si>
    <t xml:space="preserve">BREWSTER CSD  </t>
  </si>
  <si>
    <t>BRIARCLIFF MAN</t>
  </si>
  <si>
    <t xml:space="preserve">BRIDGEHAMPTON </t>
  </si>
  <si>
    <t xml:space="preserve">BRIGHTON CSD  </t>
  </si>
  <si>
    <t>BROADALBIN-PER</t>
  </si>
  <si>
    <t xml:space="preserve">BROCKPORT CSD </t>
  </si>
  <si>
    <t xml:space="preserve">BROCTON CSD   </t>
  </si>
  <si>
    <t>BRONXVILLE UFS</t>
  </si>
  <si>
    <t>BROOKFIELD CSD</t>
  </si>
  <si>
    <t>BROOKHAVEN-COM</t>
  </si>
  <si>
    <t xml:space="preserve">BRUNSWICK CSD </t>
  </si>
  <si>
    <t>BRUSHTON-MOIRA</t>
  </si>
  <si>
    <t>BURNT HILLS-BA</t>
  </si>
  <si>
    <t>BYRAM HILLS CS</t>
  </si>
  <si>
    <t>BYRON-BERGEN C</t>
  </si>
  <si>
    <t>CAIRO-DURHAM C</t>
  </si>
  <si>
    <t>CALEDONIA-MUMF</t>
  </si>
  <si>
    <t xml:space="preserve">CAMBRIDGE CSD </t>
  </si>
  <si>
    <t xml:space="preserve">CAMDEN CSD    </t>
  </si>
  <si>
    <t>CAMPBELL-SAVON</t>
  </si>
  <si>
    <t>CANAJOHARIE CS</t>
  </si>
  <si>
    <t>CANANDAIGUA CI</t>
  </si>
  <si>
    <t>CANASERAGA CSD</t>
  </si>
  <si>
    <t xml:space="preserve">CANASTOTA CSD </t>
  </si>
  <si>
    <t xml:space="preserve">CANDOR CSD    </t>
  </si>
  <si>
    <t>CANISTEO-GREEN</t>
  </si>
  <si>
    <t xml:space="preserve">CANTON CSD    </t>
  </si>
  <si>
    <t>CARLE PLACE UF</t>
  </si>
  <si>
    <t xml:space="preserve">CARMEL CSD    </t>
  </si>
  <si>
    <t xml:space="preserve">CARTHAGE CSD  </t>
  </si>
  <si>
    <t>CASSADAGA VALL</t>
  </si>
  <si>
    <t xml:space="preserve">CATO-MERIDIAN </t>
  </si>
  <si>
    <t xml:space="preserve">CATSKILL CSD  </t>
  </si>
  <si>
    <t>CATTARAUGUS-LI</t>
  </si>
  <si>
    <t xml:space="preserve">CAZENOVIA CSD </t>
  </si>
  <si>
    <t>CENTER MORICHE</t>
  </si>
  <si>
    <t xml:space="preserve">CENTRAL ISLIP </t>
  </si>
  <si>
    <t>CENTRAL SQUARE</t>
  </si>
  <si>
    <t>CENTRAL VALLEY</t>
  </si>
  <si>
    <t xml:space="preserve">CHAPPAQUA CSD </t>
  </si>
  <si>
    <t>CHARLOTTE VALL</t>
  </si>
  <si>
    <t>CHATEAUGAY CSD</t>
  </si>
  <si>
    <t xml:space="preserve">CHATHAM CSD   </t>
  </si>
  <si>
    <t>CHAUTAUQUA LAK</t>
  </si>
  <si>
    <t xml:space="preserve">CHAZY UFSD    </t>
  </si>
  <si>
    <t>CHEEKTOWAGA CS</t>
  </si>
  <si>
    <t>CHEEKTOWAGA-MA</t>
  </si>
  <si>
    <t>CHEEKTOWAGA-SL</t>
  </si>
  <si>
    <t>CHENANGO FORKS</t>
  </si>
  <si>
    <t>CHENANGO VALLE</t>
  </si>
  <si>
    <t>CHERRY VALLEY-</t>
  </si>
  <si>
    <t xml:space="preserve">CHESTER UFSD  </t>
  </si>
  <si>
    <t>CHITTENANGO CS</t>
  </si>
  <si>
    <t>CHURCHVILLE-CH</t>
  </si>
  <si>
    <t>CINCINNATUS CS</t>
  </si>
  <si>
    <t xml:space="preserve">CLARENCE CSD  </t>
  </si>
  <si>
    <t>CLARKSTOWN CSD</t>
  </si>
  <si>
    <t>CLEVELAND HILL</t>
  </si>
  <si>
    <t>CLIFTON-FINE C</t>
  </si>
  <si>
    <t xml:space="preserve">CLINTON CSD   </t>
  </si>
  <si>
    <t>CLYDE-SAVANNAH</t>
  </si>
  <si>
    <t xml:space="preserve">CLYMER CSD    </t>
  </si>
  <si>
    <t>COBLESKILL-RIC</t>
  </si>
  <si>
    <t>COHOES CITY SD</t>
  </si>
  <si>
    <t>COLD SPRING HA</t>
  </si>
  <si>
    <t>COLTON-PIERREP</t>
  </si>
  <si>
    <t xml:space="preserve">COMMACK UFSD  </t>
  </si>
  <si>
    <t>CONNETQUOT CSD</t>
  </si>
  <si>
    <t>COOPERSTOWN CS</t>
  </si>
  <si>
    <t>COPENHAGEN CSD</t>
  </si>
  <si>
    <t xml:space="preserve">COPIAGUE UFSD </t>
  </si>
  <si>
    <t xml:space="preserve">CORINTH CSD   </t>
  </si>
  <si>
    <t>CORNING CITY S</t>
  </si>
  <si>
    <t xml:space="preserve">CORNWALL CSD  </t>
  </si>
  <si>
    <t xml:space="preserve">CORTLAND CITY </t>
  </si>
  <si>
    <t>COXSACKIE-ATHE</t>
  </si>
  <si>
    <t xml:space="preserve">CROTON-HARMON </t>
  </si>
  <si>
    <t>CROWN POINT CS</t>
  </si>
  <si>
    <t xml:space="preserve">CUBA-RUSHFORD </t>
  </si>
  <si>
    <t>DALTON-NUNDA C</t>
  </si>
  <si>
    <t xml:space="preserve">DANSVILLE CSD </t>
  </si>
  <si>
    <t>DEER PARK UFSD</t>
  </si>
  <si>
    <t>DELAWARE ACADE</t>
  </si>
  <si>
    <t xml:space="preserve">DEPEW UFSD    </t>
  </si>
  <si>
    <t xml:space="preserve">DEPOSIT CSD   </t>
  </si>
  <si>
    <t xml:space="preserve">DERUYTER CSD  </t>
  </si>
  <si>
    <t>DOBBS FERRY UF</t>
  </si>
  <si>
    <t>DOLGEVILLE CSD</t>
  </si>
  <si>
    <t xml:space="preserve">DOVER UFSD    </t>
  </si>
  <si>
    <t>DOWNSVILLE CSD</t>
  </si>
  <si>
    <t xml:space="preserve">DRYDEN CSD    </t>
  </si>
  <si>
    <t>DUANESBURG CSD</t>
  </si>
  <si>
    <t>DUNKIRK CITY S</t>
  </si>
  <si>
    <t>EAST AURORA UF</t>
  </si>
  <si>
    <t>EAST BLOOMFIEL</t>
  </si>
  <si>
    <t>EAST GREENBUSH</t>
  </si>
  <si>
    <t>EAST HAMPTON U</t>
  </si>
  <si>
    <t>EAST IRONDEQUO</t>
  </si>
  <si>
    <t>EAST ISLIP UFS</t>
  </si>
  <si>
    <t>EAST MEADOW UF</t>
  </si>
  <si>
    <t xml:space="preserve">EAST MORICHES </t>
  </si>
  <si>
    <t>EAST QUOGUE UF</t>
  </si>
  <si>
    <t>EAST RAMAPO CS</t>
  </si>
  <si>
    <t>EAST ROCHESTER</t>
  </si>
  <si>
    <t xml:space="preserve">EAST ROCKAWAY </t>
  </si>
  <si>
    <t xml:space="preserve">EAST SYRACUSE </t>
  </si>
  <si>
    <t>EAST WILLISTON</t>
  </si>
  <si>
    <t>EASTCHESTER UF</t>
  </si>
  <si>
    <t>EASTPORT-SOUTH</t>
  </si>
  <si>
    <t xml:space="preserve">EDEN CSD      </t>
  </si>
  <si>
    <t xml:space="preserve">EDGEMONT UFSD </t>
  </si>
  <si>
    <t>EDINBURG COMMO</t>
  </si>
  <si>
    <t xml:space="preserve">EDMESTON CSD  </t>
  </si>
  <si>
    <t>EDWARDS-KNOX C</t>
  </si>
  <si>
    <t xml:space="preserve">ELBA CSD      </t>
  </si>
  <si>
    <t xml:space="preserve">ELDRED CSD    </t>
  </si>
  <si>
    <t>ELIZABETHTOWN-</t>
  </si>
  <si>
    <t>ELLENVILLE CSD</t>
  </si>
  <si>
    <t xml:space="preserve">ELLICOTTVILLE </t>
  </si>
  <si>
    <t>ELMIRA CITY SD</t>
  </si>
  <si>
    <t>ELMIRA HEIGHTS</t>
  </si>
  <si>
    <t xml:space="preserve">ELMONT UFSD   </t>
  </si>
  <si>
    <t xml:space="preserve">ELMSFORD UFSD </t>
  </si>
  <si>
    <t xml:space="preserve">ELWOOD UFSD   </t>
  </si>
  <si>
    <t>EVANS-BRANT CS</t>
  </si>
  <si>
    <t xml:space="preserve">FABIUS-POMPEY </t>
  </si>
  <si>
    <t xml:space="preserve">FAIRPORT CSD  </t>
  </si>
  <si>
    <t xml:space="preserve">FALCONER CSD  </t>
  </si>
  <si>
    <t xml:space="preserve">FALLSBURG CSD </t>
  </si>
  <si>
    <t>FARMINGDALE UF</t>
  </si>
  <si>
    <t>FAYETTEVILLE-M</t>
  </si>
  <si>
    <t xml:space="preserve">FILLMORE CSD  </t>
  </si>
  <si>
    <t>FIRE ISLAND UF</t>
  </si>
  <si>
    <t>FISHERS ISLAND</t>
  </si>
  <si>
    <t>FLORAL PARK-BE</t>
  </si>
  <si>
    <t xml:space="preserve">FLORIDA UFSD  </t>
  </si>
  <si>
    <t>FONDA-FULTONVI</t>
  </si>
  <si>
    <t>FORESTVILLE CS</t>
  </si>
  <si>
    <t xml:space="preserve">FORT ANN CSD  </t>
  </si>
  <si>
    <t>FORT EDWARD UF</t>
  </si>
  <si>
    <t>FORT PLAIN CSD</t>
  </si>
  <si>
    <t>FRANKFORT-SCHU</t>
  </si>
  <si>
    <t xml:space="preserve">FRANKLIN CSD  </t>
  </si>
  <si>
    <t>FRANKLIN SQUAR</t>
  </si>
  <si>
    <t xml:space="preserve">FRANKLINVILLE </t>
  </si>
  <si>
    <t xml:space="preserve">FREDONIA CSD  </t>
  </si>
  <si>
    <t xml:space="preserve">FREEPORT UFSD </t>
  </si>
  <si>
    <t xml:space="preserve">FREWSBURG CSD </t>
  </si>
  <si>
    <t>FRIENDSHIP CSD</t>
  </si>
  <si>
    <t xml:space="preserve">FRONTIER CSD  </t>
  </si>
  <si>
    <t>FULTON CITY SD</t>
  </si>
  <si>
    <t xml:space="preserve">GANANDA CSD   </t>
  </si>
  <si>
    <t>GARDEN CITY UF</t>
  </si>
  <si>
    <t xml:space="preserve">GARRISON UFSD </t>
  </si>
  <si>
    <t>GATES-CHILI CS</t>
  </si>
  <si>
    <t xml:space="preserve">GENERAL BROWN </t>
  </si>
  <si>
    <t>GENESEE VALLEY</t>
  </si>
  <si>
    <t xml:space="preserve">GENESEO CSD   </t>
  </si>
  <si>
    <t>GENEVA CITY SD</t>
  </si>
  <si>
    <t>GEORGETOWN-SOU</t>
  </si>
  <si>
    <t>GERMANTOWN CSD</t>
  </si>
  <si>
    <t>GILBERTSVILLE-</t>
  </si>
  <si>
    <t>GILBOA-CONESVI</t>
  </si>
  <si>
    <t>GLEN COVE CITY</t>
  </si>
  <si>
    <t>GLENS FALLS CI</t>
  </si>
  <si>
    <t>GLENS FALLS CO</t>
  </si>
  <si>
    <t>GLOVERSVILLE C</t>
  </si>
  <si>
    <t>GORHAM-MIDDLES</t>
  </si>
  <si>
    <t xml:space="preserve">GOSHEN CSD    </t>
  </si>
  <si>
    <t>GOUVERNEUR CSD</t>
  </si>
  <si>
    <t xml:space="preserve">GOWANDA CSD   </t>
  </si>
  <si>
    <t>GRAND ISLAND C</t>
  </si>
  <si>
    <t xml:space="preserve">GRANVILLE CSD </t>
  </si>
  <si>
    <t>GREAT NECK UFS</t>
  </si>
  <si>
    <t xml:space="preserve">GREECE CSD    </t>
  </si>
  <si>
    <t>GREEN ISLAND U</t>
  </si>
  <si>
    <t>GREENBURGH CSD</t>
  </si>
  <si>
    <t xml:space="preserve">GREENE CSD    </t>
  </si>
  <si>
    <t>GREENPORT UFSD</t>
  </si>
  <si>
    <t>GREENVILLE CSD</t>
  </si>
  <si>
    <t xml:space="preserve">GREENWICH CSD </t>
  </si>
  <si>
    <t>GREENWOOD LAKE</t>
  </si>
  <si>
    <t xml:space="preserve">GROTON CSD    </t>
  </si>
  <si>
    <t>GUILDERLAND CS</t>
  </si>
  <si>
    <t>HADLEY-LUZERNE</t>
  </si>
  <si>
    <t xml:space="preserve">HALDANE CSD   </t>
  </si>
  <si>
    <t>HALF HOLLOW HI</t>
  </si>
  <si>
    <t xml:space="preserve">HAMBURG CSD   </t>
  </si>
  <si>
    <t xml:space="preserve">HAMILTON CSD  </t>
  </si>
  <si>
    <t xml:space="preserve">HAMMOND CSD   </t>
  </si>
  <si>
    <t>HAMMONDSPORT C</t>
  </si>
  <si>
    <t>HAMPTON BAYS U</t>
  </si>
  <si>
    <t xml:space="preserve">HANCOCK CSD   </t>
  </si>
  <si>
    <t xml:space="preserve">HANNIBAL CSD  </t>
  </si>
  <si>
    <t>HARBORFIELDS C</t>
  </si>
  <si>
    <t>HARPURSVILLE C</t>
  </si>
  <si>
    <t xml:space="preserve">HARRISON CSD  </t>
  </si>
  <si>
    <t>HARRISVILLE CS</t>
  </si>
  <si>
    <t xml:space="preserve">HARTFORD CSD  </t>
  </si>
  <si>
    <t>HASTINGS-ON-HU</t>
  </si>
  <si>
    <t>HAUPPAUGE UFSD</t>
  </si>
  <si>
    <t>HAVERSTRAW-STO</t>
  </si>
  <si>
    <t>HEMPSTEAD UFSD</t>
  </si>
  <si>
    <t>HENDRICK HUDSO</t>
  </si>
  <si>
    <t xml:space="preserve">HERKIMER CSD  </t>
  </si>
  <si>
    <t xml:space="preserve">HERMON-DEKALB </t>
  </si>
  <si>
    <t xml:space="preserve">HERRICKS UFSD </t>
  </si>
  <si>
    <t xml:space="preserve">HEUVELTON CSD </t>
  </si>
  <si>
    <t>HEWLETT-WOODME</t>
  </si>
  <si>
    <t>HICKSVILLE UFS</t>
  </si>
  <si>
    <t xml:space="preserve">HIGHLAND CSD  </t>
  </si>
  <si>
    <t>HIGHLAND FALLS</t>
  </si>
  <si>
    <t xml:space="preserve">HILTON CSD    </t>
  </si>
  <si>
    <t xml:space="preserve">HINSDALE CSD  </t>
  </si>
  <si>
    <t xml:space="preserve">HOLLAND CSD   </t>
  </si>
  <si>
    <t>HOLLAND PATENT</t>
  </si>
  <si>
    <t xml:space="preserve">HOLLEY CSD    </t>
  </si>
  <si>
    <t xml:space="preserve">HOMER CSD     </t>
  </si>
  <si>
    <t xml:space="preserve">HONEOYE CSD   </t>
  </si>
  <si>
    <t>HONEOYE FALLS-</t>
  </si>
  <si>
    <t xml:space="preserve">HOOSIC VALLEY </t>
  </si>
  <si>
    <t xml:space="preserve">HOOSICK FALLS </t>
  </si>
  <si>
    <t>HORNELL CITY S</t>
  </si>
  <si>
    <t>HORSEHEADS CSD</t>
  </si>
  <si>
    <t>HUDSON CITY SD</t>
  </si>
  <si>
    <t>HUDSON FALLS C</t>
  </si>
  <si>
    <t>HUNTER-TANNERS</t>
  </si>
  <si>
    <t>HUNTINGTON UFS</t>
  </si>
  <si>
    <t xml:space="preserve">HYDE PARK CSD </t>
  </si>
  <si>
    <t>INDIAN LAKE CS</t>
  </si>
  <si>
    <t>INDIAN RIVER C</t>
  </si>
  <si>
    <t xml:space="preserve">IROQUOIS CSD  </t>
  </si>
  <si>
    <t>IRVINGTON UFSD</t>
  </si>
  <si>
    <t>ISLAND PARK UF</t>
  </si>
  <si>
    <t>ISLAND TREES U</t>
  </si>
  <si>
    <t xml:space="preserve">ISLIP UFSD    </t>
  </si>
  <si>
    <t>ITHACA CITY SD</t>
  </si>
  <si>
    <t>JAMESTOWN CITY</t>
  </si>
  <si>
    <t>JAMESVILLE-DEW</t>
  </si>
  <si>
    <t>JASPER-TROUPSB</t>
  </si>
  <si>
    <t xml:space="preserve">JEFFERSON CSD </t>
  </si>
  <si>
    <t xml:space="preserve">JERICHO UFSD  </t>
  </si>
  <si>
    <t xml:space="preserve">JOHNSBURG CSD </t>
  </si>
  <si>
    <t>JOHNSON CITY C</t>
  </si>
  <si>
    <t>JOHNSTOWN CITY</t>
  </si>
  <si>
    <t>JORDAN-ELBRIDG</t>
  </si>
  <si>
    <t>KATONAH-LEWISB</t>
  </si>
  <si>
    <t xml:space="preserve">KEENE CSD     </t>
  </si>
  <si>
    <t xml:space="preserve">KENDALL CSD   </t>
  </si>
  <si>
    <t>KENMORE-TONAWA</t>
  </si>
  <si>
    <t>KINDERHOOK CSD</t>
  </si>
  <si>
    <t>KINGS PARK CSD</t>
  </si>
  <si>
    <t xml:space="preserve">KINGSTON CITY </t>
  </si>
  <si>
    <t>KIRYAS JOEL VI</t>
  </si>
  <si>
    <t xml:space="preserve">LA FARGEVILLE </t>
  </si>
  <si>
    <t>LACKAWANNA CIT</t>
  </si>
  <si>
    <t xml:space="preserve">LAFAYETTE CSD </t>
  </si>
  <si>
    <t>LAKE GEORGE CS</t>
  </si>
  <si>
    <t>LAKE PLACID CS</t>
  </si>
  <si>
    <t xml:space="preserve">LAKE PLEASANT </t>
  </si>
  <si>
    <t xml:space="preserve">LAKELAND CSD  </t>
  </si>
  <si>
    <t xml:space="preserve">LANCASTER CSD </t>
  </si>
  <si>
    <t xml:space="preserve">LANSING CSD   </t>
  </si>
  <si>
    <t>LANSINGBURGH C</t>
  </si>
  <si>
    <t xml:space="preserve">LAURENS CSD   </t>
  </si>
  <si>
    <t xml:space="preserve">LAWRENCE UFSD </t>
  </si>
  <si>
    <t xml:space="preserve">LE ROY CSD    </t>
  </si>
  <si>
    <t>LETCHWORTH CSD</t>
  </si>
  <si>
    <t>LEVITTOWN UFSD</t>
  </si>
  <si>
    <t>LEWISTON-PORTE</t>
  </si>
  <si>
    <t xml:space="preserve">LIBERTY CSD   </t>
  </si>
  <si>
    <t>LINDENHURST UF</t>
  </si>
  <si>
    <t xml:space="preserve">LISBON CSD    </t>
  </si>
  <si>
    <t>LITTLE FALLS C</t>
  </si>
  <si>
    <t xml:space="preserve">LIVERPOOL CSD </t>
  </si>
  <si>
    <t>LIVINGSTON MAN</t>
  </si>
  <si>
    <t xml:space="preserve">LIVONIA CSD   </t>
  </si>
  <si>
    <t xml:space="preserve">LOCKPORT CITY </t>
  </si>
  <si>
    <t xml:space="preserve">LOCUST VALLEY </t>
  </si>
  <si>
    <t>LONG BEACH CIT</t>
  </si>
  <si>
    <t xml:space="preserve">LONG LAKE CSD </t>
  </si>
  <si>
    <t xml:space="preserve">LONGWOOD CSD  </t>
  </si>
  <si>
    <t>LOWVILLE ACADE</t>
  </si>
  <si>
    <t xml:space="preserve">LYME CSD      </t>
  </si>
  <si>
    <t xml:space="preserve">LYNBROOK UFSD </t>
  </si>
  <si>
    <t xml:space="preserve">LYNCOURT UFSD </t>
  </si>
  <si>
    <t>LYNDONVILLE CS</t>
  </si>
  <si>
    <t xml:space="preserve">LYONS CSD     </t>
  </si>
  <si>
    <t xml:space="preserve">MADISON CSD   </t>
  </si>
  <si>
    <t>MADRID-WADDING</t>
  </si>
  <si>
    <t xml:space="preserve">MAHOPAC CSD   </t>
  </si>
  <si>
    <t xml:space="preserve">MAINE-ENDWELL </t>
  </si>
  <si>
    <t xml:space="preserve">MALONE CSD    </t>
  </si>
  <si>
    <t xml:space="preserve">MALVERNE UFSD </t>
  </si>
  <si>
    <t>MAMARONECK UFS</t>
  </si>
  <si>
    <t>MANCHESTER-SHO</t>
  </si>
  <si>
    <t>MANHASSET UFSD</t>
  </si>
  <si>
    <t xml:space="preserve">MARATHON CSD  </t>
  </si>
  <si>
    <t xml:space="preserve">MARCELLUS CSD </t>
  </si>
  <si>
    <t xml:space="preserve">MARGARETVILLE </t>
  </si>
  <si>
    <t xml:space="preserve">MARION CSD    </t>
  </si>
  <si>
    <t xml:space="preserve">MARLBORO CSD  </t>
  </si>
  <si>
    <t>MASSAPEQUA UFS</t>
  </si>
  <si>
    <t xml:space="preserve">MASSENA CSD   </t>
  </si>
  <si>
    <t>MATTITUCK-CUTC</t>
  </si>
  <si>
    <t xml:space="preserve">MAYFIELD CSD  </t>
  </si>
  <si>
    <t xml:space="preserve">MCGRAW CSD    </t>
  </si>
  <si>
    <t xml:space="preserve">MECHANICVILLE </t>
  </si>
  <si>
    <t xml:space="preserve">MEDINA CSD    </t>
  </si>
  <si>
    <t xml:space="preserve">MENANDS UFSD  </t>
  </si>
  <si>
    <t xml:space="preserve">MERRICK UFSD  </t>
  </si>
  <si>
    <t xml:space="preserve">MEXICO CSD    </t>
  </si>
  <si>
    <t>MIDDLE COUNTRY</t>
  </si>
  <si>
    <t>MIDDLEBURGH CS</t>
  </si>
  <si>
    <t>MIDDLETOWN CIT</t>
  </si>
  <si>
    <t xml:space="preserve">MILFORD CSD   </t>
  </si>
  <si>
    <t xml:space="preserve">MILLBROOK CSD </t>
  </si>
  <si>
    <t>MILLER PLACE U</t>
  </si>
  <si>
    <t xml:space="preserve">MINEOLA UFSD  </t>
  </si>
  <si>
    <t xml:space="preserve">MINERVA CSD   </t>
  </si>
  <si>
    <t>MINISINK VALLE</t>
  </si>
  <si>
    <t>MONROE-WOODBUR</t>
  </si>
  <si>
    <t xml:space="preserve">MONTAUK UFSD  </t>
  </si>
  <si>
    <t>MONTICELLO CSD</t>
  </si>
  <si>
    <t xml:space="preserve">MORAVIA CSD   </t>
  </si>
  <si>
    <t xml:space="preserve">MORIAH CSD    </t>
  </si>
  <si>
    <t xml:space="preserve">MORRIS CSD    </t>
  </si>
  <si>
    <t>MORRISTOWN CSD</t>
  </si>
  <si>
    <t>MORRISVILLE-EA</t>
  </si>
  <si>
    <t xml:space="preserve">MOUNT MARKHAM </t>
  </si>
  <si>
    <t xml:space="preserve">MT MORRIS CSD </t>
  </si>
  <si>
    <t>MT PLEASANT CS</t>
  </si>
  <si>
    <t xml:space="preserve">MT SINAI UFSD </t>
  </si>
  <si>
    <t>MT VERNON SCHO</t>
  </si>
  <si>
    <t xml:space="preserve">NANUET UFSD   </t>
  </si>
  <si>
    <t xml:space="preserve">NAPLES CSD    </t>
  </si>
  <si>
    <t>NEW HARTFORD C</t>
  </si>
  <si>
    <t>NEW HYDE PARK-</t>
  </si>
  <si>
    <t>NEW LEBANON CS</t>
  </si>
  <si>
    <t xml:space="preserve">NEW PALTZ CSD </t>
  </si>
  <si>
    <t>NEW ROCHELLE C</t>
  </si>
  <si>
    <t xml:space="preserve">NEWARK CSD    </t>
  </si>
  <si>
    <t xml:space="preserve">NEWARK VALLEY </t>
  </si>
  <si>
    <t xml:space="preserve">NEWBURGH CITY </t>
  </si>
  <si>
    <t xml:space="preserve">NEWCOMB CSD   </t>
  </si>
  <si>
    <t xml:space="preserve">NEWFANE CSD   </t>
  </si>
  <si>
    <t xml:space="preserve">NEWFIELD CSD  </t>
  </si>
  <si>
    <t xml:space="preserve">NIAGARA FALLS </t>
  </si>
  <si>
    <t>NIAGARA-WHEATF</t>
  </si>
  <si>
    <t xml:space="preserve">NISKAYUNA CSD </t>
  </si>
  <si>
    <t xml:space="preserve">NORTH BABYLON </t>
  </si>
  <si>
    <t>NORTH BELLMORE</t>
  </si>
  <si>
    <t xml:space="preserve">NORTH COLLINS </t>
  </si>
  <si>
    <t xml:space="preserve">NORTH COLONIE </t>
  </si>
  <si>
    <t xml:space="preserve">NORTH MERRICK </t>
  </si>
  <si>
    <t>NORTH ROSE-WOL</t>
  </si>
  <si>
    <t>NORTH SALEM CS</t>
  </si>
  <si>
    <t>NORTH SHORE CS</t>
  </si>
  <si>
    <t>NORTH SYRACUSE</t>
  </si>
  <si>
    <t>NORTH TONAWAND</t>
  </si>
  <si>
    <t>NORTH WARREN C</t>
  </si>
  <si>
    <t xml:space="preserve">NORTHEAST CSD </t>
  </si>
  <si>
    <t>NORTHEASTERN C</t>
  </si>
  <si>
    <t>NORTHERN ADIRO</t>
  </si>
  <si>
    <t>NORTHPORT-EAST</t>
  </si>
  <si>
    <t>NORTHVILLE CSD</t>
  </si>
  <si>
    <t>NORWICH CITY S</t>
  </si>
  <si>
    <t>NORWOOD-NORFOL</t>
  </si>
  <si>
    <t xml:space="preserve">NY MILLS UFSD </t>
  </si>
  <si>
    <t xml:space="preserve">NYACK UFSD    </t>
  </si>
  <si>
    <t>OAKFIELD-ALABA</t>
  </si>
  <si>
    <t>OCEANSIDE UFSD</t>
  </si>
  <si>
    <t>ODESSA-MONTOUR</t>
  </si>
  <si>
    <t>OGDENSBURG CIT</t>
  </si>
  <si>
    <t xml:space="preserve">OLEAN CITY SD </t>
  </si>
  <si>
    <t>ONEIDA CITY SD</t>
  </si>
  <si>
    <t>ONEONTA CITY S</t>
  </si>
  <si>
    <t xml:space="preserve">ONONDAGA CSD  </t>
  </si>
  <si>
    <t xml:space="preserve">ONTEORA CSD   </t>
  </si>
  <si>
    <t>OPPENHEIM-EPHR</t>
  </si>
  <si>
    <t>ORCHARD PARK C</t>
  </si>
  <si>
    <t xml:space="preserve">ORISKANY CSD  </t>
  </si>
  <si>
    <t xml:space="preserve">OSSINING UFSD </t>
  </si>
  <si>
    <t>OSWEGO CITY SD</t>
  </si>
  <si>
    <t>OTEGO-UNADILLA</t>
  </si>
  <si>
    <t>OWEGO-APALACHI</t>
  </si>
  <si>
    <t>OXFORD ACADEMY</t>
  </si>
  <si>
    <t>OYSTER BAY-EAS</t>
  </si>
  <si>
    <t>OYSTERPONDS UF</t>
  </si>
  <si>
    <t>PALMYRA-MACEDO</t>
  </si>
  <si>
    <t xml:space="preserve">PANAMA CSD    </t>
  </si>
  <si>
    <t>PARISHVILLE-HO</t>
  </si>
  <si>
    <t>PATCHOGUE-MEDF</t>
  </si>
  <si>
    <t xml:space="preserve">PAVILION CSD  </t>
  </si>
  <si>
    <t xml:space="preserve">PAWLING CSD   </t>
  </si>
  <si>
    <t>PEARL RIVER UF</t>
  </si>
  <si>
    <t>PEEKSKILL CITY</t>
  </si>
  <si>
    <t xml:space="preserve">PELHAM UFSD   </t>
  </si>
  <si>
    <t xml:space="preserve">PEMBROKE CSD  </t>
  </si>
  <si>
    <t xml:space="preserve">PENFIELD CSD  </t>
  </si>
  <si>
    <t xml:space="preserve">PENN YAN CSD  </t>
  </si>
  <si>
    <t xml:space="preserve">PERRY CSD     </t>
  </si>
  <si>
    <t xml:space="preserve">PERU CSD      </t>
  </si>
  <si>
    <t>PHELPS-CLIFTON</t>
  </si>
  <si>
    <t xml:space="preserve">PHOENIX CSD   </t>
  </si>
  <si>
    <t xml:space="preserve">PINE BUSH CSD </t>
  </si>
  <si>
    <t>PINE PLAINS CS</t>
  </si>
  <si>
    <t>PINE VALLEY CS</t>
  </si>
  <si>
    <t xml:space="preserve">PITTSFORD CSD </t>
  </si>
  <si>
    <t>PLAINEDGE UFSD</t>
  </si>
  <si>
    <t xml:space="preserve">PLAINVIEW-OLD </t>
  </si>
  <si>
    <t>PLATTSBURGH CI</t>
  </si>
  <si>
    <t xml:space="preserve">PLEASANTVILLE </t>
  </si>
  <si>
    <t>POCANTICO HILL</t>
  </si>
  <si>
    <t xml:space="preserve">POLAND CSD    </t>
  </si>
  <si>
    <t>PORT BYRON CSD</t>
  </si>
  <si>
    <t>PORT CHESTER-R</t>
  </si>
  <si>
    <t>PORT JERVIS CI</t>
  </si>
  <si>
    <t>PORT WASHINGTO</t>
  </si>
  <si>
    <t xml:space="preserve">PORTVILLE CSD </t>
  </si>
  <si>
    <t xml:space="preserve">POTSDAM CSD   </t>
  </si>
  <si>
    <t>POUGHKEEPSIE C</t>
  </si>
  <si>
    <t>PRATTSBURGH CS</t>
  </si>
  <si>
    <t xml:space="preserve">PULASKI CSD   </t>
  </si>
  <si>
    <t xml:space="preserve">PUTNAM CSD    </t>
  </si>
  <si>
    <t xml:space="preserve">PUTNAM VALLEY </t>
  </si>
  <si>
    <t>QUEENSBURY UFS</t>
  </si>
  <si>
    <t xml:space="preserve">QUOGUE UFSD   </t>
  </si>
  <si>
    <t xml:space="preserve">RANDOLPH CSD  </t>
  </si>
  <si>
    <t>RAVENA-COEYMAN</t>
  </si>
  <si>
    <t xml:space="preserve">RED CREEK CSD </t>
  </si>
  <si>
    <t xml:space="preserve">RED HOOK CSD  </t>
  </si>
  <si>
    <t xml:space="preserve">REMSEN CSD    </t>
  </si>
  <si>
    <t>REMSENBURG-SPE</t>
  </si>
  <si>
    <t>RENSSELAER CIT</t>
  </si>
  <si>
    <t xml:space="preserve">RHINEBECK CSD </t>
  </si>
  <si>
    <t>RICHFIELD SPRI</t>
  </si>
  <si>
    <t xml:space="preserve">RIPLEY CSD    </t>
  </si>
  <si>
    <t xml:space="preserve">RIVERHEAD CSD </t>
  </si>
  <si>
    <t>ROCKVILLE CENT</t>
  </si>
  <si>
    <t>ROCKY POINT UF</t>
  </si>
  <si>
    <t xml:space="preserve">ROME CITY SD  </t>
  </si>
  <si>
    <t xml:space="preserve">ROMULUS CSD   </t>
  </si>
  <si>
    <t>RONDOUT VALLEY</t>
  </si>
  <si>
    <t>ROOSEVELT UFSD</t>
  </si>
  <si>
    <t xml:space="preserve">ROSCOE CSD    </t>
  </si>
  <si>
    <t xml:space="preserve">ROSLYN UFSD   </t>
  </si>
  <si>
    <t>ROTTERDAM-MOHO</t>
  </si>
  <si>
    <t xml:space="preserve">ROXBURY CSD   </t>
  </si>
  <si>
    <t>ROYALTON-HARTL</t>
  </si>
  <si>
    <t>RUSH-HENRIETTA</t>
  </si>
  <si>
    <t xml:space="preserve">RYE CITY SD   </t>
  </si>
  <si>
    <t xml:space="preserve">RYE NECK UFSD </t>
  </si>
  <si>
    <t xml:space="preserve">SACHEM CSD    </t>
  </si>
  <si>
    <t>SACKETS HARBOR</t>
  </si>
  <si>
    <t>SAG HARBOR UFS</t>
  </si>
  <si>
    <t>SALAMANCA CITY</t>
  </si>
  <si>
    <t xml:space="preserve">SALEM CSD     </t>
  </si>
  <si>
    <t>SALMON RIVER C</t>
  </si>
  <si>
    <t>SANDY CREEK CS</t>
  </si>
  <si>
    <t xml:space="preserve">SARANAC CSD   </t>
  </si>
  <si>
    <t>SARANAC LAKE C</t>
  </si>
  <si>
    <t>SARATOGA SPRIN</t>
  </si>
  <si>
    <t>SAUGERTIES CSD</t>
  </si>
  <si>
    <t>SAUQUOIT VALLE</t>
  </si>
  <si>
    <t xml:space="preserve">SAYVILLE UFSD </t>
  </si>
  <si>
    <t>SCARSDALE UFSD</t>
  </si>
  <si>
    <t xml:space="preserve">SCHALMONT CSD </t>
  </si>
  <si>
    <t>SCHENECTADY CI</t>
  </si>
  <si>
    <t xml:space="preserve">SCHENEVUS CSD </t>
  </si>
  <si>
    <t xml:space="preserve">SCHODACK CSD  </t>
  </si>
  <si>
    <t xml:space="preserve">SCHOHARIE CSD </t>
  </si>
  <si>
    <t>SCHROON LAKE C</t>
  </si>
  <si>
    <t xml:space="preserve">SCHUYLERVILLE </t>
  </si>
  <si>
    <t xml:space="preserve">SCIO CSD      </t>
  </si>
  <si>
    <t>SCOTIA-GLENVIL</t>
  </si>
  <si>
    <t xml:space="preserve">SEAFORD UFSD  </t>
  </si>
  <si>
    <t>SENECA FALLS C</t>
  </si>
  <si>
    <t>SEWANHAKA CENT</t>
  </si>
  <si>
    <t>SHARON SPRINGS</t>
  </si>
  <si>
    <t>SHELTER ISLAND</t>
  </si>
  <si>
    <t>SHENENDEHOWA C</t>
  </si>
  <si>
    <t>SHERBURNE-EARL</t>
  </si>
  <si>
    <t xml:space="preserve">SHERMAN CSD   </t>
  </si>
  <si>
    <t xml:space="preserve">SHERRILL CITY </t>
  </si>
  <si>
    <t>SHOREHAM-WADIN</t>
  </si>
  <si>
    <t xml:space="preserve">SIDNEY CSD    </t>
  </si>
  <si>
    <t>SILVER CREEK C</t>
  </si>
  <si>
    <t>SKANEATELES CS</t>
  </si>
  <si>
    <t xml:space="preserve">SMITHTOWN CSD </t>
  </si>
  <si>
    <t xml:space="preserve">SODUS CSD     </t>
  </si>
  <si>
    <t xml:space="preserve">SOLVAY UFSD   </t>
  </si>
  <si>
    <t xml:space="preserve">SOMERS CSD    </t>
  </si>
  <si>
    <t xml:space="preserve">SOUTH COLONIE </t>
  </si>
  <si>
    <t xml:space="preserve">SOUTH COUNTRY </t>
  </si>
  <si>
    <t>SOUTH GLENS FA</t>
  </si>
  <si>
    <t>SOUTH HUNTINGT</t>
  </si>
  <si>
    <t>SOUTH JEFFERSO</t>
  </si>
  <si>
    <t>SOUTH KORTRIGH</t>
  </si>
  <si>
    <t>SOUTH LEWIS CS</t>
  </si>
  <si>
    <t>SOUTH ORANGETO</t>
  </si>
  <si>
    <t>SOUTH SENECA C</t>
  </si>
  <si>
    <t>SOUTHAMPTON UF</t>
  </si>
  <si>
    <t>SOUTHERN CAYUG</t>
  </si>
  <si>
    <t xml:space="preserve">SOUTHOLD UFSD </t>
  </si>
  <si>
    <t>SOUTHWESTERN C</t>
  </si>
  <si>
    <t>SPACKENKILL UF</t>
  </si>
  <si>
    <t>SPENCERPORT CS</t>
  </si>
  <si>
    <t>SPENCER-VAN ET</t>
  </si>
  <si>
    <t xml:space="preserve">SPRINGS UFSD  </t>
  </si>
  <si>
    <t>SPRINGVILLE-GR</t>
  </si>
  <si>
    <t>ST REGIS FALLS</t>
  </si>
  <si>
    <t xml:space="preserve">STAMFORD CSD  </t>
  </si>
  <si>
    <t xml:space="preserve">STARPOINT CSD </t>
  </si>
  <si>
    <t>STILLWATER CSD</t>
  </si>
  <si>
    <t>STOCKBRIDGE VA</t>
  </si>
  <si>
    <t xml:space="preserve">SUFFERN CSD   </t>
  </si>
  <si>
    <t xml:space="preserve">SULLIVAN WEST </t>
  </si>
  <si>
    <t>SUSQUEHANNA VA</t>
  </si>
  <si>
    <t>SWEET HOME CSD</t>
  </si>
  <si>
    <t xml:space="preserve">SYOSSET CSD   </t>
  </si>
  <si>
    <t xml:space="preserve">TACONIC HILLS </t>
  </si>
  <si>
    <t>THOUSAND ISLAN</t>
  </si>
  <si>
    <t xml:space="preserve">THREE VILLAGE </t>
  </si>
  <si>
    <t>TICONDEROGA CS</t>
  </si>
  <si>
    <t xml:space="preserve">TIOGA CSD     </t>
  </si>
  <si>
    <t>TONAWANDA CITY</t>
  </si>
  <si>
    <t>TOWN OF WEBB U</t>
  </si>
  <si>
    <t>TRI-VALLEY CSD</t>
  </si>
  <si>
    <t xml:space="preserve">TROY CITY SD  </t>
  </si>
  <si>
    <t xml:space="preserve">TUCKAHOE COMN </t>
  </si>
  <si>
    <t xml:space="preserve">TUCKAHOE UFSD </t>
  </si>
  <si>
    <t xml:space="preserve">TULLY CSD     </t>
  </si>
  <si>
    <t>TUPPER LAKE CS</t>
  </si>
  <si>
    <t xml:space="preserve">TUXEDO UFSD   </t>
  </si>
  <si>
    <t>UFSD-TARRYTOWN</t>
  </si>
  <si>
    <t>UNADILLA VALLE</t>
  </si>
  <si>
    <t xml:space="preserve">UNION SPRINGS </t>
  </si>
  <si>
    <t>UNIONDALE UFSD</t>
  </si>
  <si>
    <t>UNION-ENDICOTT</t>
  </si>
  <si>
    <t xml:space="preserve">UTICA CITY SD </t>
  </si>
  <si>
    <t xml:space="preserve">VALHALLA UFSD </t>
  </si>
  <si>
    <t>VALLEY CSD (MO</t>
  </si>
  <si>
    <t>VAN HORNESVILL</t>
  </si>
  <si>
    <t xml:space="preserve">VESTAL CSD    </t>
  </si>
  <si>
    <t xml:space="preserve">VICTOR CSD    </t>
  </si>
  <si>
    <t xml:space="preserve">VOORHEESVILLE </t>
  </si>
  <si>
    <t xml:space="preserve">WALLKILL CSD  </t>
  </si>
  <si>
    <t xml:space="preserve">WALTON CSD    </t>
  </si>
  <si>
    <t xml:space="preserve">WANTAGH UFSD  </t>
  </si>
  <si>
    <t>WAPPINGERS CSD</t>
  </si>
  <si>
    <t>WARRENSBURG CS</t>
  </si>
  <si>
    <t xml:space="preserve">WARSAW CSD    </t>
  </si>
  <si>
    <t>WARWICK VALLEY</t>
  </si>
  <si>
    <t>WASHINGTONVILL</t>
  </si>
  <si>
    <t>WATERFORD-HALF</t>
  </si>
  <si>
    <t xml:space="preserve">WATERLOO CSD  </t>
  </si>
  <si>
    <t>WATERTOWN CITY</t>
  </si>
  <si>
    <t>WATERVILLE CSD</t>
  </si>
  <si>
    <t>WATERVLIET CIT</t>
  </si>
  <si>
    <t>WATKINS GLEN C</t>
  </si>
  <si>
    <t xml:space="preserve">WAVERLY CSD   </t>
  </si>
  <si>
    <t>WAYLAND-COHOCT</t>
  </si>
  <si>
    <t xml:space="preserve">WAYNE CSD     </t>
  </si>
  <si>
    <t xml:space="preserve">WEBSTER CSD   </t>
  </si>
  <si>
    <t xml:space="preserve">WEEDSPORT CSD </t>
  </si>
  <si>
    <t xml:space="preserve">WELLS CSD     </t>
  </si>
  <si>
    <t>WELLSVILLE CSD</t>
  </si>
  <si>
    <t>WEST BABYLON U</t>
  </si>
  <si>
    <t>WEST CANADA VA</t>
  </si>
  <si>
    <t>WEST GENESEE C</t>
  </si>
  <si>
    <t>WEST HEMPSTEAD</t>
  </si>
  <si>
    <t>WEST IRONDEQUO</t>
  </si>
  <si>
    <t>WEST ISLIP UFS</t>
  </si>
  <si>
    <t>WEST SENECA CS</t>
  </si>
  <si>
    <t>WEST VALLEY CS</t>
  </si>
  <si>
    <t xml:space="preserve">WESTBURY UFSD </t>
  </si>
  <si>
    <t xml:space="preserve">WESTFIELD CSD </t>
  </si>
  <si>
    <t>WESTHAMPTON BE</t>
  </si>
  <si>
    <t xml:space="preserve">WESTHILL CSD  </t>
  </si>
  <si>
    <t>WESTMORELAND C</t>
  </si>
  <si>
    <t xml:space="preserve">WESTPORT CSD  </t>
  </si>
  <si>
    <t>WHEATLAND-CHIL</t>
  </si>
  <si>
    <t>WHEELERVILLE U</t>
  </si>
  <si>
    <t>WHITE PLAINS C</t>
  </si>
  <si>
    <t xml:space="preserve">WHITEHALL CSD </t>
  </si>
  <si>
    <t>WHITESBORO CSD</t>
  </si>
  <si>
    <t>WHITESVILLE CS</t>
  </si>
  <si>
    <t xml:space="preserve">WHITNEY POINT </t>
  </si>
  <si>
    <t xml:space="preserve">WILLIAM FLOYD </t>
  </si>
  <si>
    <t>WILLIAMSON CSD</t>
  </si>
  <si>
    <t xml:space="preserve">WILLIAMSVILLE </t>
  </si>
  <si>
    <t xml:space="preserve">WILLSBORO CSD </t>
  </si>
  <si>
    <t xml:space="preserve">WILSON CSD    </t>
  </si>
  <si>
    <t>WINDHAM-ASHLAN</t>
  </si>
  <si>
    <t xml:space="preserve">WINDSOR CSD   </t>
  </si>
  <si>
    <t xml:space="preserve">WORCESTER CSD </t>
  </si>
  <si>
    <t>WYANDANCH UFSD</t>
  </si>
  <si>
    <t>WYNANTSKILL UF</t>
  </si>
  <si>
    <t xml:space="preserve">WYOMING CSD   </t>
  </si>
  <si>
    <t xml:space="preserve">YORK CSD      </t>
  </si>
  <si>
    <t>YORKSHIRE-PION</t>
  </si>
  <si>
    <t>BEDS CODE</t>
  </si>
  <si>
    <t>DISTRICT NAME</t>
  </si>
  <si>
    <t>RESERVE TYPE</t>
  </si>
  <si>
    <t>RESERVE NAME</t>
  </si>
  <si>
    <t>RESERVE DESCRIPTION</t>
  </si>
  <si>
    <t>3/30/2018 ACTUAL_BALANCE</t>
  </si>
  <si>
    <t>ESTIMATED 6/30/2018 ENDING_BALANCE</t>
  </si>
  <si>
    <t>INTENDED USE IN 2018-20</t>
  </si>
  <si>
    <t>010100</t>
  </si>
  <si>
    <t>Capital</t>
  </si>
  <si>
    <t>For the cost of any object or purpose for which bonds may be issued.</t>
  </si>
  <si>
    <t>N/A</t>
  </si>
  <si>
    <t>Mandatory Reserve for Debt Service</t>
  </si>
  <si>
    <t>Debt Service</t>
  </si>
  <si>
    <t>For proceeds from the sale of district capital assets or improvement, restricted to debt service.</t>
  </si>
  <si>
    <t>To Offset Principal And Interest Payments Due</t>
  </si>
  <si>
    <t>Employee Benefit Accrued Liability</t>
  </si>
  <si>
    <t>Employee Benefits</t>
  </si>
  <si>
    <t>For accrued 'employee benefits' due to employees upon termination of service.</t>
  </si>
  <si>
    <t>Liability</t>
  </si>
  <si>
    <t>Health Insurance Claims</t>
  </si>
  <si>
    <t>To cover incurred liability claims</t>
  </si>
  <si>
    <t>Tax Certiorari</t>
  </si>
  <si>
    <t>For tax certiorari settlements.</t>
  </si>
  <si>
    <t>$1,000,000 To Offset Large Tax Adjustments</t>
  </si>
  <si>
    <t>Unemployment Insurance</t>
  </si>
  <si>
    <t>For reimbursement to the State Unemployment Insurance Fund.</t>
  </si>
  <si>
    <t>$41,567 To Use Remaining Balance</t>
  </si>
  <si>
    <t>Workers Compensation</t>
  </si>
  <si>
    <t>Workers' Compensation</t>
  </si>
  <si>
    <t>For self-insured Workers Compensation and benefits.</t>
  </si>
  <si>
    <t>$170,000 To Offset Large Claims</t>
  </si>
  <si>
    <t>010201</t>
  </si>
  <si>
    <t>BERNE-KNOX-WESTERLO CSD</t>
  </si>
  <si>
    <t>Transportation</t>
  </si>
  <si>
    <t>150,000.00 Purchase Buses</t>
  </si>
  <si>
    <t>Facilities</t>
  </si>
  <si>
    <t>To Use For Capital Project</t>
  </si>
  <si>
    <t>Mandatory</t>
  </si>
  <si>
    <t>Pay Off Outstanding Debt</t>
  </si>
  <si>
    <t>Employee Benefit</t>
  </si>
  <si>
    <t>To Payout Employee Benefits Upon Retirement</t>
  </si>
  <si>
    <t>Retirement Contribution</t>
  </si>
  <si>
    <t>Spend On Retirement Contributions</t>
  </si>
  <si>
    <t>Reserve for Tax Reduction</t>
  </si>
  <si>
    <t>Tax Reduction</t>
  </si>
  <si>
    <t>For the gradual use of the proceeds of the sale of school district real property.</t>
  </si>
  <si>
    <t>To Reduce Taxes</t>
  </si>
  <si>
    <t>Unemployment</t>
  </si>
  <si>
    <t>Reimbursement For Unemployment Ins</t>
  </si>
  <si>
    <t>010306</t>
  </si>
  <si>
    <t>BETHLEHEM CSD</t>
  </si>
  <si>
    <t>2015 Capital Reserve Fund</t>
  </si>
  <si>
    <t>$4,900,000 As Approved Capital Project</t>
  </si>
  <si>
    <t>Mandatory Reserve For Debt Service</t>
  </si>
  <si>
    <t>No Intended Use In 2018/19</t>
  </si>
  <si>
    <t>Employee Benefit Accrued Liability Reserve</t>
  </si>
  <si>
    <t>Retirement Contribution Reserve</t>
  </si>
  <si>
    <t>Tax Certiorari Reserve</t>
  </si>
  <si>
    <t>Workers Compensation Reserve</t>
  </si>
  <si>
    <t>010402</t>
  </si>
  <si>
    <t>RAVENA-COEYMANS-SELKIRK CSD</t>
  </si>
  <si>
    <t>Capital Reserve</t>
  </si>
  <si>
    <t>Used For Long Range Facilities Planning. Expires In 2024</t>
  </si>
  <si>
    <t>Reserve For Debt</t>
  </si>
  <si>
    <t>Will Come Back To General Fund Fully Expires In 2018-2019</t>
  </si>
  <si>
    <t>Employee Benefit Reserve</t>
  </si>
  <si>
    <t>Utilized To Pay Post Retirement Benefits Per Collective Bargaining Agreements.</t>
  </si>
  <si>
    <t>Ers</t>
  </si>
  <si>
    <t>For employer retirement contributions to the State and Local Employees' Retirement System.</t>
  </si>
  <si>
    <t>Used To Offset Expenditures As We Reduce The Use Of Fund Balance</t>
  </si>
  <si>
    <t>Waiting Court Decisions Will Use To Offset Negative Outcome. Expires 4 Years After Established</t>
  </si>
  <si>
    <t>Unemployment Reserve</t>
  </si>
  <si>
    <t>Offset Unanticipated Spikes In Claims</t>
  </si>
  <si>
    <t>010500</t>
  </si>
  <si>
    <t>0</t>
  </si>
  <si>
    <t>Eblar Reserve</t>
  </si>
  <si>
    <t>Single Other Reserve</t>
  </si>
  <si>
    <t>Debt Service Reserve</t>
  </si>
  <si>
    <t>restricted for debt service</t>
  </si>
  <si>
    <t>643429</t>
  </si>
  <si>
    <t>Ers Reserve</t>
  </si>
  <si>
    <t>503364</t>
  </si>
  <si>
    <t>Tax Certiorri Reserve</t>
  </si>
  <si>
    <t>15000</t>
  </si>
  <si>
    <t>Workers Comp Reserve</t>
  </si>
  <si>
    <t>010601</t>
  </si>
  <si>
    <t>SOUTH COLONIE CSD</t>
  </si>
  <si>
    <t>Estimated Appropriation Of $500,000 At Fiscal Year End To Support For Future Capital Projects.</t>
  </si>
  <si>
    <t>Reserve May Be Used To Pay Employees For Accrued Benefits Payable At Retirement/Termination In 2018-19 School Year.  Amount Unknown At This Time.</t>
  </si>
  <si>
    <t>Insurance</t>
  </si>
  <si>
    <t>Uninsured Losses</t>
  </si>
  <si>
    <t>For liability, casualty, and other types of uninsured losses.</t>
  </si>
  <si>
    <t>Reserve Will Be Used To Cover The Cost Of Uninsured Losses In 2018-19.</t>
  </si>
  <si>
    <t>Admin. Disability</t>
  </si>
  <si>
    <t>No Planned Use For 2018-19.</t>
  </si>
  <si>
    <t>Ret. Contrib. - Ers</t>
  </si>
  <si>
    <t>Appropriation Of $350,000 To Support 2018-19 General Fund Employees' Retirement System (Ers) Pension Costs.</t>
  </si>
  <si>
    <t>Tax Litigation</t>
  </si>
  <si>
    <t>Appropriations Will Be Made To Pay For Tax Certiorari Claims Settled Via Court Order Or Settlement Agreement During The 2018-19 School Year.  Actual Amounts Will Vary Based On Final Settlements.</t>
  </si>
  <si>
    <t>No Planned Expenses For 2018-19.</t>
  </si>
  <si>
    <t>Appropriation Of $250,000 To Support 2018-19 General Fund Workers' Compensation Expenses.</t>
  </si>
  <si>
    <t>010615</t>
  </si>
  <si>
    <t>MENANDS UFSD</t>
  </si>
  <si>
    <t>Employee Benefit Liability</t>
  </si>
  <si>
    <t>None</t>
  </si>
  <si>
    <t>Repair</t>
  </si>
  <si>
    <t>For the cost of repairs to capital improvements or equipment.</t>
  </si>
  <si>
    <t>Retirement Contributions</t>
  </si>
  <si>
    <t>50,000 Intended Appropriated Reserve For Budget</t>
  </si>
  <si>
    <t>Potential Settlements</t>
  </si>
  <si>
    <t>Worker Compensation</t>
  </si>
  <si>
    <t>010623</t>
  </si>
  <si>
    <t>NORTH COLONIE CSD</t>
  </si>
  <si>
    <t>2018 Capital Reserve</t>
  </si>
  <si>
    <t>Creation Will Be Presented To Voters For Approval And, If Approved, The District Anticipates Funding Before 6/30/18 In The Amount Of $3,000,000</t>
  </si>
  <si>
    <t>Debt Reserve</t>
  </si>
  <si>
    <t>Used For The Purpose Of Retiring Outstanding Debt Service. No Planned Use.</t>
  </si>
  <si>
    <t>Employee Benefit Liability Reserve</t>
  </si>
  <si>
    <t>Used To Pay Accrued Benefits Upon Employee Termination To The Extent Required.  Planned Use Of $50,000.</t>
  </si>
  <si>
    <t>Used For Funding Employee Retirement System Contributions.  Planned Use Of $200,000.</t>
  </si>
  <si>
    <t>Used To Meet Anticipated Judgements From Tax Certioraryiproceedings To The Extent Required.</t>
  </si>
  <si>
    <t>Unemployment Insurance Reserve</t>
  </si>
  <si>
    <t>Used For Reimbursing The State Unemployment Insurance Fund For Payments Made To Claimants.  No Planned Use.</t>
  </si>
  <si>
    <t>Used To Pay Compensation Benefits And Administrative Expenses Of The Self-Insurance Program.  No Planned Use.</t>
  </si>
  <si>
    <t>010701</t>
  </si>
  <si>
    <t>GREEN ISLAND UFSD</t>
  </si>
  <si>
    <t>No Reserve</t>
  </si>
  <si>
    <t>80689</t>
  </si>
  <si>
    <t>Anticipated Increase In Reserve</t>
  </si>
  <si>
    <t>Reserve for Insurance Recoveries</t>
  </si>
  <si>
    <t>For unexpended proceeds of insurance recoveries at fiscal year end.</t>
  </si>
  <si>
    <t>Property Loss</t>
  </si>
  <si>
    <t>To cover property loss.</t>
  </si>
  <si>
    <t>17443</t>
  </si>
  <si>
    <t>No Intended Use Of Reserve</t>
  </si>
  <si>
    <t>295000</t>
  </si>
  <si>
    <t>Hopefully Do Not Have To Use In 18-19 On Outstanding Tax Certs</t>
  </si>
  <si>
    <t>Reserve for Uncollected Taxes</t>
  </si>
  <si>
    <t>For unpaid taxes due certain city school districts not reimbursed by their city/county until the following fiscal year.</t>
  </si>
  <si>
    <t>25000</t>
  </si>
  <si>
    <t>010802</t>
  </si>
  <si>
    <t>GUILDERLAND CSD</t>
  </si>
  <si>
    <t>Capital Reserve 2017</t>
  </si>
  <si>
    <t>$0</t>
  </si>
  <si>
    <t>$25,000</t>
  </si>
  <si>
    <t>$20,000</t>
  </si>
  <si>
    <t>Workers Comp</t>
  </si>
  <si>
    <t>$125,000</t>
  </si>
  <si>
    <t>011003</t>
  </si>
  <si>
    <t>VOORHEESVILLE CSD</t>
  </si>
  <si>
    <t>Capital Project Vote In May</t>
  </si>
  <si>
    <t>Reserve For Bonded Debt</t>
  </si>
  <si>
    <t>No Planned Use For Next School Year</t>
  </si>
  <si>
    <t>Reserve For Encumbrances</t>
  </si>
  <si>
    <t>For roll over purchase orders</t>
  </si>
  <si>
    <t>For Purchase Orders That Roll Over</t>
  </si>
  <si>
    <t>Repair Reserve</t>
  </si>
  <si>
    <t>Use For Non Budgeted Repairs</t>
  </si>
  <si>
    <t>For Ers Rate Increases</t>
  </si>
  <si>
    <t>Reserve For Tax Certiorari</t>
  </si>
  <si>
    <t>Segmented District Had Equalization Rate Issue Dozens Of Grievances Filed</t>
  </si>
  <si>
    <t>Needed In Case We Have Unexpected Claims</t>
  </si>
  <si>
    <t>011200</t>
  </si>
  <si>
    <t>WATERVLIET CITY SD</t>
  </si>
  <si>
    <t>Ebalr Reserve</t>
  </si>
  <si>
    <t>020101</t>
  </si>
  <si>
    <t>ALFRED-ALMOND CSD</t>
  </si>
  <si>
    <t>Reserve For Capital Reserve</t>
  </si>
  <si>
    <t>Use For Capital Outlay Pending Voter Approval</t>
  </si>
  <si>
    <t>The District Will Use Funds From This Reserve In The Event A Need Arises</t>
  </si>
  <si>
    <t>Employee Accrued Liability</t>
  </si>
  <si>
    <t>Offset Cost Of Offered Retirement Incentive</t>
  </si>
  <si>
    <t>Reserve For Unemployment</t>
  </si>
  <si>
    <t>020601</t>
  </si>
  <si>
    <t>ANDOVER CSD</t>
  </si>
  <si>
    <t>2017 Bus Purchase Reserve</t>
  </si>
  <si>
    <t>Capital Reserve 2016</t>
  </si>
  <si>
    <t>Utilized In 2017-18</t>
  </si>
  <si>
    <t>Bus Purchase Reserve</t>
  </si>
  <si>
    <t>122000 For Bus And 35000 For Car - Voter Approval</t>
  </si>
  <si>
    <t>Employee Benefit Accrued Liab.</t>
  </si>
  <si>
    <t>Utilize 15,000 By Budget Approval</t>
  </si>
  <si>
    <t>Property Loss &amp; Liab.</t>
  </si>
  <si>
    <t>Moved To Capital And Dissolved - Voter Approval</t>
  </si>
  <si>
    <t>Utilize 25,000  By Budget Approval</t>
  </si>
  <si>
    <t>Utilize 5,560 By Budget Approval</t>
  </si>
  <si>
    <t>020702</t>
  </si>
  <si>
    <t xml:space="preserve">GENESEE VALLEY CSD </t>
  </si>
  <si>
    <t>Transportation Reserve</t>
  </si>
  <si>
    <t>To Purchase Additional School Bus.</t>
  </si>
  <si>
    <t>Capital Improvements Reserve</t>
  </si>
  <si>
    <t>Contingent Upon Public Vote On 5/15/18. Do Not Intend To Use During The 2018-19 School Year.</t>
  </si>
  <si>
    <t>Reserve For Debt Services</t>
  </si>
  <si>
    <t>To Pay Down District Debt.</t>
  </si>
  <si>
    <t>Reserve For Compensated Absences</t>
  </si>
  <si>
    <t>To Pay Employees For Accrued Unused Sick, Personal, And Vacation Time Upon Termination Of Employment.</t>
  </si>
  <si>
    <t>Reserve For Property Loss</t>
  </si>
  <si>
    <t>To Pay For Any Unanticipated, Non-Recurring Property Losses That Were Not Included In The Regular Operating Budget.</t>
  </si>
  <si>
    <t>To Pay For Any Unanticipated Emergency Repairs To District Facilities Or Equipment.</t>
  </si>
  <si>
    <t>Reserve For Retirement Contribution</t>
  </si>
  <si>
    <t>To Help Offset District Expenses To The Nys &amp; Local Retirement System.</t>
  </si>
  <si>
    <t>Do Not Intend To Use During The 2018-19 School Year.</t>
  </si>
  <si>
    <t>020801</t>
  </si>
  <si>
    <t>BELFAST CSD</t>
  </si>
  <si>
    <t>Cover Costs Of Retiree Benefits For The 2018-19 School Year.</t>
  </si>
  <si>
    <t>Cover Unexpected, Necessary Repairs</t>
  </si>
  <si>
    <t>Reserve For Retirement Contributions</t>
  </si>
  <si>
    <t>Cover Annual Employees' Retirement System Costs For The 2018-19 School Year.</t>
  </si>
  <si>
    <t>Cover Unemployment Costs For The 2018-19 School Year.</t>
  </si>
  <si>
    <t>Workers' Compensation Reserve</t>
  </si>
  <si>
    <t>Cover Workers' Comp Costs For 2018-19 School Year.</t>
  </si>
  <si>
    <t>021102</t>
  </si>
  <si>
    <t>2016 Capital Reserve</t>
  </si>
  <si>
    <t>Expenditures For Buses With Voter Approval.</t>
  </si>
  <si>
    <t>2011 Capital Reserve</t>
  </si>
  <si>
    <t>Ebal Reserve</t>
  </si>
  <si>
    <t>Pay For Allowable Expenses When They Arise.</t>
  </si>
  <si>
    <t>Insurance Reserve</t>
  </si>
  <si>
    <t>Liability Reserve</t>
  </si>
  <si>
    <t>021601</t>
  </si>
  <si>
    <t>To Cover Contractual Retirement Incentives In The 2018-19 School Year.</t>
  </si>
  <si>
    <t>To Cover Unexpected, Necessary Repairs In The 2018-19 School Year.</t>
  </si>
  <si>
    <t>To Cover Annual Employees' Retirement System Payments For The 2018-19 School Year.</t>
  </si>
  <si>
    <t>To Cover Unexpected Reductions In Tax Payments In The 2018-19 School Year.</t>
  </si>
  <si>
    <t>To Cover Unemployment Insurance Payments In The 2018-19 School Year.</t>
  </si>
  <si>
    <t>Workers' Comp Reserve</t>
  </si>
  <si>
    <t>To Cover Workers' Compensation Payments In The 2018-19 School Year.</t>
  </si>
  <si>
    <t>022001</t>
  </si>
  <si>
    <t>FILLMORE CSD</t>
  </si>
  <si>
    <t>Misc Necessary Equipment</t>
  </si>
  <si>
    <t>Purchase Of Miscellaneous Necessary Equipment</t>
  </si>
  <si>
    <t>Transportation Vehicles</t>
  </si>
  <si>
    <t>Purchase Of Transportation Vehicles</t>
  </si>
  <si>
    <t>Construction</t>
  </si>
  <si>
    <t>For Future Construction Projects</t>
  </si>
  <si>
    <t>Cover The Cost Of Any Sick Day Retirement Costs</t>
  </si>
  <si>
    <t>Cover The Cost Of Any Uninsured Claims</t>
  </si>
  <si>
    <t>Reduce The Affect Of Increased State Retirement Costs</t>
  </si>
  <si>
    <t>Possible Tax Certiorari Claims</t>
  </si>
  <si>
    <t>Fund The District'S Unemployment Expenditures</t>
  </si>
  <si>
    <t>Reduce The Affect Of Workers Compensation Cost Increases</t>
  </si>
  <si>
    <t>022101</t>
  </si>
  <si>
    <t>WHITESVILLE CSD</t>
  </si>
  <si>
    <t>Capital Vehicle Purchase Reserve Fund</t>
  </si>
  <si>
    <t>If Bus Purchase Is Needed.</t>
  </si>
  <si>
    <t>Yes, For A Portion Of The Steam Capital Project.</t>
  </si>
  <si>
    <t>When Needed</t>
  </si>
  <si>
    <t>Employee Benefit Accrued Liabilty Reserve</t>
  </si>
  <si>
    <t>When Neded</t>
  </si>
  <si>
    <t>Unemployment  Reserve</t>
  </si>
  <si>
    <t>Workers   Compensation</t>
  </si>
  <si>
    <t>022302</t>
  </si>
  <si>
    <t>CUBA-RUSHFORD CSD</t>
  </si>
  <si>
    <t>Vehicle And Bus Reserve</t>
  </si>
  <si>
    <t>Technology Reserve</t>
  </si>
  <si>
    <t>Architect Fees And Project Expenditures</t>
  </si>
  <si>
    <t>Ebalr</t>
  </si>
  <si>
    <t>Retiree Sick Day Payouts</t>
  </si>
  <si>
    <t>Property Loss Reserve</t>
  </si>
  <si>
    <t>Reserve For Tax Reduction</t>
  </si>
  <si>
    <t>022401</t>
  </si>
  <si>
    <t>SCIO CSD</t>
  </si>
  <si>
    <t>Equipment Reserve</t>
  </si>
  <si>
    <t>No Anticipated Use In 18-19</t>
  </si>
  <si>
    <t>Bus Reserve</t>
  </si>
  <si>
    <t>$25,000 Used For Purchase Of Bus Pending Voter Approval</t>
  </si>
  <si>
    <t>Mandatory Debt Service Reserve</t>
  </si>
  <si>
    <t>District Will Utilize Funds If The Need Arises</t>
  </si>
  <si>
    <t>Reserve For Accrued Benefits</t>
  </si>
  <si>
    <t>Funds Will Be Used To Offset Payment Of Accrued, Unused Sick Days Paid To Retirees</t>
  </si>
  <si>
    <t>Reserve For Liability</t>
  </si>
  <si>
    <t>Reserve Was Established For Emergency Purposes And Will Be Used If The Need Arises</t>
  </si>
  <si>
    <t>Reserve For Repairs</t>
  </si>
  <si>
    <t>With No Change To Employer Ers Contribution Rates For 18-19, The District Foresees No Anticipated Use</t>
  </si>
  <si>
    <t>022601</t>
  </si>
  <si>
    <t>These Reserves Are Used To Accumulate Funds To_x000D_
Finance All Or A Portion Of Future Capital Projects_x000D_
And Bus Purchases For Which Bonds May Be_x000D_
Issued.</t>
  </si>
  <si>
    <t>This Reserve Is Used To Account For Proceeds From_x000D_
The Sale Of Property That Was Financed By_x000D_
Obligations Still Outstanding, Interest And Earnings_x000D_
On Outstanding Obligations</t>
  </si>
  <si>
    <t>The Purpose Of This Reserve Is To Reserve Funds_x000D_
For The Payment Of Any Accrued Employee Benefit_x000D_
Due An Employee Upon Termination Of Service.</t>
  </si>
  <si>
    <t>Available To Finance Retirement Contributions Payable To The Nys And Local Employees' Retirement System (Ers), But Not Trs</t>
  </si>
  <si>
    <t>Spec Resv Ui</t>
  </si>
  <si>
    <t>Available To Pay For The Cost Of Reimbursing The State Unemployment Insurance Fund For Payments Made To Claimants When A School District Elects The Benefit Reimbursement In Lieu Of Making Contributio</t>
  </si>
  <si>
    <t>W. Comp Reserve</t>
  </si>
  <si>
    <t>To Pay Compensation And Benefits, Medical, Hospital, Or Other Expenses Authorized By Article 2 Of The Workers� Compensation Law And To Pay The Expenses Of Administering A Self-Insurance Program.</t>
  </si>
  <si>
    <t>022902</t>
  </si>
  <si>
    <t>BOLIVAR-RICHBURG CSD</t>
  </si>
  <si>
    <t>No Intended Use In 18-19</t>
  </si>
  <si>
    <t>2017 Capital Reserve</t>
  </si>
  <si>
    <t>To Pay For Accrued Benefits Of Retiring Employees Up To $61,702</t>
  </si>
  <si>
    <t>Property Loss &amp; Liability Reserve</t>
  </si>
  <si>
    <t>Employee Retirement System Reserve</t>
  </si>
  <si>
    <t>To Pay For A Portion Of The Employees' Retirement System Liability Up To $50,000</t>
  </si>
  <si>
    <t>030101</t>
  </si>
  <si>
    <t>CHENANGO FORKS CSD</t>
  </si>
  <si>
    <t>There Is No Intended Use In 2018-2019 To Support The 2018-2019 Budget.</t>
  </si>
  <si>
    <t>Na</t>
  </si>
  <si>
    <t>Retirement</t>
  </si>
  <si>
    <t>The 2018-2019 Budget Includes The Intended Use Of $279,767 Of The Reserve.</t>
  </si>
  <si>
    <t>The 2018-2019 Budget Includes The Intended Use Of $16,564 Of The Reserve.</t>
  </si>
  <si>
    <t>030200</t>
  </si>
  <si>
    <t>BINGHAMTON CITY SD</t>
  </si>
  <si>
    <t>There Is No Intended Use In 2018-19 To Support The 2018-19 Budget.</t>
  </si>
  <si>
    <t>The 2018-2019 Budget Includes The Intended Use Of 279,449 Of The Reserve</t>
  </si>
  <si>
    <t>The 2018-2019 Budget Includes The Intended Use Of $60,000 Of The Reserve.</t>
  </si>
  <si>
    <t>030501</t>
  </si>
  <si>
    <t>HARPURSVILLE CSD</t>
  </si>
  <si>
    <t>030601</t>
  </si>
  <si>
    <t>SUSQUEHANNA VALLEY CSD</t>
  </si>
  <si>
    <t>2016 Capital</t>
  </si>
  <si>
    <t>030701</t>
  </si>
  <si>
    <t>CHENANGO VALLEY CSD</t>
  </si>
  <si>
    <t>The 2018-2019 Budget Includes The Intended Use Of $200,000 Of The Reserve.</t>
  </si>
  <si>
    <t>The 2018-2019 Budget Includes The Intended Use Of $109,000 Of The Reserve.</t>
  </si>
  <si>
    <t>031101</t>
  </si>
  <si>
    <t>MAINE-ENDWELL CSD</t>
  </si>
  <si>
    <t>The 2018-2019 Budget Includes The Intended Use Of $81,425 Of The Reserve.</t>
  </si>
  <si>
    <t>031301</t>
  </si>
  <si>
    <t>DEPOSIT CSD</t>
  </si>
  <si>
    <t>There Is No Planned Use In 2018-19 To Support The 2018-19 Budget.</t>
  </si>
  <si>
    <t>The 2018-19 Budget Includes The Planned Use Of $188,435 Of The Reserve.</t>
  </si>
  <si>
    <t>The 2018-19 Budget Includes The Planned Use Of $7,000 Of The Reserve.</t>
  </si>
  <si>
    <t>Workmens' Compensation</t>
  </si>
  <si>
    <t>The 2018-19 Budget Includes The Planned Use Of $86,650 Of The Reserve.</t>
  </si>
  <si>
    <t>031401</t>
  </si>
  <si>
    <t>WHITNEY POINT CSD</t>
  </si>
  <si>
    <t>The 2018-19 Budget Includes The Intended Use Of $405,000 Of The Reserve</t>
  </si>
  <si>
    <t>There Is No Intended Use In 2018-19 To Support The 2018-19 Budget</t>
  </si>
  <si>
    <t>The 2018-19 Budget Includes The Intended Use Of $15,000 Of The Reserve.</t>
  </si>
  <si>
    <t>031501</t>
  </si>
  <si>
    <t>UNION-ENDICOTT CSD</t>
  </si>
  <si>
    <t>The 2018-2019 Budget Includes The Intended Use Of $67,341 Of The Reserve.</t>
  </si>
  <si>
    <t>031502</t>
  </si>
  <si>
    <t>JOHNSON CITY CSD</t>
  </si>
  <si>
    <t>031601</t>
  </si>
  <si>
    <t>VESTAL CSD</t>
  </si>
  <si>
    <t>031701</t>
  </si>
  <si>
    <t>WINDSOR CSD</t>
  </si>
  <si>
    <t>Not Applicable</t>
  </si>
  <si>
    <t>040204</t>
  </si>
  <si>
    <t>WEST VALLEY CSD</t>
  </si>
  <si>
    <t>The District Will Use This Reserve To Pay Applicable Post-Employment Benefits</t>
  </si>
  <si>
    <t>Retirement Reserve</t>
  </si>
  <si>
    <t>The District Will Use This Reserve To Offset High Spikes In Employee Retirement Contributions.</t>
  </si>
  <si>
    <t>The District Has One Tax Certiorari Claim. If The Claim Is Successful It Will Use The Reserve Funds To Pay The Claims. It Will Also Use The Reserve Funds For Future Claims.</t>
  </si>
  <si>
    <t>The District Will Use This Reserve In The Event Of Future Unemployment Claims</t>
  </si>
  <si>
    <t>Reserve For Workers Compnesation</t>
  </si>
  <si>
    <t>If The District Incurs Additional Workers Compensation Costs In The 2018-2019 School Year It Will Use This Reserve.</t>
  </si>
  <si>
    <t>040302</t>
  </si>
  <si>
    <t>ALLEGANY-LIMESTONE CSD</t>
  </si>
  <si>
    <t>No Intended Use For The 2018-2019 School Year</t>
  </si>
  <si>
    <t>To Provide For Accrued Employee Benefits As Needed</t>
  </si>
  <si>
    <t>To Provide For Uninsured Losses As Needed</t>
  </si>
  <si>
    <t>To Provide For Unexpected Repairs As Needed</t>
  </si>
  <si>
    <t>Unemployment Insur</t>
  </si>
  <si>
    <t>040901</t>
  </si>
  <si>
    <t>ELLICOTTVILLE CSD</t>
  </si>
  <si>
    <t>As Needed Based On Retiree Health Insurance Premiums</t>
  </si>
  <si>
    <t>As Needed</t>
  </si>
  <si>
    <t>As Needed Based On Claims</t>
  </si>
  <si>
    <t>041101</t>
  </si>
  <si>
    <t>FRANKLINVILLE CSD</t>
  </si>
  <si>
    <t>Capital Project Vote 5/15/18. $2,250,440 Will Be Used To Reduce Tax Impact To Community Over Life Of Project. $100,000 Estimated For 2018-19.</t>
  </si>
  <si>
    <t>Retirement Cont Reserve</t>
  </si>
  <si>
    <t>041401</t>
  </si>
  <si>
    <t>HINSDALE CSD</t>
  </si>
  <si>
    <t>Not Anticipated To Be Used In 2018-2019</t>
  </si>
  <si>
    <t>$50,000 Is Budgeted In The 2018-2019 Budget To Offset The Local Share Of Previous Capital Projects.</t>
  </si>
  <si>
    <t>Reserve For Employee Benefit Accrued Liability</t>
  </si>
  <si>
    <t>$42,838 Is Budgeted In 2018-2019 To Cover The Costs Of Employee Retirement Beneifts</t>
  </si>
  <si>
    <t>District Does Not Maintain Any Other Reserves</t>
  </si>
  <si>
    <t>Reserve For Repair</t>
  </si>
  <si>
    <t>Not Aplicable</t>
  </si>
  <si>
    <t>Unemployment Ins Reserve</t>
  </si>
  <si>
    <t>042302</t>
  </si>
  <si>
    <t>CATTARAUGUS-LITTLE VALLEY CSD</t>
  </si>
  <si>
    <t>$190,791. For Retirements</t>
  </si>
  <si>
    <t>Not Using In 2018-19</t>
  </si>
  <si>
    <t>042400</t>
  </si>
  <si>
    <t>OLEAN CITY SD</t>
  </si>
  <si>
    <t>Capital And Vehicle</t>
  </si>
  <si>
    <t>Asking Voters To Increase Capital Reserve By $1.5 Million For Future Projects</t>
  </si>
  <si>
    <t>None At This Time</t>
  </si>
  <si>
    <t>Eblar</t>
  </si>
  <si>
    <t>No Retirements In This Budget</t>
  </si>
  <si>
    <t>Will Use 490,633</t>
  </si>
  <si>
    <t>None At This Time _x000D_
None At This Time</t>
  </si>
  <si>
    <t>042801</t>
  </si>
  <si>
    <t>GOWANDA CSD</t>
  </si>
  <si>
    <t>Building Land Technology</t>
  </si>
  <si>
    <t>Seeking Voter Approval For A New Capital Project On May 15, 2018.  If Approved, Reserve Will Finance $2,435,000</t>
  </si>
  <si>
    <t>Res. For Employee Benefits</t>
  </si>
  <si>
    <t>Projected To Use $218,864 For 2018-19 Expenses.</t>
  </si>
  <si>
    <t>Do Not Have Any Known Liability Claims Or Losses So Reserve Most Likely Will Not Be Used.</t>
  </si>
  <si>
    <t>For the purchase of school buses.</t>
  </si>
  <si>
    <t>Purchase Of Replacement School Buses.</t>
  </si>
  <si>
    <t>Retirement Contribution Reserv</t>
  </si>
  <si>
    <t>Projected To Use $298,954 For 2018-19 Expenses.</t>
  </si>
  <si>
    <t>Unemployment Insurance  Reserve</t>
  </si>
  <si>
    <t>Projected To Use $31,590 For 2018-19 Expenses.</t>
  </si>
  <si>
    <t>042901</t>
  </si>
  <si>
    <t>PORTVILLE CSD</t>
  </si>
  <si>
    <t>Budgeted Fund Usage For Anticipated Contractual Retirement Costs For Anticipated Retirements In 2018-19</t>
  </si>
  <si>
    <t>Unemployment Res</t>
  </si>
  <si>
    <t>Budgeted Fund Usage For Current Unemployment Claim</t>
  </si>
  <si>
    <t>043001</t>
  </si>
  <si>
    <t>RANDOLPH CSD</t>
  </si>
  <si>
    <t>Using $70,000 To Offset Districts Local Share Of New Buses</t>
  </si>
  <si>
    <t>$106,250 In 2018-19</t>
  </si>
  <si>
    <t>Reserve For Insurance</t>
  </si>
  <si>
    <t>Reserve For  Property Loss</t>
  </si>
  <si>
    <t>Retirement System Reserve</t>
  </si>
  <si>
    <t>$170,600 In 2018-19 For District'S Share</t>
  </si>
  <si>
    <t>Full Amount For 2018-19 To Close Out Reserve</t>
  </si>
  <si>
    <t>$5,000 For 2018-19</t>
  </si>
  <si>
    <t>$35,000 To Offset 2018-19</t>
  </si>
  <si>
    <t>043200</t>
  </si>
  <si>
    <t>SALAMANCA CITY SD</t>
  </si>
  <si>
    <t>Draws Made As Progress Occurs On Approved Capital Project</t>
  </si>
  <si>
    <t>Local Share Cap Proj</t>
  </si>
  <si>
    <t>Draws Made As Work Progresses On Approved Capital Project</t>
  </si>
  <si>
    <t>Repair Reserve Fund</t>
  </si>
  <si>
    <t>Unexpected/Emergency Repairs</t>
  </si>
  <si>
    <t>Ers Reserve Fund</t>
  </si>
  <si>
    <t>50% Of Ers Costs</t>
  </si>
  <si>
    <t>Used For 18/19 Tax Levy Reduction</t>
  </si>
  <si>
    <t>Unemployment Reserve Fund</t>
  </si>
  <si>
    <t>Cover Any Unemployment Costs Incurred</t>
  </si>
  <si>
    <t>Worker'S Compensation Fund</t>
  </si>
  <si>
    <t>25% Of Wc Costs</t>
  </si>
  <si>
    <t>043501</t>
  </si>
  <si>
    <t>YORKSHIRE-PIONEER CSD</t>
  </si>
  <si>
    <t>Capital Construction Reserve</t>
  </si>
  <si>
    <t>These Reserve Funds Are To Be Used To Finance All, Or Part Of A Voter Approved Capital Improvement Project.  A Capital Improvement Project Vote Is Anticipated During The 2018-19 School Year.</t>
  </si>
  <si>
    <t>Emp Benefit Acc Liab Reserve</t>
  </si>
  <si>
    <t>This Reserve Fund Is For Payment Of Accrued Employee Benefits To Be Paid Out To Employees Upon Separation Of Service For Vacation, Sick Days, Etc.</t>
  </si>
  <si>
    <t>The Purpose Of This Reserve Is To Fund Employer Retirement Contributions To The Nys &amp; Local Employee Retirement System (Ers).</t>
  </si>
  <si>
    <t>This Reserve Fund Is Used To Pay The Cost Of Reimbursement To The Nys Unemployment Insurance Fund For Payments Made To Claimants.</t>
  </si>
  <si>
    <t>050100</t>
  </si>
  <si>
    <t>2007 Capital Reserve Fund</t>
  </si>
  <si>
    <t>2018 Turf Capital Reserve Fund</t>
  </si>
  <si>
    <t>None; Establishment Of Reserve Requires Voter Approval On 5/15/18</t>
  </si>
  <si>
    <t>2018 Capital Reserve Fund</t>
  </si>
  <si>
    <t>Employee Benefit Accrued Liability Reserve Fund</t>
  </si>
  <si>
    <t>To Pay Accrued Benefits As Appropriate</t>
  </si>
  <si>
    <t>$200,000 To Pay 2018-2019 Property Insurance Premium</t>
  </si>
  <si>
    <t>Liability Reserve Fund</t>
  </si>
  <si>
    <t>$220,000 To Pay 2018-2019 Stop Loss Premium</t>
  </si>
  <si>
    <t>$825,000 To Pay 2018-2019 Retirement Claim</t>
  </si>
  <si>
    <t>To Pay Certiorari Claims As They Are Settled</t>
  </si>
  <si>
    <t>$75,000 To Pay 2018-2019 Unemployment Claims</t>
  </si>
  <si>
    <t>050401</t>
  </si>
  <si>
    <t>CATO-MERIDIAN CSD</t>
  </si>
  <si>
    <t>1,208,111</t>
  </si>
  <si>
    <t>To Pay For Voter Approved Capital Project.</t>
  </si>
  <si>
    <t>600,000</t>
  </si>
  <si>
    <t>To Pay For Potential Insurance Claims.</t>
  </si>
  <si>
    <t>411,000</t>
  </si>
  <si>
    <t>To Pay Unexpected Increases In Retirement Contributions.</t>
  </si>
  <si>
    <t>563,727</t>
  </si>
  <si>
    <t>To Pay Potential Unemployment Claims.</t>
  </si>
  <si>
    <t>050701</t>
  </si>
  <si>
    <t>SOUTHERN CAYUGA CSD</t>
  </si>
  <si>
    <t>Maintain</t>
  </si>
  <si>
    <t>Empl Bene/Accr Liab</t>
  </si>
  <si>
    <t>Ers Contributions</t>
  </si>
  <si>
    <t>051101</t>
  </si>
  <si>
    <t>Pay Down Debt</t>
  </si>
  <si>
    <t>Pay Accrued 'Employee Benefits' Due To Employees Upon Termination Of Service</t>
  </si>
  <si>
    <t>Insurance Recoveries</t>
  </si>
  <si>
    <t>Emergency Repairs</t>
  </si>
  <si>
    <t>Pay Retirement Contributions For Ers</t>
  </si>
  <si>
    <t>Pay Tax Certiorari Claims</t>
  </si>
  <si>
    <t>Reserve For Uncollected Taxes</t>
  </si>
  <si>
    <t>Pay Unemployment Claims</t>
  </si>
  <si>
    <t>Pay Worker Compensation Claims</t>
  </si>
  <si>
    <t>051301</t>
  </si>
  <si>
    <t>MORAVIA CSD</t>
  </si>
  <si>
    <t>None. Will Be Used For Future Project.</t>
  </si>
  <si>
    <t>None.</t>
  </si>
  <si>
    <t>To Pay For Buy-Back Options.</t>
  </si>
  <si>
    <t>None. Pay Back Other Half Of Used Monies From 2016-17.</t>
  </si>
  <si>
    <t>None. Transfer To Capital Reserve.</t>
  </si>
  <si>
    <t>None. Transfer To Capital Reserve</t>
  </si>
  <si>
    <t>051901</t>
  </si>
  <si>
    <t>UNION SPRINGS CSD</t>
  </si>
  <si>
    <t>Initial Expense For Bus Garage Renovations To Be A Proposition For May 2018 Vote</t>
  </si>
  <si>
    <t>Resv Empl Benefits/Accr Liab</t>
  </si>
  <si>
    <t>Employee Benefits Payable At Termination/Retirement Based On Contracts</t>
  </si>
  <si>
    <t>Cayuga Nation Land Claim And Bia</t>
  </si>
  <si>
    <t>Emergency Repairs And Equip</t>
  </si>
  <si>
    <t>Employer Portion Of Ers Pensions</t>
  </si>
  <si>
    <t>Fingerlakes Crossing Ageement And  Cayuga Nation</t>
  </si>
  <si>
    <t>Ui Reserve</t>
  </si>
  <si>
    <t>Unemployment Claims Presented To District</t>
  </si>
  <si>
    <t>Wc Rerserve</t>
  </si>
  <si>
    <t>Wc Benefit And Ibnr Claims</t>
  </si>
  <si>
    <t>060201</t>
  </si>
  <si>
    <t>SOUTHWESTERN CSD AT JAMESTOWN</t>
  </si>
  <si>
    <t>Reserve For Retirement</t>
  </si>
  <si>
    <t>75000 To Offset 2018-19 Employer Contribution Costs</t>
  </si>
  <si>
    <t>Pending Litigation Settlements</t>
  </si>
  <si>
    <t>Will Be Utilized Up To The Amount Expensed For Unemployment.</t>
  </si>
  <si>
    <t>060301</t>
  </si>
  <si>
    <t>FREWSBURG CSD</t>
  </si>
  <si>
    <t>Fund District'S Share Of Erie 2 Boces Capital Project</t>
  </si>
  <si>
    <t>To Pay Principal And Interest On Capital Projects</t>
  </si>
  <si>
    <t>Employee Benefits Reserve</t>
  </si>
  <si>
    <t>No Intended Use</t>
  </si>
  <si>
    <t>To Help Offset The District'S Ers Contribution Liability</t>
  </si>
  <si>
    <t>Fund Payments Of Unemployment Insurance</t>
  </si>
  <si>
    <t>060401</t>
  </si>
  <si>
    <t>CASSADAGA VALLEY CSD</t>
  </si>
  <si>
    <t>Capital Improvement</t>
  </si>
  <si>
    <t>No Intent To Use Funds In 2018-19. Purpose Of Reserve Is To Offset Local Share For Future Capital Improvement Projects.</t>
  </si>
  <si>
    <t>Intent To Use Funds To Offset Retirement Award Expenditures In 18-19.</t>
  </si>
  <si>
    <t>No Intent To Use Funds In 2018-19.</t>
  </si>
  <si>
    <t>Intent To Use Funds To Offset Retirement Expenditures In 18-19.</t>
  </si>
  <si>
    <t>Intent To Use Funds To Offset Unemployment Claims In 18-19.</t>
  </si>
  <si>
    <t>060503</t>
  </si>
  <si>
    <t>CHAUTAUQUA LAKE CSD</t>
  </si>
  <si>
    <t>Capital Reserve Funds</t>
  </si>
  <si>
    <t>Future Capital Projects</t>
  </si>
  <si>
    <t>Revenue Sources In Future Budgets</t>
  </si>
  <si>
    <t>To Address Future Liabilities</t>
  </si>
  <si>
    <t>Revenue Source In Future Budgets</t>
  </si>
  <si>
    <t>To Address Future Claims</t>
  </si>
  <si>
    <t>060601</t>
  </si>
  <si>
    <t>PINE VALLEY CSD (SOUTH DAYTON)</t>
  </si>
  <si>
    <t>Will Be Used To Purchase New Transportation Vehicles For Student Transportation</t>
  </si>
  <si>
    <t>Capital Reserve 2008</t>
  </si>
  <si>
    <t>Use For Potential Capital Project Based On Building Condition Survey; Amount Will Depend On Projected Cost And Is Expected Cover Taxpayer Portion</t>
  </si>
  <si>
    <t>No Intended Use In The 2018-2019 School Year</t>
  </si>
  <si>
    <t>No Intended Use In The 2018-2019 School Year; This Reserve Is Used If/When Claims Are Filed</t>
  </si>
  <si>
    <t>Reserve Will Be Closed At The End Of The 2018-2019 School Year</t>
  </si>
  <si>
    <t>Will Be Used To Cover The Cost Of Unemployment Claims</t>
  </si>
  <si>
    <t>060701</t>
  </si>
  <si>
    <t>CLYMER CSD</t>
  </si>
  <si>
    <t>To Pay For Accrued Employee Benefits Of Expected Retirees $57,000</t>
  </si>
  <si>
    <t>To Pay For Ers Contributions, $90,000</t>
  </si>
  <si>
    <t>060800</t>
  </si>
  <si>
    <t>DUNKIRK CITY SD</t>
  </si>
  <si>
    <t>2008 Capital Reserve</t>
  </si>
  <si>
    <t>No Anticipated Use In 2019.</t>
  </si>
  <si>
    <t>535566 To Be Appropriated In 2019.</t>
  </si>
  <si>
    <t>522078 Determined To Be Surplus And Appropriated In 2019.</t>
  </si>
  <si>
    <t>061001</t>
  </si>
  <si>
    <t>BEMUS POINT CSD</t>
  </si>
  <si>
    <t>Reserve For Debt Service</t>
  </si>
  <si>
    <t>U Pending Debt Payments For Current Porject.</t>
  </si>
  <si>
    <t>Pending 2020 Retirements</t>
  </si>
  <si>
    <t>Hold For Potential Losses</t>
  </si>
  <si>
    <t>Pending Assessment Claim</t>
  </si>
  <si>
    <t>Annual Unemployment Costs</t>
  </si>
  <si>
    <t>Annual Wc Costs</t>
  </si>
  <si>
    <t>061101</t>
  </si>
  <si>
    <t>FALCONER CSD</t>
  </si>
  <si>
    <t>Payment Of Project Expenditures</t>
  </si>
  <si>
    <t>Payment Of Debt Service In Xs Of Aid Received</t>
  </si>
  <si>
    <t>Reserve For Ebalr</t>
  </si>
  <si>
    <t>Payment Of Ebalr</t>
  </si>
  <si>
    <t>Reserve For Ers</t>
  </si>
  <si>
    <t>Payment Of Excessive Increases In Ers</t>
  </si>
  <si>
    <t>Payment Of Difference In Litigated Adjustment To Tax Levy</t>
  </si>
  <si>
    <t>Payment Of Unemployment Expenses In Xs Of Appropriation</t>
  </si>
  <si>
    <t>061501</t>
  </si>
  <si>
    <t>SILVER CREEK CSD</t>
  </si>
  <si>
    <t>Vehicle 2015</t>
  </si>
  <si>
    <t>234062</t>
  </si>
  <si>
    <t>Capital Building Reserve</t>
  </si>
  <si>
    <t>To pay the cost of any object or purpose for which bonds may be issued</t>
  </si>
  <si>
    <t>99600</t>
  </si>
  <si>
    <t>Tax Cert 2014, 2015</t>
  </si>
  <si>
    <t>Wrk Comp</t>
  </si>
  <si>
    <t>061503</t>
  </si>
  <si>
    <t>FORESTVILLE CSD</t>
  </si>
  <si>
    <t>Capiatl Reserve</t>
  </si>
  <si>
    <t>28090</t>
  </si>
  <si>
    <t>Retirement Contibution Reserve</t>
  </si>
  <si>
    <t>117201</t>
  </si>
  <si>
    <t>061601</t>
  </si>
  <si>
    <t>PANAMA CSD</t>
  </si>
  <si>
    <t>Reserve For Capital</t>
  </si>
  <si>
    <t>No Intended Use For 2018-19.</t>
  </si>
  <si>
    <t>061700</t>
  </si>
  <si>
    <t>JAMESTOWN CITY SD</t>
  </si>
  <si>
    <t>To Pay For The Local Cost Share Of Future Capital Projects</t>
  </si>
  <si>
    <t>Emblr Reserve</t>
  </si>
  <si>
    <t>To Pay Earned Employee Benefits Upon Retirement</t>
  </si>
  <si>
    <t>To Pay For Future Retirement System Costs</t>
  </si>
  <si>
    <t>To Pay For Tax Certiorari Court Awards</t>
  </si>
  <si>
    <t>To Pay For Workers' Compensation Settlements</t>
  </si>
  <si>
    <t>062201</t>
  </si>
  <si>
    <t>FREDONIA CSD</t>
  </si>
  <si>
    <t>Building Project</t>
  </si>
  <si>
    <t>Benefits For Employees (Former)</t>
  </si>
  <si>
    <t>Ers/Trs Liability</t>
  </si>
  <si>
    <t>Tax Assessments/Reductions</t>
  </si>
  <si>
    <t>062301</t>
  </si>
  <si>
    <t>BROCTON CSD</t>
  </si>
  <si>
    <t>Capital Reserve Fund Of 2018</t>
  </si>
  <si>
    <t>We Plan To Use The Reserve To Offset The Local Share Of An Approximately $8,000,000 Capital Project That We Will Be Presenting To The Voters To Vote On In October 2018.</t>
  </si>
  <si>
    <t>To Apply A Portion Of The Reserve To Debt Payments Made On Outstanding Serial Bonds.</t>
  </si>
  <si>
    <t>To  Apply A Portion Of The Reserve To Any Retiring Employees That Have Accrued Sick Time At The Time Of Retirement.</t>
  </si>
  <si>
    <t>To Cover An Unemployment Related To The Potential Decrease In Staff Related To Declining Enrollment.</t>
  </si>
  <si>
    <t>We Have Several Recent And Older Outstanding Worker'S Comp. Claims That We May Be Liable For.  Our Intended Use Is To Cover Increases In Our Premiums And Potential Settlements Payable On Older Claims.</t>
  </si>
  <si>
    <t>062401</t>
  </si>
  <si>
    <t>RIPLEY CSD</t>
  </si>
  <si>
    <t>Capital Projects Reserve</t>
  </si>
  <si>
    <t>Not Intended For Use For The 2018-2019 Year, Intention Is To Create A New Reserve To Cover The Local Share Of Future Capital Projects, This Reserve Will Be Voted On During The 2018-2019 Budget Vote.</t>
  </si>
  <si>
    <t>Reserve _x000D_
 For Employee Benefits</t>
  </si>
  <si>
    <t>Not Intended For Use In The 2018-2019 Year, Intended For Use When Expenditures Meet Reserve Criteria.</t>
  </si>
  <si>
    <t>Reserve For Insurance Recoveries</t>
  </si>
  <si>
    <t>Not Intended For Use In The 2018-2019 Year, Intended To Be Used When Expenditures Are Incurred That Meet Criteria For Use Of The Reserve.</t>
  </si>
  <si>
    <t>Not Intended For Use In The 2018-2019 Year, Intended For Use When There Is An Increase In The Employer Contribution Rates.</t>
  </si>
  <si>
    <t>$215,000 Will Be Used To Reduce The 2018-2019 Tax Levy.</t>
  </si>
  <si>
    <t>Workers   Compensation Reserve</t>
  </si>
  <si>
    <t>Not Intended For Use In The 2018-2019 Year, Intended For Use When Expenditures Are Incurred That Meet The Reserve'S Criteria</t>
  </si>
  <si>
    <t>062601</t>
  </si>
  <si>
    <t>SHERMAN CSD</t>
  </si>
  <si>
    <t>To Cover The Compensated Absence If An Employee Retires</t>
  </si>
  <si>
    <t>To Pay For The Employees' Retirement System Bill For The 18-19 Year</t>
  </si>
  <si>
    <t>To Pay An Unemployment Bills For The 18-19 Year</t>
  </si>
  <si>
    <t>To Pay The Workers Compensation Premium For The Year</t>
  </si>
  <si>
    <t>062901</t>
  </si>
  <si>
    <t>WESTFIELD CSD</t>
  </si>
  <si>
    <t>For An Accrued Benefits Payable Upon Retirement</t>
  </si>
  <si>
    <t>For Any Insurance Obligations</t>
  </si>
  <si>
    <t>For Employee Retirement Contributions</t>
  </si>
  <si>
    <t>For Tax Certiorari Settlements</t>
  </si>
  <si>
    <t>To Offset Any Unemployment Expenditures</t>
  </si>
  <si>
    <t>070600</t>
  </si>
  <si>
    <t>Will Be Used For Next Capital Project</t>
  </si>
  <si>
    <t>Employee Reimbursement Upon Retirement For Unused Sick, Vacation, And Personal Leave</t>
  </si>
  <si>
    <t>Pay For Property Damaged But Not Insured. I.E., Bus</t>
  </si>
  <si>
    <t>Reserve Was Established In 17-18</t>
  </si>
  <si>
    <t>Not Intended For 2018-2019</t>
  </si>
  <si>
    <t>Pay Judgement Claims Arising Out Of Tax Certiorari Proceedings - 1 Claim For $3622 In 17-18</t>
  </si>
  <si>
    <t>Worker'S Compensation Reserve</t>
  </si>
  <si>
    <t>Pay For Benefits, Medical/Hospital Expenses And Administrative Costs Of Our Self Insured Worker'S Compensation Plan - 2 Claims For $258,914 In 17-18</t>
  </si>
  <si>
    <t>070901</t>
  </si>
  <si>
    <t>District Will Continue To Save Funds In This Reserve To Offset The Local Burden In Future Capital Projects</t>
  </si>
  <si>
    <t>Reserve For Employee Benefits/Accrued Liability</t>
  </si>
  <si>
    <t>Reserve Will Be Appropriated In An Amount Consistent With Historical Data And Will Be Used To Offset Cost Of Employees' Accrued Benefits Upon His Or Her Retirement At Year End</t>
  </si>
  <si>
    <t>Reserve Will Be Appropriated And Used To Cover A Portion Of The Cost Of The District'S Ers Contribution</t>
  </si>
  <si>
    <t>Reserve Will Be Appropriated By Board Action To Cover Required Refunds For Tax Certiorari Settlements, As Received</t>
  </si>
  <si>
    <t>District Will Appropriate An Amount Equal To The Unemployment Insurance Budget And Will Utilize The Reserve In The Amount Actually Paid In 2018-19</t>
  </si>
  <si>
    <t>070902</t>
  </si>
  <si>
    <t>ELMIRA HEIGHTS CSD</t>
  </si>
  <si>
    <t>Not Projected To Be Used In 2018-209 Budget</t>
  </si>
  <si>
    <t>Budgeted To Use $286,653 For Debt Service Payments</t>
  </si>
  <si>
    <t>Reserve For Employee Benefits/Accrued Liabilities</t>
  </si>
  <si>
    <t>Budgeted To Use $190,000 Toward Actual Expense</t>
  </si>
  <si>
    <t>Reserve For Tax Certioari</t>
  </si>
  <si>
    <t>Budgeted To Use $115,000 Toward Actual Expense</t>
  </si>
  <si>
    <t>080101</t>
  </si>
  <si>
    <t>AFTON CSD</t>
  </si>
  <si>
    <t>59,000 Towards Mid-Year Retirements</t>
  </si>
  <si>
    <t>Ers Retirement</t>
  </si>
  <si>
    <t>080201</t>
  </si>
  <si>
    <t>BAINBRIDGE-GUILFORD CSD</t>
  </si>
  <si>
    <t>Transportation Vehicle Capital Reserve Fund</t>
  </si>
  <si>
    <t>If Voter Authorized, This Reserve Will Be Established In The 2018-19 School Year.</t>
  </si>
  <si>
    <t>Capital Reserve Fund</t>
  </si>
  <si>
    <t>No Intended Use In 2018-19.</t>
  </si>
  <si>
    <t>District Has Appropriated $60,131 From This Reserve For The 2018-19 Budget For A Leave Based Retirement Incentive That Will Be Earned During The 2018-19 School Year.</t>
  </si>
  <si>
    <t>District Is Asking Voters To Liquidate This Reserve To The General Fund.  If Authorized, District Intends To Transfer Funds In 2018-19 To A Newly Created Vehicle Reserve (If Authorized For Creation).</t>
  </si>
  <si>
    <t>Property Loss Reserve Fund</t>
  </si>
  <si>
    <t>No Intended Use In 2018-19</t>
  </si>
  <si>
    <t>Retirement Contribution Reserve Fund</t>
  </si>
  <si>
    <t>No Intended Use For 2018-19</t>
  </si>
  <si>
    <t>Tax Ceriorari Reserve Fund</t>
  </si>
  <si>
    <t>District Has A Pending Claim.  If A Settlement Is Reached In 2018-19, The District Will Use Reserve Funds Pay The Claim.</t>
  </si>
  <si>
    <t>Unemployment Insurance Reserve Fund</t>
  </si>
  <si>
    <t>If Unemployment Insurance Claims Are Incurred During The 18-19 School Year, The District Will Use The Reserve To Offset The Expenditures.</t>
  </si>
  <si>
    <t>Workers' Compensation Reserve Fund</t>
  </si>
  <si>
    <t>080601</t>
  </si>
  <si>
    <t>GREENE CSD</t>
  </si>
  <si>
    <t>Planned Use For This Reserve Is The 2020-21 School Year.</t>
  </si>
  <si>
    <t>Balance From Previous Capital Projects- Pay Down Outstanding Bond Debt Resulting From These Unspent Funds</t>
  </si>
  <si>
    <t>Encumberance Carryover</t>
  </si>
  <si>
    <t>Annual Fiscal Year Liability Carry-Over With Outstanding Purchase Orders.</t>
  </si>
  <si>
    <t>Funding Set Aside To Address Large Increases In Employee Retirement Expenses That Negatively Impact Future Budget And Tax Levy Implications.</t>
  </si>
  <si>
    <t>Tax Certiori</t>
  </si>
  <si>
    <t>Minimal Balance To Address Any Future Property Valuation Changes Or Legal Action To Reduce Property Valuations.</t>
  </si>
  <si>
    <t>Small Balance To Address Planned Lay-Offs And Unemployment Claims As We Continue To Address Future Budget Shortfalls.</t>
  </si>
  <si>
    <t>081003</t>
  </si>
  <si>
    <t>UNADILLA VALLEY CSD</t>
  </si>
  <si>
    <t>Offset Local Share Of Debt</t>
  </si>
  <si>
    <t>Cost Of Unused Sick Days For Retirees</t>
  </si>
  <si>
    <t>Offset Cost Of Liability Claim</t>
  </si>
  <si>
    <t>Ers Contribution</t>
  </si>
  <si>
    <t>Offset Cost Of Ers Expense</t>
  </si>
  <si>
    <t>Unemployment Benefits For Staff Layoffs</t>
  </si>
  <si>
    <t>081200</t>
  </si>
  <si>
    <t>NORWICH CITY SD</t>
  </si>
  <si>
    <t>To Help Defer Local Share For Bus And Project Costs</t>
  </si>
  <si>
    <t>For Authorized Payments As They Relate To Personnel Retirements</t>
  </si>
  <si>
    <t>For the Replacement Cost of Certain Equipment</t>
  </si>
  <si>
    <t>For Replace_x000D_
Ment Of Certain Equipment Due To Damage</t>
  </si>
  <si>
    <t>For Needed Repairs To Facility As Required</t>
  </si>
  <si>
    <t>For Unemployment Claims During School Year</t>
  </si>
  <si>
    <t>081401</t>
  </si>
  <si>
    <t>GEORGETOWN-SOUTH OTSELIC CSD</t>
  </si>
  <si>
    <t>The Intended Use Of This Reserve In The 2018-19 School Year Is To Maintain This Reserve In Accordance With The District'S Reserve Plan.</t>
  </si>
  <si>
    <t>081501</t>
  </si>
  <si>
    <t>OXFORD ACADEMY &amp; CSD</t>
  </si>
  <si>
    <t>103250</t>
  </si>
  <si>
    <t>FUND BALANCE FOR DEBT SERVICE</t>
  </si>
  <si>
    <t>280000</t>
  </si>
  <si>
    <t>Ers Retirement Reserve</t>
  </si>
  <si>
    <t>323956</t>
  </si>
  <si>
    <t>082001</t>
  </si>
  <si>
    <t>SHERBURNE-EARLVILLE CSD</t>
  </si>
  <si>
    <t>To Pay The Cost Of Any Object Or Purpose For Which Bonds May Be Issued.</t>
  </si>
  <si>
    <t>To Pay Accrued Benefits Due Employees Upon Termination Of Service For Vacation, Sick Leave, Personal Leave Etc.</t>
  </si>
  <si>
    <t>To Pay Liability, Casualty And Other Types Of Losses, Except Those For Which Insurance May Be Purchased</t>
  </si>
  <si>
    <t>For Repairs To Capital Improvements Or Equipment Not Recurring Annually Or At Shorter Intervals.</t>
  </si>
  <si>
    <t>To Fund Employer Contributions To The New York State And Local Employees' Retirement System (Ers)</t>
  </si>
  <si>
    <t>To Pay Judgments &amp; Claims In Tax Certiorari Proceedings</t>
  </si>
  <si>
    <t>To Pay The Cost Of Reimbursement To The State Unemployment Insurance Fund For Payments Made To Claimants.</t>
  </si>
  <si>
    <t>090201</t>
  </si>
  <si>
    <t>AUSABLE VALLEY CSD</t>
  </si>
  <si>
    <t>Ebla</t>
  </si>
  <si>
    <t>The District Will Use $200,000 Of The Reserve For Retirements</t>
  </si>
  <si>
    <t>090301</t>
  </si>
  <si>
    <t>BEEKMANTOWN CSD</t>
  </si>
  <si>
    <t>The Reserve Was Originally Created By Voter Approval In May 2016 For An Estimated $18Mm Proposed Capital Project. The Reserve Was Re-Established In May 2017 By Voter Approval To Support Future Capita</t>
  </si>
  <si>
    <t>Reserve For Ee Benefits-Sick</t>
  </si>
  <si>
    <t>Planned Use Of This Reserve Is To Pay For Accrued Employee Benefits Upon Separation Of Employment. The Ebalr Liability Is Discounted Based Upon Historical Employment History. The Reserve Is Not Fully</t>
  </si>
  <si>
    <t>This Reserve Will Be Used To Pay Any Allowable Claims From Certain Uninsured Losses, Actions Or Judgements.</t>
  </si>
  <si>
    <t>Reserve For Empl Retirement (Ers)</t>
  </si>
  <si>
    <t>The Board Will Include Use Of The Ers Reserve Funds In The Voter Proposed Budget To Help Offset The Cost Of Nys Ers Premiums Paid. The Appropriation Of This Reserve Can Help Offset Major Spikes In E</t>
  </si>
  <si>
    <t>This Reserve Is Planned To Pay For Tax Certiorari Claims Pending The Determination Of Current Legal Action. The Funding Level Is Based Upon Actual Claims As Served Upon The District.</t>
  </si>
  <si>
    <t>The District Is Self Funded With Regard To Payment Of Unemployment Claims And Reimburses The State For Payments Made To Claimants As The District Uses The Benefit Reimbursement Method. With Certain An</t>
  </si>
  <si>
    <t>Reserve For Workers Comp</t>
  </si>
  <si>
    <t>The District Is Part Of A Worker'S Compensation Consortium And Is Considered Self Insured. Given The History Of The Cases In The District It Is Predictable The District Will Incur Expenditures Every</t>
  </si>
  <si>
    <t>090501</t>
  </si>
  <si>
    <t>NORTHEASTERN CLINTON CSD</t>
  </si>
  <si>
    <t>No Anticipated Use Unless Claim Is Experienced</t>
  </si>
  <si>
    <t>No Anticipated Use</t>
  </si>
  <si>
    <t>Tax Certiorari Reseve</t>
  </si>
  <si>
    <t>Interest Earnings Balance</t>
  </si>
  <si>
    <t>090601</t>
  </si>
  <si>
    <t>CHAZY UFSD</t>
  </si>
  <si>
    <t>No Capital Project Projected For 18-19</t>
  </si>
  <si>
    <t>Employee Benefit &amp; Accrued Liability</t>
  </si>
  <si>
    <t>Fund Retirement Benefits Per Contrat</t>
  </si>
  <si>
    <t>Used To Fund Retirement Payments</t>
  </si>
  <si>
    <t>Offset Any Unemployment Costs</t>
  </si>
  <si>
    <t>091101</t>
  </si>
  <si>
    <t>PERU CSD</t>
  </si>
  <si>
    <t>General Purpose Capital Reserve</t>
  </si>
  <si>
    <t>Reduction Based On Proposed Capital Project Presented To Voters On May 15, 2018.  If Not Approved, Reduction Will Not Occur.</t>
  </si>
  <si>
    <t>$300,000 Is Planned For Use In 2018-19 To Address Two (2) Administrators And A High Number Of Teachers Projected To Retire.</t>
  </si>
  <si>
    <t>Retirement Contribution Reser Contribution Reserve</t>
  </si>
  <si>
    <t>$150,000 Is Planned For Use In 2018-19 To Offset Ers Employer Contributions.</t>
  </si>
  <si>
    <t>091200</t>
  </si>
  <si>
    <t>PLATTSBURGH CITY SD</t>
  </si>
  <si>
    <t>Payments Per Contract</t>
  </si>
  <si>
    <t>Pay Ers Bill</t>
  </si>
  <si>
    <t>Pay Settled Claims And Increase Based On New Filings</t>
  </si>
  <si>
    <t>Pay Workers Comp Bill</t>
  </si>
  <si>
    <t>091402</t>
  </si>
  <si>
    <t>SARANAC CSD</t>
  </si>
  <si>
    <t>Capital Reserve  Bus</t>
  </si>
  <si>
    <t>A Portion Of The Total Is Expected To Be Used Towards The Purchase Of A Bus.</t>
  </si>
  <si>
    <t>Capital Reserve Project</t>
  </si>
  <si>
    <t>No Planned Usage For 2018-19</t>
  </si>
  <si>
    <t>To Be Reduced For Outstanding Debt On Sold Buildings</t>
  </si>
  <si>
    <t>100501</t>
  </si>
  <si>
    <t>TACONIC HILLS CSD</t>
  </si>
  <si>
    <t>Capital Reserve (Est. 2015)</t>
  </si>
  <si>
    <t>To Fund Capital Project If Approved By Voters On 05/15/2018.</t>
  </si>
  <si>
    <t>Reserve For Employee Benefit Accrued Liability Res</t>
  </si>
  <si>
    <t>To pay the cost of technology improvements.</t>
  </si>
  <si>
    <t>Tax Certiorari (15-16, 16-17)</t>
  </si>
  <si>
    <t>100902</t>
  </si>
  <si>
    <t>Capital Fund Reserve</t>
  </si>
  <si>
    <t>This Is A Proposition For Our May Vote. In The Future We Would Use It To Lower The Local Cost On Our Next Capital Project.</t>
  </si>
  <si>
    <t>We Will Be Budgeting Zero And May Use This Reserve To Pay For Retirement Sick Day Payout.</t>
  </si>
  <si>
    <t>We Don'T Plan On Using This Reserve In The 18-19 School Year Unless Their Is A Emergency Repair. If The Capital Reserve Proposition Passes, We Will Move Some Funds Into The Capital Reserve.</t>
  </si>
  <si>
    <t>Reserve For Retire System</t>
  </si>
  <si>
    <t>We Don'T Plan On Using This Reserve In 18-19, If The Capital Proposition Passes, We Would Like To Move Some Funds From This Reserve And Put It In The New Capital Reserve.</t>
  </si>
  <si>
    <t>We Don'T Plan On Using This Reserve In 18-19.</t>
  </si>
  <si>
    <t>We Will Be Budgeting Zero And Plan On Using 38,000 In 18-19 From This Reserve</t>
  </si>
  <si>
    <t>Reserve For Workers' Compensation</t>
  </si>
  <si>
    <t>In 18-19 We Will Be Budgeting Zero And Plan On Using $15,000.</t>
  </si>
  <si>
    <t>101001</t>
  </si>
  <si>
    <t>CHATHAM CSD</t>
  </si>
  <si>
    <t>Capital Reserve 2</t>
  </si>
  <si>
    <t>Plan To Use For Capital Project Voted On May 2018</t>
  </si>
  <si>
    <t>Capital Reserve 3</t>
  </si>
  <si>
    <t>Will Use To Pay Retirees Accrued Time</t>
  </si>
  <si>
    <t>No Planned Use</t>
  </si>
  <si>
    <t>Plan To Use $100,000 For Workers Compensation Costs</t>
  </si>
  <si>
    <t>101300</t>
  </si>
  <si>
    <t>To Make Sick And Vacation Payouts To Retirees</t>
  </si>
  <si>
    <t>None. Funding Will Be On May 15Th Ballot._x000D_
None - Funding Reserve Will Be On May 15Th Ballot.</t>
  </si>
  <si>
    <t>101401</t>
  </si>
  <si>
    <t>$54,458 As Revenue Source</t>
  </si>
  <si>
    <t>Employee Benefit Liability Res</t>
  </si>
  <si>
    <t>If Needed</t>
  </si>
  <si>
    <t>Not Expected</t>
  </si>
  <si>
    <t>Tax Reduction Resrve</t>
  </si>
  <si>
    <t>$32,170 As Revenue Source</t>
  </si>
  <si>
    <t>101601</t>
  </si>
  <si>
    <t>NEW LEBANON CSD</t>
  </si>
  <si>
    <t>To Fund Capital Project Beginning Summer 2019</t>
  </si>
  <si>
    <t>Due June 2018</t>
  </si>
  <si>
    <t>Emp Benefit</t>
  </si>
  <si>
    <t>110101</t>
  </si>
  <si>
    <t>CINCINNATUS CSD</t>
  </si>
  <si>
    <t>Retirement Contriution Reserve</t>
  </si>
  <si>
    <t>The District Anticipates The Use Of $90,000 From This Reserve To Pay For Allowable Ers Costs.</t>
  </si>
  <si>
    <t>The District Anticipates The Use Of $51,627 From This Reserve To Pay For Allowable Workers' Compensation Costs.</t>
  </si>
  <si>
    <t>110200</t>
  </si>
  <si>
    <t>CORTLAND CITY SD</t>
  </si>
  <si>
    <t>The District Does Not Intend To Use This Reserve In 2018-19.</t>
  </si>
  <si>
    <t>The District Does Not Intend To Use This Reserve In 2018-19</t>
  </si>
  <si>
    <t>The District Intends To Use $250,000 Of This Reserve In 2018-19.</t>
  </si>
  <si>
    <t>The District Does Not Intend To Use This Reserve In 2018-19 But May Request Authorization To Transfer Funds To Cover Workers Comp Expenditures That Exceed Current Reserve Balance.</t>
  </si>
  <si>
    <t>The District Intends To Use $100,000 Of This Reserve On Eligible And Necessary Repairs.</t>
  </si>
  <si>
    <t>Employee Retirement Reserve</t>
  </si>
  <si>
    <t>The District Plans To Use $656,067 Of This Reserve In 2018-19.</t>
  </si>
  <si>
    <t>The District Has 1,445,234  In Tax Certiorari Liabilities.  The District Expends This Reserve As Required By Proceedings.</t>
  </si>
  <si>
    <t>The District Anticipates Using $20,000 From This Reserve  In 2018-19 For Unemployment Expenditures.</t>
  </si>
  <si>
    <t>The District Intends To Use All Of This Reserve In 2018-19 For Workers Compensation Expenditures And Will Likely Be Transferring Additional Funds To This Reserve.</t>
  </si>
  <si>
    <t>110304</t>
  </si>
  <si>
    <t>MCGRAW CSD</t>
  </si>
  <si>
    <t>The District Anticipates The Use Of $110,000 From This Reserve To Pay For Allowable Ers Costs.</t>
  </si>
  <si>
    <t>The District Anticipates The Use Of $40,000 From This Reserve To Pay For Allowable Workers' Compensation Costs.</t>
  </si>
  <si>
    <t>110701</t>
  </si>
  <si>
    <t>HOMER CSD</t>
  </si>
  <si>
    <t>$400,000 Of This Reserve Will Be Used Toward Turf Replacement Project As Per Voter Approval On 12/12/17. Addition Of $465,783 From The Retirement Reserve.</t>
  </si>
  <si>
    <t>Planned Use Of Reserves Of Offset Local Share Of Debt Service. $308, 234 Is The Planned Amount. This Will Continue As Needed And Planned Until 2035.</t>
  </si>
  <si>
    <t>Eblr Reserve</t>
  </si>
  <si>
    <t>Reserve Will Be Monitored To Match Employee Compensated Absences.</t>
  </si>
  <si>
    <t>X</t>
  </si>
  <si>
    <t>x</t>
  </si>
  <si>
    <t>The District Will Set Up A New Capital Reserve And Move $465,783 From This Fund To The New Reserve.</t>
  </si>
  <si>
    <t>Reserve Will Be Lowered Depending On Results Of Rite Aid Case. Monies Will Be Sent To The General Fund.</t>
  </si>
  <si>
    <t>District Will Use Reserve To Pay Unemployment Costs To Nys In The Case Of Teachers Who Are Laid Off.</t>
  </si>
  <si>
    <t>District Is Self Insured. Will Be Used As Necessary To Balance Claims.</t>
  </si>
  <si>
    <t>110901</t>
  </si>
  <si>
    <t>MARATHON CSD</t>
  </si>
  <si>
    <t>Upcoming Capital Project</t>
  </si>
  <si>
    <t>Post Retirement Benefits For Upcoming Retirees</t>
  </si>
  <si>
    <t>Boiler &amp; Safety Repairs</t>
  </si>
  <si>
    <t>Employee Retirement Contribution Reserve</t>
  </si>
  <si>
    <t>Employee Retirement System Costs</t>
  </si>
  <si>
    <t>No Planned Use In 2018-2019</t>
  </si>
  <si>
    <t>Workers Compensation Costs</t>
  </si>
  <si>
    <t>120102</t>
  </si>
  <si>
    <t>ANDES CSD</t>
  </si>
  <si>
    <t>Use If There Are Retirement Claim.</t>
  </si>
  <si>
    <t>Use If There Is An Insurance Claim.</t>
  </si>
  <si>
    <t>Use If There Is A Liability Claim.</t>
  </si>
  <si>
    <t>Use To Pay Part Of The District Share Of The Ers Expenses.</t>
  </si>
  <si>
    <t>Use If District Receives Unemployment Claims.</t>
  </si>
  <si>
    <t>120301</t>
  </si>
  <si>
    <t>All To Be Used To Fund Capital Project If Approved</t>
  </si>
  <si>
    <t>Pay Accrued Employee Benefits</t>
  </si>
  <si>
    <t>120401</t>
  </si>
  <si>
    <t>CHARLOTTE VALLEY CSD</t>
  </si>
  <si>
    <t>Use If There Are Retirement Claim(S).</t>
  </si>
  <si>
    <t>Use If The Facilities Need Repairs.</t>
  </si>
  <si>
    <t>Use To Pay The Tax Certiorari Cases.</t>
  </si>
  <si>
    <t>Use If The District Receives Unemployment Claim(S).</t>
  </si>
  <si>
    <t>120501</t>
  </si>
  <si>
    <t>DELAWARE ACADEMY CSD AT DELHI</t>
  </si>
  <si>
    <t>A Portion To Help Pay For Any Retirement Claims</t>
  </si>
  <si>
    <t>A Portion To Help Pay For Any Unexpected Liability Claims</t>
  </si>
  <si>
    <t>A Large Portion Will Be Used For Debt Reduction Of Future Capital Project Going To Vote On 5/15/18</t>
  </si>
  <si>
    <t>A Portion To Help Pay For Any Increases In Retirement Expenses</t>
  </si>
  <si>
    <t>A Portion To Help Pay For Any Unemployment Claims</t>
  </si>
  <si>
    <t>W/C</t>
  </si>
  <si>
    <t>A Portion To Help Pay For Yearly W/C Premiums</t>
  </si>
  <si>
    <t>120701</t>
  </si>
  <si>
    <t>FRANKLIN CSD</t>
  </si>
  <si>
    <t>Fund Capital Project Approved By Voters In Nov 2016.</t>
  </si>
  <si>
    <t>Pay For Employees Accrued Unused Sick Days At  Time Of Retirement. Estimate $25,000 To Be Used In 2018-19</t>
  </si>
  <si>
    <t>Fund A Portion Of Annual Nys Ers Expenses. Estimate $50,000 To Be Used In 2018-19</t>
  </si>
  <si>
    <t>Fund Unemployment Claims. Estimate $2,500 To Be Used In 2018-19</t>
  </si>
  <si>
    <t>120906</t>
  </si>
  <si>
    <t>HANCOCK CSD</t>
  </si>
  <si>
    <t>Buses</t>
  </si>
  <si>
    <t>To Purchase Buses</t>
  </si>
  <si>
    <t>Retirement Pay Outs</t>
  </si>
  <si>
    <t>No Intended Use At This Time</t>
  </si>
  <si>
    <t>121401</t>
  </si>
  <si>
    <t>MARGARETVILLE CSD</t>
  </si>
  <si>
    <t>Use If There Are Retirement Claims.</t>
  </si>
  <si>
    <t>Re</t>
  </si>
  <si>
    <t>Use If The District Receives Unemployment Claims.</t>
  </si>
  <si>
    <t>121502</t>
  </si>
  <si>
    <t>ROXBURY CSD</t>
  </si>
  <si>
    <t>No Plans To Use This Reserve As Of Now.</t>
  </si>
  <si>
    <t>$ 180,462  Toward Payment In December.</t>
  </si>
  <si>
    <t>121601</t>
  </si>
  <si>
    <t>SIDNEY CSD</t>
  </si>
  <si>
    <t>Monies Assigned To The Current Capital Project To Reduce The Tax Burden</t>
  </si>
  <si>
    <t>$850,000 Assigned To Pay Bond Capital Debt</t>
  </si>
  <si>
    <t>Will Be Used When An Employee Leaves The District</t>
  </si>
  <si>
    <t>No Scheduled Use At This Time</t>
  </si>
  <si>
    <t>$300,000 Assigned To Offset Ers Contributions</t>
  </si>
  <si>
    <t>No Outstanding Tax Settlements At Present</t>
  </si>
  <si>
    <t>No Tax Increase No Scheduled Use At This Time</t>
  </si>
  <si>
    <t>Unemployment Ins</t>
  </si>
  <si>
    <t>121701</t>
  </si>
  <si>
    <t>STAMFORD CSD</t>
  </si>
  <si>
    <t>Bus Reserve 2015</t>
  </si>
  <si>
    <t>Bus Purchase</t>
  </si>
  <si>
    <t>Bus Reserve 2017</t>
  </si>
  <si>
    <t>No Use</t>
  </si>
  <si>
    <t>Tech Equipment Reserve</t>
  </si>
  <si>
    <t>Employee Benefits Liab Reserve</t>
  </si>
  <si>
    <t>No Ue</t>
  </si>
  <si>
    <t>To Help Pay Ers Costs</t>
  </si>
  <si>
    <t>To Pay Unemployment Claims</t>
  </si>
  <si>
    <t>To Pay Workers Comp Claims</t>
  </si>
  <si>
    <t>121702</t>
  </si>
  <si>
    <t>SOUTH KORTRIGHT CSD</t>
  </si>
  <si>
    <t>Purchase 65 Passenger Bus</t>
  </si>
  <si>
    <t>No Planned Use At This Time</t>
  </si>
  <si>
    <t>121901</t>
  </si>
  <si>
    <t>WALTON CSD</t>
  </si>
  <si>
    <t>Tax Certiorari Settled/Funds Returned To General Fund</t>
  </si>
  <si>
    <t>130200</t>
  </si>
  <si>
    <t>To Use In Our Current Capital Project</t>
  </si>
  <si>
    <t>Empl Benefit Acc Liabq</t>
  </si>
  <si>
    <t>To Be Used For Retirement Costs If Needed</t>
  </si>
  <si>
    <t>Retirement Cont</t>
  </si>
  <si>
    <t>To Be Used To Offset Ers If Needed</t>
  </si>
  <si>
    <t>To Be Used To Offset Future Claims</t>
  </si>
  <si>
    <t>We Will Use $250,000 To Reduce The Tax Levy_x000D_
We Will Use $250,000 To Reduce The Tax Levy</t>
  </si>
  <si>
    <t>To Offset Unemployment Claims If They Become Excessive</t>
  </si>
  <si>
    <t>130502</t>
  </si>
  <si>
    <t>DOVER UFSD</t>
  </si>
  <si>
    <t>No Use Intended For '18-'19.</t>
  </si>
  <si>
    <t>Utilize $60,000 To Pay Accrued Benefits.</t>
  </si>
  <si>
    <t>Retirement Contrib Reserve</t>
  </si>
  <si>
    <t>130801</t>
  </si>
  <si>
    <t>HYDE PARK CSD</t>
  </si>
  <si>
    <t>2M Capital Reserve</t>
  </si>
  <si>
    <t>Use To Offset Cost Of Capital Project</t>
  </si>
  <si>
    <t>Emp Benefit Accrued Liab Reserve</t>
  </si>
  <si>
    <t>Use For Compensated Absences</t>
  </si>
  <si>
    <t>Use For Emergency Repairs If Needed</t>
  </si>
  <si>
    <t>$250,000 Will Be Appropriated To 2018/19 Tax Levy</t>
  </si>
  <si>
    <t>Will Be Used To Pay Tax Certiorari Judments</t>
  </si>
  <si>
    <t>If Needed, Use Towards Unemployment Payments</t>
  </si>
  <si>
    <t>Balance Will Be Appropriated To 2018/19 Tax Levy</t>
  </si>
  <si>
    <t>131101</t>
  </si>
  <si>
    <t>NORTHEAST CSD</t>
  </si>
  <si>
    <t>Capital Reserve Bus Garage</t>
  </si>
  <si>
    <t>To Be Applied To Reduce A Prospective Referendum.</t>
  </si>
  <si>
    <t>Reserve For Employee Benefit &amp; Accrued Liabilities</t>
  </si>
  <si>
    <t>To Pay Accrued Benefits Due To Employees Upon Termination Of Service For Vacation, Sick Leave, Etc.</t>
  </si>
  <si>
    <t>To Be Cover Expenses Due To Liabilities, Casualties Or Other Losses Not Covered By Insurance Policies.</t>
  </si>
  <si>
    <t>To Neutralize Future Year Spikes In Ers Rates.</t>
  </si>
  <si>
    <t>To Be Applied To Cover Pending Court Decisions On Existing Tax Certiorari Judgments.</t>
  </si>
  <si>
    <t>To Cover Appropriation Expenses To Reimburse The State Unemployment Insurance Fund For Payments Made To Claimants.</t>
  </si>
  <si>
    <t>To Be Applied To Reduce Worker'S Compensation Expenses.</t>
  </si>
  <si>
    <t>131201</t>
  </si>
  <si>
    <t>PAWLING CSD</t>
  </si>
  <si>
    <t>Construction Of, And General Improvements, Reconsruction, Rnovations Or Additions To, The District'S Buildings And Grounds.</t>
  </si>
  <si>
    <t>Reserve For Employee Benefits</t>
  </si>
  <si>
    <t>Pay For Accrued Employee Benefits Due Upon Termination Of Services</t>
  </si>
  <si>
    <t>Pay For Goods And Services Encumbered But Not Paid</t>
  </si>
  <si>
    <t>Fund Ers Employer Contribution For Next 5 Years</t>
  </si>
  <si>
    <t>Pay For Outstanding Tax Certiorari Claims</t>
  </si>
  <si>
    <t>Cover Catastrophic Cases-No Longer Needed As Consortium Is Now Solvent</t>
  </si>
  <si>
    <t>131301</t>
  </si>
  <si>
    <t>PINE PLAINS CSD</t>
  </si>
  <si>
    <t>Dwrrc 2016</t>
  </si>
  <si>
    <t>Fund Capital Project: Auditorium Renovation And Gym Floor Replacement.  Use Of Capital Reserve Funds Approved By District Voters On May 16, 2017.</t>
  </si>
  <si>
    <t>Dwrrc 2014</t>
  </si>
  <si>
    <t>Payment Of Compensated Absences To Qualified Retirees</t>
  </si>
  <si>
    <t>Reserve To Be Established 5/2018.</t>
  </si>
  <si>
    <t>Appropriate $635,200 Towards 2018-19 Tax Levy</t>
  </si>
  <si>
    <t>Payment Of Settled Tax Certiorari Proceedings</t>
  </si>
  <si>
    <t>Workers' Comp</t>
  </si>
  <si>
    <t>All Funds To Be Transferred To Repair Reserve</t>
  </si>
  <si>
    <t>131500</t>
  </si>
  <si>
    <t>POUGHKEEPSIE CITY SD</t>
  </si>
  <si>
    <t>None Planned</t>
  </si>
  <si>
    <t>Based On Settlements</t>
  </si>
  <si>
    <t>131601</t>
  </si>
  <si>
    <t>ARLINGTON CSD</t>
  </si>
  <si>
    <t>Buildings &amp; Facilities Improvement Reserve</t>
  </si>
  <si>
    <t>$1,518,000 To Support A Voter Proposition</t>
  </si>
  <si>
    <t>Reserve For Employee Benefits /Accrued Liabilities</t>
  </si>
  <si>
    <t>Retirement System Contribution Reserve</t>
  </si>
  <si>
    <t>131602</t>
  </si>
  <si>
    <t>SPACKENKILL UFSD</t>
  </si>
  <si>
    <t>Vehicle</t>
  </si>
  <si>
    <t>New Bus</t>
  </si>
  <si>
    <t>Ebal</t>
  </si>
  <si>
    <t>0 No Expenses</t>
  </si>
  <si>
    <t>General</t>
  </si>
  <si>
    <t>60000  Property Insurance Expenses</t>
  </si>
  <si>
    <t>Tax Cert</t>
  </si>
  <si>
    <t>125000  Tax Certiorari</t>
  </si>
  <si>
    <t>Unemployement</t>
  </si>
  <si>
    <t>75000  Unemployment Expense</t>
  </si>
  <si>
    <t>40000  Workers Comp Expenses</t>
  </si>
  <si>
    <t>131701</t>
  </si>
  <si>
    <t>RED HOOK CSD</t>
  </si>
  <si>
    <t>Emp Ben Acc Liab</t>
  </si>
  <si>
    <t>Contractual Payments Or Retain</t>
  </si>
  <si>
    <t>Retirement Stabilization Or Retain</t>
  </si>
  <si>
    <t>Lay Off Claims Or Retain</t>
  </si>
  <si>
    <t>Closed</t>
  </si>
  <si>
    <t>131801</t>
  </si>
  <si>
    <t>RHINEBECK CSD</t>
  </si>
  <si>
    <t>To Pay For Future Employee Benefits</t>
  </si>
  <si>
    <t>To Pay For Outstanding Prior Year Tax Certiorari Claims</t>
  </si>
  <si>
    <t>To Pay For Unemployment Claims Not Budgeted In General Fund</t>
  </si>
  <si>
    <t>Balance Being Transferred To Unassigned Fund Balance</t>
  </si>
  <si>
    <t>132101</t>
  </si>
  <si>
    <t>Property Loss &amp; Liability</t>
  </si>
  <si>
    <t>No Plans For Usage At This Time</t>
  </si>
  <si>
    <t>Tax Certiorari 92/3</t>
  </si>
  <si>
    <t>No Balance For 2018-2019</t>
  </si>
  <si>
    <t>132201</t>
  </si>
  <si>
    <t>MILLBROOK CSD</t>
  </si>
  <si>
    <t>140101</t>
  </si>
  <si>
    <t>ALDEN CSD</t>
  </si>
  <si>
    <t>Bdgs And Grds Reserve 2016</t>
  </si>
  <si>
    <t>No Planned Use In 2018-19</t>
  </si>
  <si>
    <t>Bus Reverve 2014</t>
  </si>
  <si>
    <t>If Approved By Voters, $348,488 Will Be Used To Purchase Buses</t>
  </si>
  <si>
    <t>Bdgs And Grds Reserve 2010</t>
  </si>
  <si>
    <t>If Approved By Voters, $78,700 Will Be Sued To Purchase Equipment For The Buildings And Grounds Department</t>
  </si>
  <si>
    <t>If Approved By Voters, $131,512 Will Be Used To Purchase Buses</t>
  </si>
  <si>
    <t>Plan To Use $87,000 To Offset Local Share Associated With Prior Capital Projects</t>
  </si>
  <si>
    <t>To Be Determined - Use Will Depend On Whether There Are Any Retirements In The 2018-19 Fiscal Year</t>
  </si>
  <si>
    <t>District Does Not Have This Reserve</t>
  </si>
  <si>
    <t>Ins &amp; Casualty Reserve</t>
  </si>
  <si>
    <t>N/A_x000D_
N/A_x000D_
District Does Not Have This Reserve</t>
  </si>
  <si>
    <t>To Be Determined - Dependent On Final Outcome Of Tax Certiorari Proceedings</t>
  </si>
  <si>
    <t>Plan To Use $56,550 To Cover Cost Associated With A 3.0 Fte Reduction In Workforce</t>
  </si>
  <si>
    <t>140201</t>
  </si>
  <si>
    <t>AMHERST CSD</t>
  </si>
  <si>
    <t>Capital Project Fund</t>
  </si>
  <si>
    <t>No Anticipated Use In 2018-19 School Year.</t>
  </si>
  <si>
    <t>Up To $200,000 Will Be Used To Offset Expenditures Due To Benefits Payable To Retiring Or Exiting Employees.</t>
  </si>
  <si>
    <t>Will Use Up To $60,000 To Offset Expenditures For Tax Claim Settlements.</t>
  </si>
  <si>
    <t>140203</t>
  </si>
  <si>
    <t>WILLIAMSVILLE CSD</t>
  </si>
  <si>
    <t>This Reserve Is Used For The Replacement Cost Of School Buses Owned By The District.</t>
  </si>
  <si>
    <t>Building</t>
  </si>
  <si>
    <t>The Majority Of These Funds Will Be Used To Lower The Borrowing Amount Needed To Finance The 2018 Capital Project Proposition.</t>
  </si>
  <si>
    <t>This Reserve Is Used Each Year To Pay For Contractual Benefits Payable To Employees Who Have Retired.</t>
  </si>
  <si>
    <t>The Majority Of These Funds Are Restricted For Use By The District.  They Are Attributed To Non-Spendable Life Insurance Policies That Must Be Accounted For As A Reserve.</t>
  </si>
  <si>
    <t>This Reserve Will Be Expended To Pay For 2019 Debt Payments.</t>
  </si>
  <si>
    <t>This Reserve Is Used Each Year To Fund Repairs Approved After The Board Of Education Holds A Public Hearing On District-Wide Repairs</t>
  </si>
  <si>
    <t>This Reserve Is Used Each Year To Pay A Portion Of The District'S Ers Liability.</t>
  </si>
  <si>
    <t>This Reserve Is Used Each Year When The District Receives Tax Certiorari Claims Each Year.  These Funds Provide Funding For Court Imposed Settlements.</t>
  </si>
  <si>
    <t>The Future Volatility Of District Decision On Employee Staffing Must Be Planned For Carefully.  This Reserve Will Fund Future Unemployment Payments For These Situations.</t>
  </si>
  <si>
    <t>This Reserve Is Used Each Year.  The Reserve Balance Is Required Due To The District Being Self-Insured And Its Balance Is Supported By External Documentation Based Future Claim Projections.</t>
  </si>
  <si>
    <t>140207</t>
  </si>
  <si>
    <t>1,275,000 Is Allocated For Debt Service Expenses</t>
  </si>
  <si>
    <t>50,000 Is Allocated For Retirement Contribution Expenses</t>
  </si>
  <si>
    <t>75,000 Is Allocated For Workers Compensation Expenses</t>
  </si>
  <si>
    <t>140301</t>
  </si>
  <si>
    <t>EAST AURORA UFSD</t>
  </si>
  <si>
    <t>No Intended Use In 18-19 - Future Projects</t>
  </si>
  <si>
    <t>No Intended Use In 18-19 - Future Retirements</t>
  </si>
  <si>
    <t>No Intended Use In 18-19 - Future Claims</t>
  </si>
  <si>
    <t>No Intended Use In 18-19 - Future Repairs</t>
  </si>
  <si>
    <t>$208,000 Current Claim</t>
  </si>
  <si>
    <t>140701</t>
  </si>
  <si>
    <t>CHEEKTOWAGA CSD</t>
  </si>
  <si>
    <t>Reserve Will Not Be Used In The 2018-19 School Year.</t>
  </si>
  <si>
    <t>Entire Balance Of Reserve Will Be Used In 2018-19 To Pay Interest And Principal On Bond Anticipation Notes Issued April 2018.</t>
  </si>
  <si>
    <t>Reserve Will Be Used To Fund Obligations For Accrued Compensated Absences For Retirees With Effective Dates In School Year 2018-19.</t>
  </si>
  <si>
    <t>Reserve Is To Fund Uninsured Losses. Reserve Will Only Be Used In 2018-19 If Such Uninsured Losses Occur.</t>
  </si>
  <si>
    <t>Reserve Is To Fund Emergency Equipment/Facilities Repair. Reserve_x000D_
Will Only Be Used In 2018-19 School Year If Such Emergency Repairs Are_x000D_
Necessary.</t>
  </si>
  <si>
    <t>Tax Certiorari Reserve Will Be Used As Claims Are Settled During The_x000D_
Year. As Of 3/30/18, The District Is Unaware Of Amount Of Claims To Be_x000D_
Paid In 2018-19.</t>
  </si>
  <si>
    <t>Reserve Will Not Be Used In 2018-19 School Year.</t>
  </si>
  <si>
    <t>140702</t>
  </si>
  <si>
    <t>CHEEKTOWAGA-MARYVALE UFSD</t>
  </si>
  <si>
    <t>Reserve A 5 Million Cap</t>
  </si>
  <si>
    <t>Offset Cost Of Fall 2017 Project</t>
  </si>
  <si>
    <t>Offset Associated Debt Service Payments</t>
  </si>
  <si>
    <t>For Accrued Employee Benefits Due To Employees Upon Termination Of Service</t>
  </si>
  <si>
    <t>Retirement Contirbution</t>
  </si>
  <si>
    <t>Offset Ers Costs</t>
  </si>
  <si>
    <t>Tax Certiorari Settlements</t>
  </si>
  <si>
    <t>For The Gradual Use Of The Proceeds Of The Sale Of School District Real Property</t>
  </si>
  <si>
    <t>To Pay For Unemployment Costs</t>
  </si>
  <si>
    <t>For Self-Insured Workers Comp And Benefits</t>
  </si>
  <si>
    <t>140703</t>
  </si>
  <si>
    <t>CLEVELAND HILL UFSD</t>
  </si>
  <si>
    <t>Capital Vehicle Reserve</t>
  </si>
  <si>
    <t>Budget Proposition.  Planned Use Next Year Vehicle Purchase $40,000</t>
  </si>
  <si>
    <t>Reserve For Emp Benefits</t>
  </si>
  <si>
    <t>Planned Use Next Year $320,000</t>
  </si>
  <si>
    <t>140707</t>
  </si>
  <si>
    <t>DEPEW UFSD</t>
  </si>
  <si>
    <t>Capital Improvement Reserve For Vehicles &amp; Equip</t>
  </si>
  <si>
    <t>For Purchases Of Buses As Per Voter Approval And The Replacement Of Fuel Pumps</t>
  </si>
  <si>
    <t>Capital Improvement Reserve 2016</t>
  </si>
  <si>
    <t>2016 Capital Project Voter Approved 12/13/2016</t>
  </si>
  <si>
    <t>Retirement/Sick-Vac Days Payout</t>
  </si>
  <si>
    <t>Repairs To Pool Filter &amp; Cover</t>
  </si>
  <si>
    <t>Increases In Ers Costs</t>
  </si>
  <si>
    <t>Not Using For 2018/19</t>
  </si>
  <si>
    <t>Not Using For 2018-19</t>
  </si>
  <si>
    <t>Increases Of Wc Due To Increase Of Claims Costs</t>
  </si>
  <si>
    <t>140709</t>
  </si>
  <si>
    <t>CHEEKTOWAGA-SLOAN UFSD</t>
  </si>
  <si>
    <t>Capital Improvement Reserve</t>
  </si>
  <si>
    <t>No Use In 2018-2019 School Year.</t>
  </si>
  <si>
    <t>Debt Manadory Reserve</t>
  </si>
  <si>
    <t>$100,000 To Be Used Towards 2018-2019 Debt Obligations.</t>
  </si>
  <si>
    <t>Grant &amp; Donation Reserve</t>
  </si>
  <si>
    <t>Funds that have been provided to the District that are restricted in use by the terms of a grant or donation.</t>
  </si>
  <si>
    <t>These Funds (Estimated At $8,800) Are Expected To Be Expended During The 2018-2019 School Year In Compliance With Grant Or Donor Stipulations.</t>
  </si>
  <si>
    <t>140801</t>
  </si>
  <si>
    <t>CLARENCE CSD</t>
  </si>
  <si>
    <t>Debt</t>
  </si>
  <si>
    <t>Balance Local Share To Nys Aid</t>
  </si>
  <si>
    <t>Retirement Incentive Payoffs</t>
  </si>
  <si>
    <t>Certiorari</t>
  </si>
  <si>
    <t>Pay Adjudicated Claims</t>
  </si>
  <si>
    <t>141101</t>
  </si>
  <si>
    <t>SPRINGVILLE-GRIFFITH INST CSD</t>
  </si>
  <si>
    <t>636123</t>
  </si>
  <si>
    <t>5514</t>
  </si>
  <si>
    <t>Reserve For Liability &amp; Casulty</t>
  </si>
  <si>
    <t>284650</t>
  </si>
  <si>
    <t>Worker'S Comp Reserve</t>
  </si>
  <si>
    <t>141201</t>
  </si>
  <si>
    <t>EDEN CSD</t>
  </si>
  <si>
    <t>Equipment/Bus</t>
  </si>
  <si>
    <t>Bus &amp; Equipment Purchases</t>
  </si>
  <si>
    <t>Ebalar</t>
  </si>
  <si>
    <t>Retiree Vacation &amp; Sick Buyout</t>
  </si>
  <si>
    <t>Retirement Cont.</t>
  </si>
  <si>
    <t>Nys Ers Payment</t>
  </si>
  <si>
    <t>Unfunding</t>
  </si>
  <si>
    <t>141301</t>
  </si>
  <si>
    <t>IROQUOIS CSD</t>
  </si>
  <si>
    <t>Captial And Tech</t>
  </si>
  <si>
    <t>Anticipated Voter Approval For Tech Reserve Use.</t>
  </si>
  <si>
    <t>Appropriated To Fund Budget</t>
  </si>
  <si>
    <t>Employee Benefit/Acc Res</t>
  </si>
  <si>
    <t>Anticipated Insurance Claims</t>
  </si>
  <si>
    <t>Ant Board Approval - Non-Cap Proj Repairs</t>
  </si>
  <si>
    <t>141401</t>
  </si>
  <si>
    <t>EVANS-BRANT CSD (LAKE SHORE)</t>
  </si>
  <si>
    <t>Local Share Of Debt Service On Capital Projects</t>
  </si>
  <si>
    <t>141501</t>
  </si>
  <si>
    <t>GRAND ISLAND CSD</t>
  </si>
  <si>
    <t>We Do Not Intend To Use This Reserve In 18/19.</t>
  </si>
  <si>
    <t>The Intended Use Is To Transfer Reserve Amounts To Balance The 18/19 Budget.</t>
  </si>
  <si>
    <t>Employee Benefit Accrued Liabitliy</t>
  </si>
  <si>
    <t>141601</t>
  </si>
  <si>
    <t>HAMBURG CSD</t>
  </si>
  <si>
    <t>150000</t>
  </si>
  <si>
    <t>100000</t>
  </si>
  <si>
    <t>141604</t>
  </si>
  <si>
    <t>FRONTIER CSD</t>
  </si>
  <si>
    <t>No Intended Use N 2018-19.</t>
  </si>
  <si>
    <t>To Fund Increases In Benefit Payments To Employees.  Estimated Appropriation $100,000.</t>
  </si>
  <si>
    <t>To Fund Increases In Self-Insured Workers Comp Costs.  Estimated Appropriation $200,000.</t>
  </si>
  <si>
    <t>141701</t>
  </si>
  <si>
    <t>HOLLAND CSD</t>
  </si>
  <si>
    <t>Capital Projects</t>
  </si>
  <si>
    <t>None Anticipated.  Thi Reserve Will Be Applied For Future Capital Projects</t>
  </si>
  <si>
    <t>None Anticipated In 18-19</t>
  </si>
  <si>
    <t>None Anticipated In 18-19.</t>
  </si>
  <si>
    <t>141800</t>
  </si>
  <si>
    <t>LACKAWANNA CITY SD</t>
  </si>
  <si>
    <t>A867</t>
  </si>
  <si>
    <t>Supplement The General Fund (If Necessary) To Cover Expenses Associated With The Payout Of Terminal Leave Benefits.</t>
  </si>
  <si>
    <t>141901</t>
  </si>
  <si>
    <t>LANCASTER CSD</t>
  </si>
  <si>
    <t>Up To $1,010,329 Upon Voter Approval Of 5/15/18 Proposition #2</t>
  </si>
  <si>
    <t>Capital Improvements</t>
  </si>
  <si>
    <t>Up To $1,705,927, As Budgeted</t>
  </si>
  <si>
    <t>Employee Benefit Accrued Liabi</t>
  </si>
  <si>
    <t>Up To $365,000, As Budgeted</t>
  </si>
  <si>
    <t>Liability And Casualty</t>
  </si>
  <si>
    <t>Up To $2,287,811, As Budgeted</t>
  </si>
  <si>
    <t>Up To $135,000 As Budgeted</t>
  </si>
  <si>
    <t>Up To $50,000, As Budgeted</t>
  </si>
  <si>
    <t>Up To $20,000, As Budgeted</t>
  </si>
  <si>
    <t>142101</t>
  </si>
  <si>
    <t>AKRON CSD</t>
  </si>
  <si>
    <t>50000</t>
  </si>
  <si>
    <t>142201</t>
  </si>
  <si>
    <t>NORTH COLLINS CSD</t>
  </si>
  <si>
    <t>300000 For Bus &amp; Vehicle Purchase</t>
  </si>
  <si>
    <t>347000 To Exhaust Against Current Debt</t>
  </si>
  <si>
    <t/>
  </si>
  <si>
    <t>Liability Loss</t>
  </si>
  <si>
    <t>75000 For Parking Lot Repair</t>
  </si>
  <si>
    <t>145000  To Offset Ers Costs</t>
  </si>
  <si>
    <t>142301</t>
  </si>
  <si>
    <t>ORCHARD PARK CSD</t>
  </si>
  <si>
    <t>Will Not Be Used In 2018-19</t>
  </si>
  <si>
    <t>1750000</t>
  </si>
  <si>
    <t>Reserve For Turf Project</t>
  </si>
  <si>
    <t>For the local share payment of turf field expenses from the 2008 capital project</t>
  </si>
  <si>
    <t>35200</t>
  </si>
  <si>
    <t>Reserve For Playground Project</t>
  </si>
  <si>
    <t>For the local share payment of playground expenses from the 2008 capital project</t>
  </si>
  <si>
    <t>10640</t>
  </si>
  <si>
    <t>142500</t>
  </si>
  <si>
    <t>TONAWANDA CITY SD</t>
  </si>
  <si>
    <t>142601</t>
  </si>
  <si>
    <t>KENMORE-TONAWANDA UFSD</t>
  </si>
  <si>
    <t>$1,000,000 Appropriation For Debt Payments.</t>
  </si>
  <si>
    <t>$300,000 Appropriation For Employee Retirement Benefit Payments.</t>
  </si>
  <si>
    <t>To account for encumbrances carried forward to the next fiscal year</t>
  </si>
  <si>
    <t>Use Based On Outstanding Purchase Orders From Prior Year.</t>
  </si>
  <si>
    <t>Retirement Cont. Reserve</t>
  </si>
  <si>
    <t>$500,000 Appropriation For Tax Certiorari Settlements.</t>
  </si>
  <si>
    <t>Worker'S Compensation</t>
  </si>
  <si>
    <t>$200,000 Appropriation For Worker'S Compensation Claims.</t>
  </si>
  <si>
    <t>142801</t>
  </si>
  <si>
    <t>WEST SENECA CSD</t>
  </si>
  <si>
    <t>1025000</t>
  </si>
  <si>
    <t>Employee Benefit Acc Liability</t>
  </si>
  <si>
    <t>600000</t>
  </si>
  <si>
    <t>725000</t>
  </si>
  <si>
    <t>150301</t>
  </si>
  <si>
    <t>ELIZABETHTOWN-LEWIS CSD</t>
  </si>
  <si>
    <t>Transportation &amp; Maintenance Equipment</t>
  </si>
  <si>
    <t>Reserve For Accrued Employee Benefits Liability</t>
  </si>
  <si>
    <t>Payment Of Unused Sick Leave Associated With Retirement Of An Employee.</t>
  </si>
  <si>
    <t>150601</t>
  </si>
  <si>
    <t>KEENE CSD</t>
  </si>
  <si>
    <t>Upcoming Retirement Incentives (Nov 2018)</t>
  </si>
  <si>
    <t>Will Be Used To Offset Cost Of Upcoming Capital Project Expenses For Architect</t>
  </si>
  <si>
    <t>Used Only If Needed</t>
  </si>
  <si>
    <t>150801</t>
  </si>
  <si>
    <t>MINERVA CSD</t>
  </si>
  <si>
    <t>No Plans To Use In 2018-2019</t>
  </si>
  <si>
    <t>To Pay Accrued Employee Benefits For New Retirees.</t>
  </si>
  <si>
    <t>$20,000 To Be Used For The Annual Nysers Payment</t>
  </si>
  <si>
    <t>To Pay Unemployment Claims.</t>
  </si>
  <si>
    <t>150901</t>
  </si>
  <si>
    <t>MORIAH CSD</t>
  </si>
  <si>
    <t>Mandatory Reserve Fund</t>
  </si>
  <si>
    <t>Monies To Pay Debt Service In Future Years</t>
  </si>
  <si>
    <t>Employee Benefit Reserve Fund</t>
  </si>
  <si>
    <t>Monies To Be Paid To Employees Upon Termination Of Service.  Planned Use $20,000</t>
  </si>
  <si>
    <t>Monies To Cover Property Loss</t>
  </si>
  <si>
    <t>Nys Ers Reserve Fund</t>
  </si>
  <si>
    <t>Monies To Be Paid As Employer Retirement Contributions.  $50,000 To Be Used In Sy 2018-19</t>
  </si>
  <si>
    <t>Reimburse State Unemployment Insurance Fund For Unemployment Claims.  Planned Use $1,500</t>
  </si>
  <si>
    <t>151001</t>
  </si>
  <si>
    <t>NEWCOMB CSD</t>
  </si>
  <si>
    <t>Will Use If Needed</t>
  </si>
  <si>
    <t>Plan To Use Toward  Debt  18/19</t>
  </si>
  <si>
    <t>Plan To Use If Needed</t>
  </si>
  <si>
    <t>Retire Contr Reserve</t>
  </si>
  <si>
    <t>Plan To Use In 18/19 If Needed</t>
  </si>
  <si>
    <t>151102</t>
  </si>
  <si>
    <t>LAKE PLACID CSD</t>
  </si>
  <si>
    <t>Reserve For Employee Benefit A</t>
  </si>
  <si>
    <t>An Estimated Amount Of $120,000 Will Be Used To Fund Employee Benefit Accrued Liabilities.</t>
  </si>
  <si>
    <t>Reserve For Liability Claims</t>
  </si>
  <si>
    <t>The Amount Of $184,176 Of This Reserve Will Be Used To  Fund The Districts Share Of A Boces Capital Project.</t>
  </si>
  <si>
    <t>Used To Fund Tax Certiorari Claims.</t>
  </si>
  <si>
    <t>Reserve For Unemploymenyt</t>
  </si>
  <si>
    <t>Used To Fund Unemployment Claims.</t>
  </si>
  <si>
    <t>151401</t>
  </si>
  <si>
    <t>SCHROON LAKE CSD</t>
  </si>
  <si>
    <t>Accrued Payment Employee Retirement Due</t>
  </si>
  <si>
    <t>Repair To Lighting, Repair To Roof, Front Steps</t>
  </si>
  <si>
    <t>Settlements On Tax Claims</t>
  </si>
  <si>
    <t>Unemployement Ins.Reserve</t>
  </si>
  <si>
    <t>For Reimbursement State Unemployment Ins.</t>
  </si>
  <si>
    <t>151501</t>
  </si>
  <si>
    <t>TICONDEROGA CSD</t>
  </si>
  <si>
    <t>Debt Service Fund</t>
  </si>
  <si>
    <t>This Reserve Will Be Used Over The Next Fifteen Years To Reduce The Tax Levy With The Associated Debt Service</t>
  </si>
  <si>
    <t>Tax Cap Reserve</t>
  </si>
  <si>
    <t>For taxes in excess of levy limit due to omitted taxes on tax roll</t>
  </si>
  <si>
    <t>Included In Tax Cap Calculation As Levy Offset</t>
  </si>
  <si>
    <t>No Intended Use For 18-19 School Year</t>
  </si>
  <si>
    <t>151601</t>
  </si>
  <si>
    <t>WESTPORT CSD</t>
  </si>
  <si>
    <t>Transportation &amp; Maintenance Equipment Reserve</t>
  </si>
  <si>
    <t>Voter Approved Resolution For Equipment Included In The 2018-19 Budget</t>
  </si>
  <si>
    <t>Payment Of Unused Sick Leave Associated With Retirement Of Eligible Employees.</t>
  </si>
  <si>
    <t>Payment Of Tax Certiorari Settlements, If Applicable.</t>
  </si>
  <si>
    <t>151701</t>
  </si>
  <si>
    <t>WILLSBORO CSD</t>
  </si>
  <si>
    <t>Capital Transportation</t>
  </si>
  <si>
    <t>Purpose To Construct Transportation Facility &amp;/Or Bus Purchases. No Further Action To Date, Plans Still At State Ed Planning.</t>
  </si>
  <si>
    <t>To Cover Debt Service Payment On Outstanding Bonds, Intended Use Of This Reserve To Be Applied During 2018/19 Budget Year.</t>
  </si>
  <si>
    <t>To Pay Accrued Benefits Due Employees Upon Termination Of Service, Larger Number Of Staff In Line For Retirement In 2018/19.</t>
  </si>
  <si>
    <t>To Fund Employer Retirement Contributions Payable To Nysers  No Anticipated Use In 2018/19</t>
  </si>
  <si>
    <t>To Pay Judgments &amp; Claims In Tax Certiorari Proceedings. Claim Still Open &amp; Not Finally Determined.</t>
  </si>
  <si>
    <t>To Pay The Cost Of Reimbursement To The State Unemployment Insurance Fund For Anticipated Payments Made To Claimants During The School Year</t>
  </si>
  <si>
    <t>160101</t>
  </si>
  <si>
    <t>TUPPER LAKE CSD</t>
  </si>
  <si>
    <t>Contractual Separation Payments To Employees Retiring From The District.</t>
  </si>
  <si>
    <t>Pay Claims For Positions Reduced During Budget Process.</t>
  </si>
  <si>
    <t>160801</t>
  </si>
  <si>
    <t>Employee Benefit Liability Fund</t>
  </si>
  <si>
    <t>Intend To Use To Pay A Portion Of The Sick Leave Payout For Retiring Teachers</t>
  </si>
  <si>
    <t>Intend To Use To Pay A Portion Of The Ers Retirement Bill</t>
  </si>
  <si>
    <t>Risk Retention</t>
  </si>
  <si>
    <t>Intend To Use To Pay Unemployment Costs</t>
  </si>
  <si>
    <t>161201</t>
  </si>
  <si>
    <t>SALMON RIVER CSD</t>
  </si>
  <si>
    <t>Reserve For Employee Benefits And Accrued Liabilit</t>
  </si>
  <si>
    <t>Used To Cover Cost Of Accrued Employee Benefits Upon Termination.</t>
  </si>
  <si>
    <t>This Is Used To Cover To Potential For Large Claims Raising Our Share Of The Self Insured Workers Compensation Plan.</t>
  </si>
  <si>
    <t>161401</t>
  </si>
  <si>
    <t>SARANAC LAKE CSD</t>
  </si>
  <si>
    <t>Capital Improvement Reserve Fund</t>
  </si>
  <si>
    <t>Transportation &amp; Maintenance Equipment Reserve Fun</t>
  </si>
  <si>
    <t>Tax Certiorari Reserve Fund</t>
  </si>
  <si>
    <t>Workers Compensation Reserve Fund</t>
  </si>
  <si>
    <t>161501</t>
  </si>
  <si>
    <t>MALONE CSD</t>
  </si>
  <si>
    <t>Rsrv Empl Benefits/Accrliab</t>
  </si>
  <si>
    <t>Cover Cost Of Emp Benefits</t>
  </si>
  <si>
    <t>Reduce Cost  Nysers</t>
  </si>
  <si>
    <t>Pending Tax Certiorari</t>
  </si>
  <si>
    <t>Cover Cost Of Cut Positions</t>
  </si>
  <si>
    <t>161601</t>
  </si>
  <si>
    <t>BRUSHTON-MOIRA CSD</t>
  </si>
  <si>
    <t>Capital Project $11,521,00</t>
  </si>
  <si>
    <t>Off Set Future School Debt</t>
  </si>
  <si>
    <t>Pay For Retiree Sick Days Due To Retirement</t>
  </si>
  <si>
    <t>Retirement Ers</t>
  </si>
  <si>
    <t>Off Set Future Ers Rate Increases</t>
  </si>
  <si>
    <t>Off Set Unemployment Insurance Claims In 18-19_x000D_
Offset 18-19 Ui Claims_x000D_
Offset 18-19 Ui Claims</t>
  </si>
  <si>
    <t>161801</t>
  </si>
  <si>
    <t>ST REGIS FALLS CSD</t>
  </si>
  <si>
    <t>Bus Acquisition Capital Project</t>
  </si>
  <si>
    <t>Current Capital Project $7.9 Million</t>
  </si>
  <si>
    <t>Payment Of Sick Days For Retirees</t>
  </si>
  <si>
    <t>170301</t>
  </si>
  <si>
    <t>WHEELERVILLE UFSD</t>
  </si>
  <si>
    <t>Bus Replacement Capital Reserve</t>
  </si>
  <si>
    <t>Pending Voter Approval Use Of $110,000 To Purchase Two New School Buses</t>
  </si>
  <si>
    <t>If Any Employee Retires The District Will Appropriate The Use Of This Fund</t>
  </si>
  <si>
    <t>No Intended Use As The Balance Will Be Zero</t>
  </si>
  <si>
    <t>170500</t>
  </si>
  <si>
    <t>GLOVERSVILLE CITY SD</t>
  </si>
  <si>
    <t>Roof Repairs From Recent Wind Damage</t>
  </si>
  <si>
    <t>Pay A Portion Of The Nys Ers Invoice</t>
  </si>
  <si>
    <t>Paid A Large Tax Cert Case In Apr 2018</t>
  </si>
  <si>
    <t>170600</t>
  </si>
  <si>
    <t>JOHNSTOWN CITY SD</t>
  </si>
  <si>
    <t>Capital Reserve- Construction</t>
  </si>
  <si>
    <t>Capital Reserve - Buses</t>
  </si>
  <si>
    <t>Reserve For Employee Benefits Accrued Liabilities</t>
  </si>
  <si>
    <t>50220</t>
  </si>
  <si>
    <t>170801</t>
  </si>
  <si>
    <t>MAYFIELD CSD</t>
  </si>
  <si>
    <t>Use For Capital Project And Bus Purchases</t>
  </si>
  <si>
    <t>Employee Benefit Accrued Liab</t>
  </si>
  <si>
    <t>Use If There Are Retirement Claims</t>
  </si>
  <si>
    <t>Use If There Is A Insurance Loss Claim</t>
  </si>
  <si>
    <t>Use If Boards Of Education Approves Repairs</t>
  </si>
  <si>
    <t>Use To Pay Part Of The District'S Ers Bill</t>
  </si>
  <si>
    <t>Use For Workers' Compensation Bill</t>
  </si>
  <si>
    <t>170901</t>
  </si>
  <si>
    <t>0_x000D_
There Is No Plan To Use These Reserve Funds In 2018/19</t>
  </si>
  <si>
    <t>The District Plans To Transfer The Amount Of Ers Payment Into 2018/19 From These Reserve Funds</t>
  </si>
  <si>
    <t>There Is No Plan To Use These Funds In 2018/19</t>
  </si>
  <si>
    <t>171102</t>
  </si>
  <si>
    <t>BROADALBIN-PERTH CSD</t>
  </si>
  <si>
    <t>To Cover Certain Capital Debt Expenses</t>
  </si>
  <si>
    <t>To Cover Potential Additional Retiree Benefit Expenses</t>
  </si>
  <si>
    <t>Ers Reseve</t>
  </si>
  <si>
    <t>To Cover Potential Additional Ers Expenses</t>
  </si>
  <si>
    <t>To Cover For Unanticipated Unemployment Costs</t>
  </si>
  <si>
    <t>180202</t>
  </si>
  <si>
    <t>ALEXANDER CSD</t>
  </si>
  <si>
    <t>Captial Reserve</t>
  </si>
  <si>
    <t>Fund Voter Approved Capital Project</t>
  </si>
  <si>
    <t>Debt Servie</t>
  </si>
  <si>
    <t>To Pay Existing Debt</t>
  </si>
  <si>
    <t>To Pay Benefits At Retirement</t>
  </si>
  <si>
    <t>Purchase Of Equipment By Voter Approval</t>
  </si>
  <si>
    <t>Pay District  Annual Portion Of Retirement Contributions</t>
  </si>
  <si>
    <t>Pay Annual Unemployment Premium</t>
  </si>
  <si>
    <t>Pay Workers Compensation Premium</t>
  </si>
  <si>
    <t>180300</t>
  </si>
  <si>
    <t>BATAVIA CITY SD</t>
  </si>
  <si>
    <t>No Intended Use Is Planned For 2018-19.  Reserve Is For Long Range Capital Project Planning.</t>
  </si>
  <si>
    <t>No Intended Use Is Planned For 2018-19.  Reserve Is Currently Discontinued And Is Being Used For Long Range Planning For Accrued Employee Benefits Under Gasb 75.</t>
  </si>
  <si>
    <t>No Intended Use Is Planned For 2018-19.  Reserve Is Available For Long Range Planning To Cover Emergency Unanticipated Expenses.</t>
  </si>
  <si>
    <t>Nys Employee Retirement Reserv</t>
  </si>
  <si>
    <t>To Pay The Annual Cost Of The District'S Required Retirement Contribution Expense For New York State Employee Retirement System (Non-Instructional) Staff.</t>
  </si>
  <si>
    <t>To Pay The Annual Cost Of The District'S Incurred Unemployment Expense.</t>
  </si>
  <si>
    <t>180701</t>
  </si>
  <si>
    <t>BYRON-BERGEN CSD</t>
  </si>
  <si>
    <t>Reserve For Employee Retirement Benefit</t>
  </si>
  <si>
    <t>Expecting 3 Retirements Where Reserve Will Be Used</t>
  </si>
  <si>
    <t>Reserve For Insurance Recovery</t>
  </si>
  <si>
    <t>Reserve For Ny State Retirement System</t>
  </si>
  <si>
    <t>Waiting To Hear From Property Owner'S Attorney</t>
  </si>
  <si>
    <t>Excising 3 Positions, Anticipating Unemployment Benefits Will Be Paid</t>
  </si>
  <si>
    <t>180901</t>
  </si>
  <si>
    <t>ELBA CSD</t>
  </si>
  <si>
    <t>New Bus Proposition</t>
  </si>
  <si>
    <t>Capital Outlay Project</t>
  </si>
  <si>
    <t>General Capital Reserve Fund 2017</t>
  </si>
  <si>
    <t>Capital Project</t>
  </si>
  <si>
    <t>Payment Of Accrued Employee Benefits Due Upon Termination</t>
  </si>
  <si>
    <t>To Fund Retirement Contributions To The State And Local Employees' Retirement System</t>
  </si>
  <si>
    <t>Payment Of Unemployment Expense</t>
  </si>
  <si>
    <t>Payment Of Workers Compensation</t>
  </si>
  <si>
    <t>181001</t>
  </si>
  <si>
    <t>LE ROY CSD</t>
  </si>
  <si>
    <t>Employee  Retirement Benefit</t>
  </si>
  <si>
    <t>Payment For Negotiated Retirement Benefits</t>
  </si>
  <si>
    <t>Pay For Ers Increases In Future Years</t>
  </si>
  <si>
    <t>Pay For Unemployment Claims</t>
  </si>
  <si>
    <t>181101</t>
  </si>
  <si>
    <t>OAKFIELD-ALABAMA CSD</t>
  </si>
  <si>
    <t>Use To Pay Down Debt</t>
  </si>
  <si>
    <t>Possible Unemployment Costs</t>
  </si>
  <si>
    <t>181201</t>
  </si>
  <si>
    <t>PAVILION CSD</t>
  </si>
  <si>
    <t>No Anticipated Use In 2018-19, Hold For Future Capital Expenditures, Voter Approval Required Prior To Any Use</t>
  </si>
  <si>
    <t>Anticipate Using Upto $155,000 During 2018-19 On Retiree Health Insurance Premiums</t>
  </si>
  <si>
    <t>Anticipate Using Upto $200,000 During 2018-19 For Pension Contributions</t>
  </si>
  <si>
    <t>Anticipate Using Upto $10,000 In 2018-19 Toward Potential Unemployment Claims</t>
  </si>
  <si>
    <t>Wokers' Compensation Reserve</t>
  </si>
  <si>
    <t>Anticipate Using Upto $45,000 In 2018-19 Toward Workers' Compensation Premiums</t>
  </si>
  <si>
    <t>181302</t>
  </si>
  <si>
    <t>PEMBROKE CSD</t>
  </si>
  <si>
    <t>Nys Ers Reserve</t>
  </si>
  <si>
    <t>Appropriate $324,990 For The 18/19 Budget To Cover Expense</t>
  </si>
  <si>
    <t>Appropriate $100,000 For The 18/19 Budget To Cover Expense</t>
  </si>
  <si>
    <t>190301</t>
  </si>
  <si>
    <t>CAIRO-DURHAM CSD</t>
  </si>
  <si>
    <t>Payment For Required Nys Employee Retirement Contributions</t>
  </si>
  <si>
    <t>If Needed For Pending Tax Certiorari Decisions</t>
  </si>
  <si>
    <t>190401</t>
  </si>
  <si>
    <t>CATSKILL CSD</t>
  </si>
  <si>
    <t>Use For Accumulated Sick Time For Retirees</t>
  </si>
  <si>
    <t>Liability And Insurance Reserve</t>
  </si>
  <si>
    <t>Adjust To Reflect Expected Claims</t>
  </si>
  <si>
    <t>Used If Referendum In 18-19 Approved</t>
  </si>
  <si>
    <t>Use For Retirement Incentive Payments From Cbas</t>
  </si>
  <si>
    <t>Adjust Based Upon Amounts Pending Settlement Outstanding</t>
  </si>
  <si>
    <t>Unemployment Ins. Reserve</t>
  </si>
  <si>
    <t>Workers Comp. Reserve</t>
  </si>
  <si>
    <t>Increase To Match Consortium Valuation</t>
  </si>
  <si>
    <t>190501</t>
  </si>
  <si>
    <t>COXSACKIE-ATHENS CSD</t>
  </si>
  <si>
    <t>Facility Reconstruction</t>
  </si>
  <si>
    <t>Employee Termination Payments</t>
  </si>
  <si>
    <t>Budgeted Interfund Transfer 100,000</t>
  </si>
  <si>
    <t>To Pay Any Obligations Arising Out Of Current Certiorari Proceedings.</t>
  </si>
  <si>
    <t>To Pay For Unemployment Claims Beyond Budgeted</t>
  </si>
  <si>
    <t>Prepare For Actuarial Liability</t>
  </si>
  <si>
    <t>190701</t>
  </si>
  <si>
    <t>No Plan To Use Reserve At This Time</t>
  </si>
  <si>
    <t>190901</t>
  </si>
  <si>
    <t>HUNTER-TANNERSVILLE CSD</t>
  </si>
  <si>
    <t>Do Not Intend To Use</t>
  </si>
  <si>
    <t>191401</t>
  </si>
  <si>
    <t>WINDHAM-ASHLAND-JEWETT CSD</t>
  </si>
  <si>
    <t>Bus Purchases Beyond Budgeted Amount</t>
  </si>
  <si>
    <t>Debt Service Payment Beyond Budgeted Amount</t>
  </si>
  <si>
    <t>Employee Benefits And Accrued Liability</t>
  </si>
  <si>
    <t>Payment To Retiring Teacher</t>
  </si>
  <si>
    <t>Liability And Casualty Reserve</t>
  </si>
  <si>
    <t>Payment On Outstanding Case If Necessary</t>
  </si>
  <si>
    <t>NOT APPLICABLE</t>
  </si>
  <si>
    <t>General Fund Repair Reserve</t>
  </si>
  <si>
    <t>Unforeseen Repairs</t>
  </si>
  <si>
    <t>Reimbursements Beyond Budgeted Amount</t>
  </si>
  <si>
    <t>200101</t>
  </si>
  <si>
    <t>PISECO COMN SD</t>
  </si>
  <si>
    <t>Use If There Is A Property Loss Claim.</t>
  </si>
  <si>
    <t>Use Of District Receives Unemployment Claim(S).</t>
  </si>
  <si>
    <t>200401</t>
  </si>
  <si>
    <t>INDIAN LAKE CSD</t>
  </si>
  <si>
    <t>Bus Purchase Fund</t>
  </si>
  <si>
    <t>Voter Approved Bus Purchase For 2018-19</t>
  </si>
  <si>
    <t>Reserve For Debt Fund</t>
  </si>
  <si>
    <t>Reduce Levy</t>
  </si>
  <si>
    <t>Retirement Benefits</t>
  </si>
  <si>
    <t>Boe Approved Transfer Of $60,000 - Boiler Project</t>
  </si>
  <si>
    <t>Settlements As Needed</t>
  </si>
  <si>
    <t>200601</t>
  </si>
  <si>
    <t>LAKE PLEASANT CSD</t>
  </si>
  <si>
    <t>Capital Reserve Buses</t>
  </si>
  <si>
    <t>Bus Purchase -  Will Be Voted On In May</t>
  </si>
  <si>
    <t>Capital Reserve Facilities</t>
  </si>
  <si>
    <t>Gym Floor/Touch Tvs/Field Work- Will Be Voted On In May</t>
  </si>
  <si>
    <t>Cover Claims Not Paid By District'S Insurance</t>
  </si>
  <si>
    <t>Repair Floors In Remainder Of Building</t>
  </si>
  <si>
    <t>Appropriated Reserve 42,000</t>
  </si>
  <si>
    <t>Pay Court Mandated Tax Settlements</t>
  </si>
  <si>
    <t>200701</t>
  </si>
  <si>
    <t>LONG LAKE CSD</t>
  </si>
  <si>
    <t>Usage For A Potential Capital Project If Approved By The Voters</t>
  </si>
  <si>
    <t>Capital Reserve  Bus Purchase</t>
  </si>
  <si>
    <t>If Approved By The Voters May 2018, This Fund Will Be Used To Purchase A New Bus</t>
  </si>
  <si>
    <t>200702</t>
  </si>
  <si>
    <t>RAQUETTE LAKE UFSD</t>
  </si>
  <si>
    <t>Use If The District Needs To Repair The Building.</t>
  </si>
  <si>
    <t>200901</t>
  </si>
  <si>
    <t>WELLS CSD</t>
  </si>
  <si>
    <t>For 2018 Capital Project Expenses</t>
  </si>
  <si>
    <t>Employee Benefits Accrued Liability Reserve</t>
  </si>
  <si>
    <t>For Future Retirements: Compensated Absences</t>
  </si>
  <si>
    <t>Remove</t>
  </si>
  <si>
    <t>Error</t>
  </si>
  <si>
    <t>Bus Replacement Reserve</t>
  </si>
  <si>
    <t>For the purchase of new buses</t>
  </si>
  <si>
    <t>For Future Bus Purchases</t>
  </si>
  <si>
    <t>For Future Ers Costs</t>
  </si>
  <si>
    <t>Unemployment Claims</t>
  </si>
  <si>
    <t>210402</t>
  </si>
  <si>
    <t>FRANKFORT-SCHUYLER CSD</t>
  </si>
  <si>
    <t>Accrued Benefits</t>
  </si>
  <si>
    <t>For Unused Time Paid Out At The Time Of Separation.</t>
  </si>
  <si>
    <t>If Needed For Insurance Needs</t>
  </si>
  <si>
    <t>Various District Roof Repairs, As Needed Other Repairs</t>
  </si>
  <si>
    <t>Retirement Ers Reserve</t>
  </si>
  <si>
    <t>Offset Ers Expenditures</t>
  </si>
  <si>
    <t>Anticipated Tax Certiorari</t>
  </si>
  <si>
    <t>For Unemployment Claims In 2018-2019</t>
  </si>
  <si>
    <t>210601</t>
  </si>
  <si>
    <t>HERKIMER CSD</t>
  </si>
  <si>
    <t>$25,000 Will Be Used To Support The 2014 Capital Project</t>
  </si>
  <si>
    <t>Maintain Appropriate Audited Balance</t>
  </si>
  <si>
    <t>Pay For Uncovered Expenses And Deductibles Associated With 3 Claims Against The District</t>
  </si>
  <si>
    <t>Pay For Any Unanticipated Repair</t>
  </si>
  <si>
    <t>Expend $5,000 To Off Set Ers Expenses For 2018-19</t>
  </si>
  <si>
    <t>Pay Tax Cert Claims For Prior Years</t>
  </si>
  <si>
    <t>Use For Any Unemployment Expenses Beyond The Budgeted Amount</t>
  </si>
  <si>
    <t>211003</t>
  </si>
  <si>
    <t>To Meet Costs Of Sick Days Pay Out As Needed</t>
  </si>
  <si>
    <t>To Meet Costs To Ers As Needed</t>
  </si>
  <si>
    <t>To Meet Costs Of Unemployment As Needed</t>
  </si>
  <si>
    <t>To Meet Costs Of Workers' Comp As Needed</t>
  </si>
  <si>
    <t>211103</t>
  </si>
  <si>
    <t>POLAND CSD</t>
  </si>
  <si>
    <t>For Payment Of Accrue_x000D_
D Benefits Upon Termination Of Service.</t>
  </si>
  <si>
    <t>For Payment Of Ers Contributions To Nys.</t>
  </si>
  <si>
    <t>For Nys Unemployment Claims As Needed.</t>
  </si>
  <si>
    <t>211701</t>
  </si>
  <si>
    <t>VAN HORNESVILLE-OWEN D YOUNG CSD</t>
  </si>
  <si>
    <t>Use Of This Reserve Requires Voter Approval</t>
  </si>
  <si>
    <t>Capital - Vehicle Reserve</t>
  </si>
  <si>
    <t>This Reserve Is To Only Be Used If Need Arises To Purchase School Vehicles.</t>
  </si>
  <si>
    <t>Employee Benefits Liability</t>
  </si>
  <si>
    <t>This Reserve Is Used When An Employee Separates From The District And Payment Of Accumulated Leave Is Required.</t>
  </si>
  <si>
    <t>Settled Or Compromised Claims Up To $25,000 May Be Paid From The Reserve Without Judicial Approval.</t>
  </si>
  <si>
    <t>A Public Hearing Must Be Held In Order To Use Funds From This Reserve, Except In An Emergency</t>
  </si>
  <si>
    <t>This Reserve, Will Be Monitored By The Business Manager</t>
  </si>
  <si>
    <t>This Reserve Will Be Monitored By The School Business Manager In Conjunction With Other Central Office Administrators To Assess The Potential For Incurring Unemployment Claims.</t>
  </si>
  <si>
    <t>211901</t>
  </si>
  <si>
    <t>TOWN OF WEBB UFSD</t>
  </si>
  <si>
    <t>Begin Capital Project For Major Upkeep Of Building.</t>
  </si>
  <si>
    <t>Monitor New Students Locations For Anticipated Need Of Additional Vehicle For Transportation.</t>
  </si>
  <si>
    <t>Maintenance Equipment Reserve</t>
  </si>
  <si>
    <t>$75,000 To Purchase A New Piece Of Equipment For Snow Removal, Grounds Upkeep And Repair.</t>
  </si>
  <si>
    <t>Closing In The 2017-2018 Year.</t>
  </si>
  <si>
    <t>Monitor For Need In The Summer As Anticipated Repairs Begin For Any Unplanned Expenditures To School.</t>
  </si>
  <si>
    <t>Monitor Increase In Rate For Fund Usage To Offset Expenditures.</t>
  </si>
  <si>
    <t>$25,000 To Cover Expenditures For Anticipated Claims.</t>
  </si>
  <si>
    <t>212001</t>
  </si>
  <si>
    <t>MOUNT MARKHAM CSD</t>
  </si>
  <si>
    <t>To Pay District Share Of Building Project</t>
  </si>
  <si>
    <t>Pay Sick, Vacation Days At Time Of Retirement</t>
  </si>
  <si>
    <t>Pay For Unforeseen Claims</t>
  </si>
  <si>
    <t>Pay Unforeseen Liability Claims</t>
  </si>
  <si>
    <t>Property Loss Claim</t>
  </si>
  <si>
    <t>Pay Unforeseen Property Loss Claims</t>
  </si>
  <si>
    <t>Pay For Unforeseen Repairs</t>
  </si>
  <si>
    <t>Retirement Contrbution Reserve</t>
  </si>
  <si>
    <t>Pay A Portion Of Ers</t>
  </si>
  <si>
    <t>Pay A Portion Of Unemployment Claims</t>
  </si>
  <si>
    <t>Pay A Portion Of Workers Comp</t>
  </si>
  <si>
    <t>212101</t>
  </si>
  <si>
    <t>CENTRAL VALLEY CSD AT ILION-MOHAWK</t>
  </si>
  <si>
    <t>For Capital Poject</t>
  </si>
  <si>
    <t>To Offset Local Share Of Current Project</t>
  </si>
  <si>
    <t>To Pay Benefits Owed To Retiring Employee</t>
  </si>
  <si>
    <t>For Unexpected Emergency Repairs</t>
  </si>
  <si>
    <t>To Help Offset Year To Year Swings</t>
  </si>
  <si>
    <t>For Unemployment Claims</t>
  </si>
  <si>
    <t>Wokers' Compensation</t>
  </si>
  <si>
    <t>For Wc Claims</t>
  </si>
  <si>
    <t>220101</t>
  </si>
  <si>
    <t>SOUTH JEFFERSON CSD</t>
  </si>
  <si>
    <t>Liability Loss Reserve</t>
  </si>
  <si>
    <t>No Anticipated Use Of The Reserve At This Time.</t>
  </si>
  <si>
    <t>220202</t>
  </si>
  <si>
    <t>None At Present Time</t>
  </si>
  <si>
    <t>Return To The General Fund/Taxpayers</t>
  </si>
  <si>
    <t>N One</t>
  </si>
  <si>
    <t>220301</t>
  </si>
  <si>
    <t>INDIAN RIVER CSD</t>
  </si>
  <si>
    <t>Vote 5/2012</t>
  </si>
  <si>
    <t>Expecting To Use In 2021</t>
  </si>
  <si>
    <t>Vote 5/2017</t>
  </si>
  <si>
    <t>220401</t>
  </si>
  <si>
    <t>GENERAL BROWN CSD</t>
  </si>
  <si>
    <t>To Cover Debt Service Payments On Outstanding Obligations On Bonds</t>
  </si>
  <si>
    <t>For The Payment Of Accrued Employee Benefits Due To Employees Upon Termination Of Employment</t>
  </si>
  <si>
    <t>To Fund Employer Retirement Contributions To The State Employees' Retirement System</t>
  </si>
  <si>
    <t>To Pay The Coat Of Reimbursement To The State Unemployment Reimbursement Fund</t>
  </si>
  <si>
    <t>To Pay For Workers' Compensation And Benefits</t>
  </si>
  <si>
    <t>220701</t>
  </si>
  <si>
    <t>THOUSAND ISLANDS CSD</t>
  </si>
  <si>
    <t>No</t>
  </si>
  <si>
    <t>Tbd</t>
  </si>
  <si>
    <t>If We Have A Claim</t>
  </si>
  <si>
    <t>220909</t>
  </si>
  <si>
    <t>BELLEVILLE-HENDERSON CSD</t>
  </si>
  <si>
    <t>95000</t>
  </si>
  <si>
    <t>221001</t>
  </si>
  <si>
    <t>SACKETS HARBOR CSD</t>
  </si>
  <si>
    <t>Establishment Of Capital Reserve Pending Voter Approval May 2018</t>
  </si>
  <si>
    <t>221301</t>
  </si>
  <si>
    <t>LYME CSD</t>
  </si>
  <si>
    <t>Reserve Fund Use For Future Capital Project</t>
  </si>
  <si>
    <t>Reserve Fund Use For Contractual Obligated Costs Due To Employment Separation</t>
  </si>
  <si>
    <t>Reserve Fund Use For Casualty And Other Types Of Losses</t>
  </si>
  <si>
    <t>Reserve Fund Use For Properety Loss And Liability Claims</t>
  </si>
  <si>
    <t>Reserve Fund Use For Unplanned Repair Costs</t>
  </si>
  <si>
    <t>Reserve Fund Use For Judgements And Claims Resulting From Tax Certiorari Proceedings</t>
  </si>
  <si>
    <t>Reserve Fund Use For Costs Exceeding Budgeted Appropriations</t>
  </si>
  <si>
    <t>Reserve Fund Use For Workers Compensation Claims</t>
  </si>
  <si>
    <t>221401</t>
  </si>
  <si>
    <t>LA FARGEVILLE CSD</t>
  </si>
  <si>
    <t>No Planned Use In The 2018-19 School Year</t>
  </si>
  <si>
    <t>Will Be Used To Pay The State And Local Employees' Retirement System Invoice</t>
  </si>
  <si>
    <t>Will Be Used To Reimburse The State Unemployment Insurance Fund As Necessary</t>
  </si>
  <si>
    <t>222000</t>
  </si>
  <si>
    <t>WATERTOWN CITY SD</t>
  </si>
  <si>
    <t>To Pay $250,000 In Debt Service Payments</t>
  </si>
  <si>
    <t>Not Using This Reserve In 2018-19</t>
  </si>
  <si>
    <t>To Purchase $500,000 In Equipment</t>
  </si>
  <si>
    <t>Athletic Repair</t>
  </si>
  <si>
    <t>Will Use Actual Payout If Necessary In 2018-19</t>
  </si>
  <si>
    <t>Will Use Actual Payments In 2018-19</t>
  </si>
  <si>
    <t>222201</t>
  </si>
  <si>
    <t>CARTHAGE CSD</t>
  </si>
  <si>
    <t>Reserve Will Be Used Only If A Project Is Approved By The Voters.</t>
  </si>
  <si>
    <t>Reserve Will Be Used As Retirements/Liability Is Incurred.</t>
  </si>
  <si>
    <t>Reserve For Liabilty</t>
  </si>
  <si>
    <t>Reserve Will Be Used Only If Emergencies Arise.</t>
  </si>
  <si>
    <t>Reserve For Retirement Cont</t>
  </si>
  <si>
    <t>As Of This Writing, There Is No Intended Use.</t>
  </si>
  <si>
    <t>Reserve Will Be Used As Litigation Cases Are Settled. Cases Are Pending.</t>
  </si>
  <si>
    <t>There Is No Intended Use.</t>
  </si>
  <si>
    <t>230201</t>
  </si>
  <si>
    <t>Future Capital Improvements And Equiptment</t>
  </si>
  <si>
    <t>Pay Leave Time When Employees Separate</t>
  </si>
  <si>
    <t>Fund Increases In Ers Contributions</t>
  </si>
  <si>
    <t>Pay Unemployment As Needed</t>
  </si>
  <si>
    <t>230301</t>
  </si>
  <si>
    <t>HARRISVILLE CSD</t>
  </si>
  <si>
    <t>$96,000 To Supplement The Cost Of The Capital Project</t>
  </si>
  <si>
    <t>Compensated Absences Reserve</t>
  </si>
  <si>
    <t>Gym Replacement</t>
  </si>
  <si>
    <t>$124,101 To Offset Costs Of Ers</t>
  </si>
  <si>
    <t>$30,000 To Offset Unemployment Costs</t>
  </si>
  <si>
    <t>$43,498 - Offset Cost Of Wc</t>
  </si>
  <si>
    <t>230901</t>
  </si>
  <si>
    <t>LOWVILLE ACADEMY &amp; CSD</t>
  </si>
  <si>
    <t>Continue To Save For Future Project</t>
  </si>
  <si>
    <t>Use For Payments To Future Retirees</t>
  </si>
  <si>
    <t>Energy Systems Tax Stabilization Reserve</t>
  </si>
  <si>
    <t>FOR STABILIZING TAXES AS A RESULT OF DECREASES IN PILOTS</t>
  </si>
  <si>
    <t>Continue To Save For Future Needs</t>
  </si>
  <si>
    <t>Ers Contribution Reserve</t>
  </si>
  <si>
    <t>Use If Expenses Exceed Budget</t>
  </si>
  <si>
    <t>231101</t>
  </si>
  <si>
    <t>SOUTH LEWIS CSD</t>
  </si>
  <si>
    <t>Employee Retirement Incentives Per Contract</t>
  </si>
  <si>
    <t>Liability &amp; Casualty Reserve</t>
  </si>
  <si>
    <t>Emergency Claim Not Covered By Insurance Policy</t>
  </si>
  <si>
    <t>Emergency Infra-Structure Repairs_x000D_
Emergency Infra-Structure Repairs</t>
  </si>
  <si>
    <t>Unem Ins Reserve</t>
  </si>
  <si>
    <t>Unemployment Claims Exceeded Budgeted Amount</t>
  </si>
  <si>
    <t>231301</t>
  </si>
  <si>
    <t>BEAVER RIVER CSD</t>
  </si>
  <si>
    <t>No Intended Use In 2018-19. Anticipated Use In Future Years.</t>
  </si>
  <si>
    <t>Cost Of Benefits For Anticipated Retirements In 2018-19 (~$35,000) And Retirements In Future Years.</t>
  </si>
  <si>
    <t>Repairs Reserve</t>
  </si>
  <si>
    <t>240101</t>
  </si>
  <si>
    <t>AVON CSD</t>
  </si>
  <si>
    <t>Capital Equipment Reserve</t>
  </si>
  <si>
    <t>There Is A Proposition To Approve Spending $100,000 Of These Funds For Vehicles And Equipment.</t>
  </si>
  <si>
    <t>The District Is In The Conceptual Stages Of A Capital Project To Be Put Before The Voters As Early As December 2018; Funds Would Be Used From This Reserve As A Revenue Source.</t>
  </si>
  <si>
    <t>$100,000 Of Vehicle &amp; Equipment Purchases Per Proposition</t>
  </si>
  <si>
    <t>No Intended Use For 2018-19 Will Be Utilized When The Other Equipment Reserve Is Totally Expended</t>
  </si>
  <si>
    <t>No Intended Use For 2018-19 As Building Aid Exceeds Debt; But Will Be Utilized In All Years As Needed To Reduce The Gap In Future Years.</t>
  </si>
  <si>
    <t>To Pay Benefits Due To Employees Upon Termination Of Service.</t>
  </si>
  <si>
    <t>No Planned Use At This Time; Only Necessary If The District Incurs Liability Or Casualty Losses.</t>
  </si>
  <si>
    <t>No Planned Use At This Time; Would Only Be Accessed To Cover Liability Claims If Incurred.</t>
  </si>
  <si>
    <t>No Planned Use During 2018-19 But Will Access In Future Years To Reduce Expected Retirement Contribution Increases.</t>
  </si>
  <si>
    <t>No Intended Use At This Time; Reserve Was Reduced Significantly During 2017-18.</t>
  </si>
  <si>
    <t>240201</t>
  </si>
  <si>
    <t>CALEDONIA-MUMFORD CSD</t>
  </si>
  <si>
    <t>Appropriate For Capital Project</t>
  </si>
  <si>
    <t>2013 Vehicle Equipment</t>
  </si>
  <si>
    <t>Sick Day Buyout For Retiring Teachers</t>
  </si>
  <si>
    <t>Pay For Unforeseen Legal Expenses</t>
  </si>
  <si>
    <t>Pay For Unexpected Rises In Retirement Rates</t>
  </si>
  <si>
    <t>Unforeseen Tax Certiorari Cases Against District</t>
  </si>
  <si>
    <t>Unemployment Cost</t>
  </si>
  <si>
    <t>Unforeseen Unemployment Costs</t>
  </si>
  <si>
    <t>240401</t>
  </si>
  <si>
    <t>GENESEO CSD</t>
  </si>
  <si>
    <t>$100,000 Will Be Used For Classroom And Computer System Upgrades</t>
  </si>
  <si>
    <t>$18,000 Will Be Used To Offset Payments To Retirees</t>
  </si>
  <si>
    <t>$155,000 Will Be Used To Offset Retirement Expenses</t>
  </si>
  <si>
    <t>Will Be Used Should Assessment Protests Be Resolved</t>
  </si>
  <si>
    <t>District Intends To Use $160,000 To Offset Expenses</t>
  </si>
  <si>
    <t>240801</t>
  </si>
  <si>
    <t>LIVONIA CSD</t>
  </si>
  <si>
    <t>Hold For Future Capital Projects</t>
  </si>
  <si>
    <t>-</t>
  </si>
  <si>
    <t>Hold For Retiree Benefits</t>
  </si>
  <si>
    <t>Hold For Liability Or Uninsured Losses</t>
  </si>
  <si>
    <t>Used For Unemployment Claims</t>
  </si>
  <si>
    <t>240901</t>
  </si>
  <si>
    <t>MT MORRIS CSD</t>
  </si>
  <si>
    <t>General Capital Reserve Fund</t>
  </si>
  <si>
    <t>To Fund A Capital Project Being Put Before The Voters As Proposition No.2 In The Amount Of $225,000 In Order To Maintain No Marginal Increase To The Tax Levy.</t>
  </si>
  <si>
    <t>Employee Accrued Liability Reserve</t>
  </si>
  <si>
    <t>No Planned Use; However, It Is Part Of The Long Range Plan To Prepare To Pay For Compensated Absences For Any Retirees That Submit A Letter Of Intent Prior To The End Of The 18-19 Fiscal Year.</t>
  </si>
  <si>
    <t>No Planned Use; However, It Is Part Of The Long Range Plan To Be Protected In The Event Of A Loss For Which Insurance Will Not Provide Coverage.</t>
  </si>
  <si>
    <t>Planned Use Of Up To $29,300 For A Liability Against The District.</t>
  </si>
  <si>
    <t>No Planned Use, But Available As Part Of A Long Range Plan To Address Repairs On A Scheduled And/Or Emergency Basis.</t>
  </si>
  <si>
    <t>Reserve For Retirement System Credits</t>
  </si>
  <si>
    <t>Planned Use To Reduce Taxes By Covering Up To The Full Budgeted Ers Costs Of $152,560.</t>
  </si>
  <si>
    <t>To Cover Budgeted Costs Of $15,000.</t>
  </si>
  <si>
    <t>241001</t>
  </si>
  <si>
    <t>DANSVILLE CSD</t>
  </si>
  <si>
    <t>Capital Reserve-Bus</t>
  </si>
  <si>
    <t>To Pay For The Cost Of Buses For Which Bonds May Be Issued</t>
  </si>
  <si>
    <t>To Pay The Cost Of Debt For Capital Projects For Which Bonds May Be Issued</t>
  </si>
  <si>
    <t>Accrued Employee Benefits Liability</t>
  </si>
  <si>
    <t>For Repairs To Capital Improvements Or Equipment Not Recurring Annually Or At Shorter Intervals</t>
  </si>
  <si>
    <t>To Fund Employer Retirement Contributions I.E. Any Portion Of The Amount(S) Payable To The Nys Employee'S Retirement System (Ers) But Not Trs</t>
  </si>
  <si>
    <t>241101</t>
  </si>
  <si>
    <t>DALTON-NUNDA CSD (KESHEQUA)</t>
  </si>
  <si>
    <t>Reserve For Capital Building</t>
  </si>
  <si>
    <t>Use For Future Project</t>
  </si>
  <si>
    <t>Reserve For Capital Transportation Vehicles</t>
  </si>
  <si>
    <t>Use $44,000 For Bus Purchases</t>
  </si>
  <si>
    <t>Use 207237 To Help Pay For Debt Payments</t>
  </si>
  <si>
    <t>Save For Emergency Projects</t>
  </si>
  <si>
    <t>Reserve For Retirement Contrutions</t>
  </si>
  <si>
    <t>Reserve For Unemployment Insurance</t>
  </si>
  <si>
    <t>Use If Payments Needed</t>
  </si>
  <si>
    <t>241701</t>
  </si>
  <si>
    <t>YORK CSD</t>
  </si>
  <si>
    <t>Do Not Intend To Use In 2018-19</t>
  </si>
  <si>
    <t>Offset Debt Payments</t>
  </si>
  <si>
    <t>Pay Potential Employee Benefits Expenses</t>
  </si>
  <si>
    <t>Offset Retirement Contribution Expenses</t>
  </si>
  <si>
    <t>Pay Potential Unemployment Expenses</t>
  </si>
  <si>
    <t>250201</t>
  </si>
  <si>
    <t>CAZENOVIA CSD</t>
  </si>
  <si>
    <t>104555 To Cover Estimated Retiree Sick Day Payout</t>
  </si>
  <si>
    <t>A determination will be made as to where to place these funds.</t>
  </si>
  <si>
    <t>Property Loss Liability Reserve</t>
  </si>
  <si>
    <t>To Cover Potential Expense Of Tax Dispute By Windmill Company.</t>
  </si>
  <si>
    <t>55000 To Cover Budgeted Unemployment Cost</t>
  </si>
  <si>
    <t>17500 To Pay Increase In Wc Costs</t>
  </si>
  <si>
    <t>250301</t>
  </si>
  <si>
    <t>DERUYTER CSD</t>
  </si>
  <si>
    <t>C Fund Nonspendable</t>
  </si>
  <si>
    <t>Amount of negative fund balance in C Fund that must be covered by the General Fund</t>
  </si>
  <si>
    <t>None, Placeholder For Negative C Fund Fund Balance</t>
  </si>
  <si>
    <t>None, Only To Be Used In Urgent Repair Situations</t>
  </si>
  <si>
    <t>None, Only Used When Unemployment Expenses Exceed Estimate. No Significant Change In Staffing Seen For 2018-19.</t>
  </si>
  <si>
    <t>250401</t>
  </si>
  <si>
    <t>MORRISVILLE-EATON CSD</t>
  </si>
  <si>
    <t>Repayment Of Debt</t>
  </si>
  <si>
    <t>Reserve-Ebalr</t>
  </si>
  <si>
    <t>To Pay Accrued Benefits</t>
  </si>
  <si>
    <t>Reserve-Liability</t>
  </si>
  <si>
    <t>To Cover Liability Claims</t>
  </si>
  <si>
    <t>Encumbrances</t>
  </si>
  <si>
    <t>For purchases already committed to.</t>
  </si>
  <si>
    <t>For Purchases Already Committed To.</t>
  </si>
  <si>
    <t>Reserve-Nysers</t>
  </si>
  <si>
    <t>To Pay Employer Share Of Retirement</t>
  </si>
  <si>
    <t>Reserve-Tax Certiorari</t>
  </si>
  <si>
    <t>For Tax Settlements</t>
  </si>
  <si>
    <t>Reimbursement For Ui Claims</t>
  </si>
  <si>
    <t>250701</t>
  </si>
  <si>
    <t>HAMILTON CSD</t>
  </si>
  <si>
    <t>To Pay For Retiree Compensated Absences</t>
  </si>
  <si>
    <t>To Pay Uninsured Losses; Such As High Deductibles Or Non-Covered Claims</t>
  </si>
  <si>
    <t>To Fund Potential Emergency Repairs</t>
  </si>
  <si>
    <t>To Pay Ers Retirement Expense</t>
  </si>
  <si>
    <t>To Pay Unemployment Costs. Transfer To Support General Fund</t>
  </si>
  <si>
    <t>250901</t>
  </si>
  <si>
    <t>CANASTOTA CSD</t>
  </si>
  <si>
    <t>Capital Project Reserve</t>
  </si>
  <si>
    <t>Possible Transfer To The Capital Fund For The Local Share Of Voter Approved Capital Projects.</t>
  </si>
  <si>
    <t>Employee Reserve</t>
  </si>
  <si>
    <t>Will Pay For Retiree Compensated Absences Or Professional Services Rendered For Such Employee Benefits.</t>
  </si>
  <si>
    <t>Will Pay Uninsured Losses, Such As High Deductibles Or Non Covered Claims.</t>
  </si>
  <si>
    <t>To Pay Known Claims Against The District Such As Law Suits, Or Actions Against District Employees, That Come Due.</t>
  </si>
  <si>
    <t>To Pay Ers Retirement Expenses, Plus To Fund Any Possible State Retirement Incentives, And/Or Rate Increases.</t>
  </si>
  <si>
    <t>To Pay Outstanding Claims As They Are Settled.</t>
  </si>
  <si>
    <t>To Pay Unemployment Costs And To Fund Unemployment For Possible Staff Reduction.</t>
  </si>
  <si>
    <t>To Pay On Going Claims And Workers' Compensation And Consortium Deficit, If Assessed.</t>
  </si>
  <si>
    <t>251101</t>
  </si>
  <si>
    <t>MADISON CSD</t>
  </si>
  <si>
    <t>To Pay Employer Share Of Ers</t>
  </si>
  <si>
    <t>251400</t>
  </si>
  <si>
    <t>Capital Reserves</t>
  </si>
  <si>
    <t>To Be Used On Future Capital Project</t>
  </si>
  <si>
    <t>To Pay Future Debt Service On Building That Was Sold</t>
  </si>
  <si>
    <t>Employee'S Comp / Liability Reserve</t>
  </si>
  <si>
    <t>Will Pay For Compensated Absences Or Professional Service Rendered For Such Employee Benefits</t>
  </si>
  <si>
    <t>To Pay For Known Claims Against The District Such As Lawsuits Or Actions Against Employees That Come Due</t>
  </si>
  <si>
    <t>To Cover Insurance Deductibles</t>
  </si>
  <si>
    <t>Employee Retirement Contribution</t>
  </si>
  <si>
    <t>To Pay Ers Retirement Expense Plus Fund Any State Retirement Incentives And/Or Rate Increases</t>
  </si>
  <si>
    <t>To Pay Outstanding Claims As They Are Settled</t>
  </si>
  <si>
    <t>To Pay Unemployment Costs And Fund Unemployment For Potential Staff Reductions</t>
  </si>
  <si>
    <t>251501</t>
  </si>
  <si>
    <t>STOCKBRIDGE VALLEY CSD</t>
  </si>
  <si>
    <t>No Planned Use For 2018-2019</t>
  </si>
  <si>
    <t>Reserve For Employee Benefit Accrued Liabilities</t>
  </si>
  <si>
    <t>Use An Estimated $42,000 For Employee'S Accrued Sick Leave Payout Upon Termination</t>
  </si>
  <si>
    <t>Close Annual Expenditure Of Employer Required Ers Contributions Estimated At $140,000 To Reserve</t>
  </si>
  <si>
    <t>Appropriate $125,000 For 2018-2019 Budget</t>
  </si>
  <si>
    <t>Close Annual Unemployment Expenditures To Reserve- Estimated At $3,00</t>
  </si>
  <si>
    <t>251601</t>
  </si>
  <si>
    <t>CHITTENANGO CSD</t>
  </si>
  <si>
    <t>Will Be Using For Capital Project Currently At Sed Review</t>
  </si>
  <si>
    <t>Reserve For Retirment</t>
  </si>
  <si>
    <t>601750 Gap Fill</t>
  </si>
  <si>
    <t>??? Oin Settlements</t>
  </si>
  <si>
    <t>260101</t>
  </si>
  <si>
    <t>BRIGHTON CSD</t>
  </si>
  <si>
    <t>Proposition 4 On The 2018-19 Ballot Requests Voter Authorization To Withdraw $125,000 From The Reserve To  Finance, In Whole Or In Part, The Acquisition And/Or Lease Of Three (3) Passenger Vans.</t>
  </si>
  <si>
    <t>Proposition 3 On The 2018-19 Ballot Requests Voter Authorization To Withdraw $500,000 From The Reserve To Finance, In Whole Or In Part, The Acquisition And/Or Lease Of Equipment.</t>
  </si>
  <si>
    <t>Building Reserve</t>
  </si>
  <si>
    <t>Proposition 2 On The 2018-19 Ballot Requests Voter Authorization To Withdraw $1,500,000 From The Reserve To Undertake A Capital Improvement Project.</t>
  </si>
  <si>
    <t>The 2018-19 Budget Relies On The Employee Benefits Reserve To Pay For The Unbudgeted Payout Of Contractual Benefits For Which The Reserve Was Intended.</t>
  </si>
  <si>
    <t>Insurance Reserve (Technology)</t>
  </si>
  <si>
    <t>The 2018-19 Budget Relies On The Insurance Reserve To Pay For The Unbudgeted Replacement Of Instructional Hardware Devices Issued To Students As Part Of The 1:1 Technology Program.</t>
  </si>
  <si>
    <t>The 2018-19 Budget Appropriates $800,000 From The Retirement Contribution Reserve.</t>
  </si>
  <si>
    <t>The 2018-19 Budget Relies On The Tax Certiorari Reserve To Pay For Unbudgeted Tax Certiorari Judgements.</t>
  </si>
  <si>
    <t>The 2018-19 Budget Appropriates $56,000 From The Unemployment Insurance Reserve To Pay For Unemployment Wages And Claims.</t>
  </si>
  <si>
    <t>260401</t>
  </si>
  <si>
    <t>GATES-CHILI CSD</t>
  </si>
  <si>
    <t>Capital - New</t>
  </si>
  <si>
    <t>Capital - Old</t>
  </si>
  <si>
    <t>Balance In This Fund Matches Liabilities To Pay Benefits Due Employees Who Retire From The District</t>
  </si>
  <si>
    <t>To Fund Ers Costs For Next 5 Years</t>
  </si>
  <si>
    <t>Fund Unbudgeted Tax Certiorari Judgements</t>
  </si>
  <si>
    <t>Hold For Potential Future Layoffs, To Be Reviewed Accordingly Each Year</t>
  </si>
  <si>
    <t>260501</t>
  </si>
  <si>
    <t>GREECE CSD</t>
  </si>
  <si>
    <t>Capital Reserves (Building)</t>
  </si>
  <si>
    <t>District Will Seek Voter Approval To Offset Costs Of_x000D_
Future Capital Projects</t>
  </si>
  <si>
    <t>Capital Reserves (Bus) *</t>
  </si>
  <si>
    <t>District Will Seek Voter Approval To Offset Costs Of_x000D_
Future Bus Replacement</t>
  </si>
  <si>
    <t>The District Will Use These Funds If An Uninsured Loss Were To Occur</t>
  </si>
  <si>
    <t>This District Will Use These Funds If A Liability Claim Were To Be Incurred</t>
  </si>
  <si>
    <t>Funds Will Be Used To Support 2018-2019 New_x000D_
York State Pension Premiums</t>
  </si>
  <si>
    <t>Funds Will Be Used To Pay 2018-2019 Liabilities To_x000D_
Refund Property Taxes To Property Owners Who_x000D_
Prevail In Tax Certiorari Law Suits</t>
  </si>
  <si>
    <t>Funds Will Be Used To Offset 2018-2019_x000D_
Unemployment Insurance Expenses</t>
  </si>
  <si>
    <t>Funds Will Be Used To Pay 2018-2019 Worker'S_x000D_
Comp Insurance Premiums</t>
  </si>
  <si>
    <t>260801</t>
  </si>
  <si>
    <t>EAST IRONDEQUOIT CSD</t>
  </si>
  <si>
    <t>No Use Intended In 2018-19.  This Reserve Is Used Periodically Wth Voter Approval.</t>
  </si>
  <si>
    <t>Equipment And Technology Reserve</t>
  </si>
  <si>
    <t>This Reserve Wll Be Used For The Payment Of Accrued Employee Benefits� Due To Employees Upon Termination Of Service During 2018-19.</t>
  </si>
  <si>
    <t>This Reserve Would Be Used In The Event These Are Substantial Liability, Casualty Or Other Uninsured Losses During The 2018-19 School Year.</t>
  </si>
  <si>
    <t>This Reserve Would Be Used In The Event These Are Substantial Liability Claims During The 2018-19 School Year.</t>
  </si>
  <si>
    <t>No Use Intended In 2018-19.  If Necessary This Reserve Will Be Used For Large Unanticipated Expenses.</t>
  </si>
  <si>
    <t>To The Extent Necessary, This Reserve Will Fund Employer Contributions Of Up To $800,000 To The New York State And Local Employees Retirement System.</t>
  </si>
  <si>
    <t>If Any Of The Tax Certiorari Claims Against The District Are Resolved In 2018-19 For A Greater Refund Than Can Be Managed Within The Budget Then This Reserve Will Be Used.</t>
  </si>
  <si>
    <t>This Reserve Will Fund All Unemployment Claims Payable In 2018-19.</t>
  </si>
  <si>
    <t>To The Extent Necessary, This Reserve Will Fund Workers Compensation Premiums.</t>
  </si>
  <si>
    <t>260803</t>
  </si>
  <si>
    <t>WEST IRONDEQUOIT CSD</t>
  </si>
  <si>
    <t>Capital (General)</t>
  </si>
  <si>
    <t>Proposition On The 2018-19 Ballot Requests Voter Authorization To Withdraw $6,000,000 From The Reserve To Undertake A Capital Improvement Project Consisting Of The Construction Of Alterations</t>
  </si>
  <si>
    <t>The 2018-19 Budget Appropriates $588,263 From The Retirement Contribution Reserve To Pay For The Required Contribution To The New York State Employees Retirement System.</t>
  </si>
  <si>
    <t>Fund Unbudgeted Tax Settlements Against The District</t>
  </si>
  <si>
    <t>Pay All Unemployment Claims Made Against The District</t>
  </si>
  <si>
    <t>Workers Compensaion</t>
  </si>
  <si>
    <t>Hold For Future Increases In Yearly Costs And Cover District'S Share Of Any Consortium Deficit</t>
  </si>
  <si>
    <t>260901</t>
  </si>
  <si>
    <t>HONEOYE FALLS-LIMA CSD</t>
  </si>
  <si>
    <t>District Will Seek Voter Approval To Offset Costs Of Future Capital Projects</t>
  </si>
  <si>
    <t>Reserve For Eblar</t>
  </si>
  <si>
    <t>Payment Of Compensated Absences Upon Retirement</t>
  </si>
  <si>
    <t>Payment Of Nysers Retirement Billing</t>
  </si>
  <si>
    <t>Refund Of Property Taxes To Property Owners Who Prevail In Tax Certiorari Law Suits</t>
  </si>
  <si>
    <t>Payment Of Unemployment Ins Claims</t>
  </si>
  <si>
    <t>Reserve For Workers Compensation</t>
  </si>
  <si>
    <t>Payment Of Workers Comp Ins Premiums</t>
  </si>
  <si>
    <t>261001</t>
  </si>
  <si>
    <t>SPENCERPORT CSD</t>
  </si>
  <si>
    <t>Capital For Buses And Motor Vehicles</t>
  </si>
  <si>
    <t>Capital For Classroom Furniture &amp; Technology</t>
  </si>
  <si>
    <t>Proposition 1 On The 18-19 Ballot Requests Voter Authorization To Expend $150,000 To Purchase Classroom Furniture And Equipment</t>
  </si>
  <si>
    <t>Capital Reserve For Buildings</t>
  </si>
  <si>
    <t>Proposition 2 On The 18-19 Ballot Requests Voter Authorization To Expend $3,000,000 For This Reserve For A $12,385,000 Capital Project</t>
  </si>
  <si>
    <t>Employee Benefit Accrued Lliability Reserve</t>
  </si>
  <si>
    <t>The Balance In This Fund Matches Future Liabilities.  Funds Will Be Used To Pay Benefits Due Employees Who Retire From The District.</t>
  </si>
  <si>
    <t>The 18-19 Budget Appropriates $1,323,253 To Support The 18-19 New York State Employee Retriement (Pension) Employer Contribution Amount</t>
  </si>
  <si>
    <t>Funds Will Be Used To Pay 2018-2019 Liabilities To Refund Property Taxes To Property Owners Who Prevail In Tax Certiorari Law Suits</t>
  </si>
  <si>
    <t>The 18-19 Budget Appropriates $25,000 To Pay Unemployment Wages And Claims</t>
  </si>
  <si>
    <t>The 18-19 Budget Appropriates $458,832 To Pay The Premium Equivalency</t>
  </si>
  <si>
    <t>261101</t>
  </si>
  <si>
    <t>HILTON CSD</t>
  </si>
  <si>
    <t>We Do Not Intend To Use In 18-19</t>
  </si>
  <si>
    <t>Anticipate Using $329,945 To Support 2018-2019 New York State Pension Premiums</t>
  </si>
  <si>
    <t>261201</t>
  </si>
  <si>
    <t>PENFIELD CSD</t>
  </si>
  <si>
    <t>Use $400,000 To Fund 2018-19 Bus Purchases, Fund Reserve To Authorized Threshold, Hold For Future Bus Purchases</t>
  </si>
  <si>
    <t>2014 Capital Reserve</t>
  </si>
  <si>
    <t>Use $7,000,000 To Fund 2018 Elementary Additions Project, Hold For Future Capital Projects</t>
  </si>
  <si>
    <t>Reserve For Employee Benefit And Accrued Liability</t>
  </si>
  <si>
    <t>Adjust To Fund Accrued Employee Benefits</t>
  </si>
  <si>
    <t>Hold To Fund Uninsured Losses</t>
  </si>
  <si>
    <t>Reserve For Retirement System</t>
  </si>
  <si>
    <t>To Fund Retirement Costs, Use $100,000 To Fund Ers Benefit Costs In 2018-19</t>
  </si>
  <si>
    <t>To Fund Unbudgeted Tax Certorary Judgements</t>
  </si>
  <si>
    <t>Hold For Potential Future Layoffs</t>
  </si>
  <si>
    <t>Hold To Fund Future Workers Compensation Increases</t>
  </si>
  <si>
    <t>261301</t>
  </si>
  <si>
    <t>FAIRPORT CSD</t>
  </si>
  <si>
    <t>Technology</t>
  </si>
  <si>
    <t>Proposed Proposition To Utilize $736,000 In 2018-19</t>
  </si>
  <si>
    <t>Hold For Future Use</t>
  </si>
  <si>
    <t>Bus</t>
  </si>
  <si>
    <t>Building 2018</t>
  </si>
  <si>
    <t>Proposed Proposition In May 2018 To Establish</t>
  </si>
  <si>
    <t>Hold For Potential Accrued Employee Benefits Due To Employees Upon End Of Service</t>
  </si>
  <si>
    <t>Hold For Potential Liability Claims Incurred</t>
  </si>
  <si>
    <t>Budgeting $1,240,000 Usage In 2018-19. Hold Remaining For Employer Retirement Contributions</t>
  </si>
  <si>
    <t>Budgeting $ 20,000 Usage In 2018-19. Hold Remaining For Potential Tax Certiorari Settlements</t>
  </si>
  <si>
    <t>Budgeting $60,000 Usage In 2018-19. Hold Remaining For Potential Future Layoffs And Unemployment Expenses.</t>
  </si>
  <si>
    <t>261313</t>
  </si>
  <si>
    <t>EAST ROCHESTER UFSD</t>
  </si>
  <si>
    <t>2016 Technology Reserve</t>
  </si>
  <si>
    <t>200,000 To Offset The Cost Of Principal And Interest Payments On Bonds Purchased To Fund Capital Construction And Renovations</t>
  </si>
  <si>
    <t>District Does Not Have</t>
  </si>
  <si>
    <t>165,000 To Partially Offset The District'S Share Of Nys And Local Retirement System (Ers) Obligations</t>
  </si>
  <si>
    <t>9,000 To Pay The Cost Of Unemployment Insurance</t>
  </si>
  <si>
    <t>100,000 To Partially Offset The Cost Of Workers' Compensation Insurance</t>
  </si>
  <si>
    <t>261401</t>
  </si>
  <si>
    <t>PITTSFORD CSD</t>
  </si>
  <si>
    <t>For Parking Lot Expansion And Room Renovations To Add Full Day Kindergarten, In The Amount Of $575,000</t>
  </si>
  <si>
    <t>Capital Technology Reserve</t>
  </si>
  <si>
    <t>To Purchase Five Additional School Buses For Full Day Kindergarten In The Amount Of $610,000</t>
  </si>
  <si>
    <t>Reserve For Employee Benefits Accrued Liability</t>
  </si>
  <si>
    <t>To Offset Accrued Benefit Costs At The Time Of Retirement Up To The Amount Of $400,000.</t>
  </si>
  <si>
    <t>To Cover The Cost Of A Possible Settlement From Pending Litigation In The Amount Of $50,000.</t>
  </si>
  <si>
    <t>To Offset Employee Retirement System Costs In The Amount Of $203,000.</t>
  </si>
  <si>
    <t>To Offset Unemployment Costs Up To $40,000.</t>
  </si>
  <si>
    <t>To Offset An Increase In Workers' Compensation Costs In The Amount Of $20,000</t>
  </si>
  <si>
    <t>261501</t>
  </si>
  <si>
    <t>CHURCHVILLE-CHILI CSD</t>
  </si>
  <si>
    <t>Capital Reserve 2009</t>
  </si>
  <si>
    <t>Fund Retirement Payouts For Unused Sick Leave</t>
  </si>
  <si>
    <t>$873381 Appropriated To 2018-19 Budget</t>
  </si>
  <si>
    <t>$30000 Appropriated To 2018-19 Budget</t>
  </si>
  <si>
    <t>$349672 Appropriated To 2018-19 Budget</t>
  </si>
  <si>
    <t>261701</t>
  </si>
  <si>
    <t>RUSH-HENRIETTA CSD</t>
  </si>
  <si>
    <t>Use $670K To Fund 2018-19 Bus Purchases</t>
  </si>
  <si>
    <t>Use $400K To Fund Retirement Payouts For Unused Vacation And Sick Leave</t>
  </si>
  <si>
    <t>Use $300K To Fund 2018-19 Employer Contributions</t>
  </si>
  <si>
    <t>Fund Unbudgeted Tax Certiorari Judgments In Excess Of $200K</t>
  </si>
  <si>
    <t>Cover District Self-Insured Portion Of Claims In Excess Of Budget</t>
  </si>
  <si>
    <t>261801</t>
  </si>
  <si>
    <t>BROCKPORT CSD</t>
  </si>
  <si>
    <t>The 2018-19 Budget Does Not Utilize The Capital Reserve, It Will Be Used For Future Capital Project Proposals.</t>
  </si>
  <si>
    <t>The 2018-19 Budget Relies On The Insurance Reserve To Pay For  Unbudgeted Potential Losses For Which The Reserve Was Intended.</t>
  </si>
  <si>
    <t>The 2018-19 Budget Relies On The Liability Reserve To Pay For The Unbudgeted Claims  For Which The Reserve Was Intended.</t>
  </si>
  <si>
    <t>The 2018-19 Budget Appropriates $1,500,000 From The Retirement Contribution Reserve To Pay For The Required Contribution To The New York State Employees Retirement System.</t>
  </si>
  <si>
    <t>The 2018-19 Budget Relies On The Tax Certiorari Reserve To Pay For The Unbudgeted Final Settlements  For Which The Reserve Was Intended.</t>
  </si>
  <si>
    <t>Unemployement Insurance</t>
  </si>
  <si>
    <t>The 2018-19 Budget Does Not Appropriate Any Unemployment Reserve, Held For Future Year Potential Expense.</t>
  </si>
  <si>
    <t>The 2018-19 Budget Appropriates $50,000 From The Unemployment Insurance Reserve To Pay For Unemployment Wages And Claims.</t>
  </si>
  <si>
    <t>261901</t>
  </si>
  <si>
    <t>WEBSTER CSD</t>
  </si>
  <si>
    <t>Hold For Future Principal Payments</t>
  </si>
  <si>
    <t>Fund Accumulated Vacation Time For Retiring Employees</t>
  </si>
  <si>
    <t>Fund Unbudgeted Liability Claims That Insurance Will Not Cover</t>
  </si>
  <si>
    <t>Hold For Future Emergency Repairs</t>
  </si>
  <si>
    <t>Use $2,042,499 For 2018-19 Billing</t>
  </si>
  <si>
    <t>Hold For Any Potential Future Layoffs</t>
  </si>
  <si>
    <t>Hold For Future Spikes In Yearly Costs And To Cover Websters' Share Of Consortium Deficit</t>
  </si>
  <si>
    <t>262001</t>
  </si>
  <si>
    <t>WHEATLAND-CHILI CSD</t>
  </si>
  <si>
    <t>School Equipment</t>
  </si>
  <si>
    <t>Use $15,000 To Purchase/Replace Musical Instruments And Other Items To Support Instruction If Approved By Voters</t>
  </si>
  <si>
    <t>We Do Not Intend To Use In 2018-19</t>
  </si>
  <si>
    <t>Bus And Grounds Equipment</t>
  </si>
  <si>
    <t>Use $230,000 To Fund Bus Purchase If Approved By Voters</t>
  </si>
  <si>
    <t>Miscellaneous Reserve - Opeb</t>
  </si>
  <si>
    <t>Appropriate $103,838 Too Offset Retiree Costs</t>
  </si>
  <si>
    <t>Appropriate $31,000 To Offset Pension Costs</t>
  </si>
  <si>
    <t>270100</t>
  </si>
  <si>
    <t>AMSTERDAM CITY SD</t>
  </si>
  <si>
    <t>For Employee Benefits Due To Termination Of Service As Provided By Labor Contracts.</t>
  </si>
  <si>
    <t>Non-Recurring Annual Repairs</t>
  </si>
  <si>
    <t>Retirement Contribution  Contribution Reserve</t>
  </si>
  <si>
    <t>For Employer Retirement Contributions To State Employees Retirement System</t>
  </si>
  <si>
    <t>To Pay Claims To Nys Unemployment Insurance Fund.</t>
  </si>
  <si>
    <t>270301</t>
  </si>
  <si>
    <t>CANAJOHARIE CSD</t>
  </si>
  <si>
    <t>Fund New Capital Project</t>
  </si>
  <si>
    <t>Capital - Bus Reserve</t>
  </si>
  <si>
    <t>Fund Bus Lease Payments</t>
  </si>
  <si>
    <t>Pay Retirees Accrued Vacation/Sick Days</t>
  </si>
  <si>
    <t>Pay Ers Invoice</t>
  </si>
  <si>
    <t>Fund Unemployment Costs</t>
  </si>
  <si>
    <t>270601</t>
  </si>
  <si>
    <t>FONDA-FULTONVILLE CSD</t>
  </si>
  <si>
    <t>Update Facility Infrastructure</t>
  </si>
  <si>
    <t>Decrease Debt Service</t>
  </si>
  <si>
    <t>Emp Ben Res</t>
  </si>
  <si>
    <t>Contractual Obligations</t>
  </si>
  <si>
    <t>End Of Pilot</t>
  </si>
  <si>
    <t>270701</t>
  </si>
  <si>
    <t>Reserve For Bus Purchase</t>
  </si>
  <si>
    <t>Purchase Of Buses</t>
  </si>
  <si>
    <t>Reserve For Benefits &amp; Accrued Liabilities</t>
  </si>
  <si>
    <t>For Gasb45</t>
  </si>
  <si>
    <t>Pay Additional Retirement Expenditures Over Budget If Necessary</t>
  </si>
  <si>
    <t>Pay Additional Unemployment Payment Expenditures Over Budget If Necessary</t>
  </si>
  <si>
    <t>Pay Additional Workers Comp Expenditures Over Budget If Necessary</t>
  </si>
  <si>
    <t>271201</t>
  </si>
  <si>
    <t>OPPENHEIM-EPHRATAH-ST. JOHNSVILLE CS</t>
  </si>
  <si>
    <t>For Future Bldg Projects</t>
  </si>
  <si>
    <t>To Use To Offset Debt Service Payments</t>
  </si>
  <si>
    <t>Reserve For Embal</t>
  </si>
  <si>
    <t>To Pay Compensated Absenses</t>
  </si>
  <si>
    <t>To Pay Uninsured Losses</t>
  </si>
  <si>
    <t>To Pay Liability Claims</t>
  </si>
  <si>
    <t>Capital Bus Reservie</t>
  </si>
  <si>
    <t>For the purchase of buses</t>
  </si>
  <si>
    <t>To Purchase Buses $250,000</t>
  </si>
  <si>
    <t>To Property Loss Claims</t>
  </si>
  <si>
    <t>Repairs Of Equipment</t>
  </si>
  <si>
    <t>Reserve For Retirement Contri</t>
  </si>
  <si>
    <t>To Pay Ers Contributions</t>
  </si>
  <si>
    <t>To Pay Outstanding Claims For Assessements</t>
  </si>
  <si>
    <t>To Pay Workers Comp. Claims</t>
  </si>
  <si>
    <t>280100</t>
  </si>
  <si>
    <t>GLEN COVE CITY SD</t>
  </si>
  <si>
    <t>Pay Employees Accrued Employee Benefits For Sick Time Upon Their Retirement At June 2019</t>
  </si>
  <si>
    <t>Pay Nys Retirement Liability For Sy 2019</t>
  </si>
  <si>
    <t>Reserve For Certiorari</t>
  </si>
  <si>
    <t>Pay Tax Certiorari Settlements Due Oct 2018</t>
  </si>
  <si>
    <t>Pay Workers Compensation Claims</t>
  </si>
  <si>
    <t>280201</t>
  </si>
  <si>
    <t>800,000</t>
  </si>
  <si>
    <t>Other Reserve</t>
  </si>
  <si>
    <t>280202</t>
  </si>
  <si>
    <t>Insurance Restricted</t>
  </si>
  <si>
    <t>Retirement System Restricted</t>
  </si>
  <si>
    <t>Restricted For Unemployment</t>
  </si>
  <si>
    <t>Workers Compensation Restricted</t>
  </si>
  <si>
    <t>280203</t>
  </si>
  <si>
    <t>EAST MEADOW UFSD</t>
  </si>
  <si>
    <t>Bonded Debt</t>
  </si>
  <si>
    <t>Appropriate To Bonded Debt</t>
  </si>
  <si>
    <t>Appropriate To Retirement Benefits</t>
  </si>
  <si>
    <t>Disability</t>
  </si>
  <si>
    <t>Appropriate To Disability Claims</t>
  </si>
  <si>
    <t>Dental</t>
  </si>
  <si>
    <t>Appropriate To Dental Benefits</t>
  </si>
  <si>
    <t>Repairs</t>
  </si>
  <si>
    <t>Appropriate To Worker'S Compensation Claims</t>
  </si>
  <si>
    <t>280204</t>
  </si>
  <si>
    <t>NORTH BELLMORE UFSD</t>
  </si>
  <si>
    <t>325,000 To Pay Retiree Benefits Due To Termination</t>
  </si>
  <si>
    <t>Employees Retirement Reserve</t>
  </si>
  <si>
    <t>400,000 To Help Balance The Budget</t>
  </si>
  <si>
    <t>50,000 To Help Balance The Budget</t>
  </si>
  <si>
    <t>250,000 To Help Balance The Budget</t>
  </si>
  <si>
    <t>280205</t>
  </si>
  <si>
    <t>3,000,000 To Be Used For Capital Improvement, Renovations And Alterations, Including, But Not Limited To Enhancing And Improving Security By Replacing Classroom Doors And Windows, District-Wide</t>
  </si>
  <si>
    <t>$100,000 Budgeted In General Fund Revenues To Offset The Cost Of Debt Service.</t>
  </si>
  <si>
    <t>None For 2018-2019.</t>
  </si>
  <si>
    <t>$2,500,00 Budgeted To Offset The Cost Incurred By The District For Employee Retirement Costs.</t>
  </si>
  <si>
    <t>$30,000 Budgeted To Offset The Expenditures For Unemployment Claims.</t>
  </si>
  <si>
    <t>$600,000 Budgeted To Offset The Expenditure For Workers Compensation Claims.</t>
  </si>
  <si>
    <t>280206</t>
  </si>
  <si>
    <t>SEAFORD UFSD</t>
  </si>
  <si>
    <t>Proposition On May Ballot</t>
  </si>
  <si>
    <t>750000 To Be Used To Reduce Taxes</t>
  </si>
  <si>
    <t>280207</t>
  </si>
  <si>
    <t>BELLMORE UFSD</t>
  </si>
  <si>
    <t>Capital Reserve Fund-2016</t>
  </si>
  <si>
    <t>The District Has Proposed Establishing A New Capital Reserve Fund Not To Exceed $5.8 Million Dollars To Be Voted Upon On May 15, 2018. Funds To Be Transferred From 2016 Capital Reserve.</t>
  </si>
  <si>
    <t>Capital Reserve Fund-2018</t>
  </si>
  <si>
    <t>To Be Used To Pay Unused Accumulated Leave Time Based On Contractual Requirements.</t>
  </si>
  <si>
    <t>To Be Used To Pay District Expenses To The Nys Employees� Retirement System.</t>
  </si>
  <si>
    <t>280208</t>
  </si>
  <si>
    <t>Capital Reserve For Technology</t>
  </si>
  <si>
    <t>297,228-Wireless Access Points, Classroom Sets Of Ipads, Smart Tvs</t>
  </si>
  <si>
    <t>Building Capital Reserve Fund</t>
  </si>
  <si>
    <t>600,000-Storage System, Cafeteria Light Fixtures, Locker Room Showers, Sprinkler System, Other Improvements</t>
  </si>
  <si>
    <t>Reserve For Accrued Liability</t>
  </si>
  <si>
    <t>775,000</t>
  </si>
  <si>
    <t>25,000</t>
  </si>
  <si>
    <t>Compensation Reserve</t>
  </si>
  <si>
    <t>525,000</t>
  </si>
  <si>
    <t>280209</t>
  </si>
  <si>
    <t>FREEPORT UFSD</t>
  </si>
  <si>
    <t>2009 Capital</t>
  </si>
  <si>
    <t>District-Wide Capital Projects</t>
  </si>
  <si>
    <t>2017 Capital</t>
  </si>
  <si>
    <t>Offset Expense/Lower Tax Levy</t>
  </si>
  <si>
    <t>280210</t>
  </si>
  <si>
    <t>BALDWIN UFSD</t>
  </si>
  <si>
    <t>Proposition On Ballot To Authorize Expenditure Of $10,959,175 From Capital Reserves.</t>
  </si>
  <si>
    <t>Capital Reserve 1</t>
  </si>
  <si>
    <t>To Cover Buyout Of Sick Days Upon Retirement Of Staff As Per Collective Bargaining Agreements And Individual Employment Contracts.</t>
  </si>
  <si>
    <t>Budgeted A Contribution Of $1,436,000 In 2018-19 Budget.</t>
  </si>
  <si>
    <t>Budgeted Contribution Of $100,000 In 2018-19 Budget.</t>
  </si>
  <si>
    <t>Budgeted A Contribution Of $700,000 In 2018-19 Budget</t>
  </si>
  <si>
    <t>280211</t>
  </si>
  <si>
    <t>Encumbrance Reserve</t>
  </si>
  <si>
    <t>280212</t>
  </si>
  <si>
    <t>MALVERNE UFSD</t>
  </si>
  <si>
    <t>Capital Reserve Ii</t>
  </si>
  <si>
    <t>$1,626,145.16 To Be Used For Capital Projects Subject To Voter Approval On May 15Th, 2018 (Proposition #2)</t>
  </si>
  <si>
    <t>$111,367 To Be Used To Fund The 2018/19 Budget</t>
  </si>
  <si>
    <t>Reserve For Post Emp Benefits</t>
  </si>
  <si>
    <t>$216,072 To Be Used To Fund The 2018/19 Budget</t>
  </si>
  <si>
    <t>Reserve For Retirement Cont.</t>
  </si>
  <si>
    <t>$660,732 To Be Used To Fund The 2018/19 Budget</t>
  </si>
  <si>
    <t>Reserve For Unemployment Ins.</t>
  </si>
  <si>
    <t>$35,000 To Be Used To Fund The 2018/19 Budget</t>
  </si>
  <si>
    <t>280213</t>
  </si>
  <si>
    <t>VALLEY STREAM 13 UFSD</t>
  </si>
  <si>
    <t>To Fund Capital Projects</t>
  </si>
  <si>
    <t>To Cover The Cost Of Retiree Compensated Time Payouts</t>
  </si>
  <si>
    <t>To Cover The Cost Of Possible Liability Claims</t>
  </si>
  <si>
    <t>Pending Approval By Voters On May 15, 2018</t>
  </si>
  <si>
    <t>To Cover The Cost Of Ers Payments</t>
  </si>
  <si>
    <t>To Cover The Cost Of Possible Unemployment Claims</t>
  </si>
  <si>
    <t>To Cover The Cost Of Workers' Comp Premiums</t>
  </si>
  <si>
    <t>280214</t>
  </si>
  <si>
    <t>HEWLETT-WOODMERE UFSD</t>
  </si>
  <si>
    <t>Hewlett Woodmere Long Range Capuital Reserve Fund</t>
  </si>
  <si>
    <t>14775000</t>
  </si>
  <si>
    <t>1015300</t>
  </si>
  <si>
    <t>120000</t>
  </si>
  <si>
    <t>Not Authorized</t>
  </si>
  <si>
    <t>Liability Insurance Reserve</t>
  </si>
  <si>
    <t>Property Loss Insurance Reserve Reserve</t>
  </si>
  <si>
    <t>75000</t>
  </si>
  <si>
    <t>Repair Reserve Athletic And Non Athletic</t>
  </si>
  <si>
    <t>351798</t>
  </si>
  <si>
    <t>Unenployment Reserve</t>
  </si>
  <si>
    <t>300000</t>
  </si>
  <si>
    <t>280215</t>
  </si>
  <si>
    <t>LAWRENCE UFSD</t>
  </si>
  <si>
    <t>280216</t>
  </si>
  <si>
    <t>ELMONT UFSD</t>
  </si>
  <si>
    <t>For Employer Retirement Contributions To The State And Local Employees' Retirement System.</t>
  </si>
  <si>
    <t>For Self-Insured Workers Compensation And Benefits.</t>
  </si>
  <si>
    <t>280217</t>
  </si>
  <si>
    <t>FRANKLIN SQUARE UFSD</t>
  </si>
  <si>
    <t>1,800,000 For Bathroom Renovations (Phase 3)</t>
  </si>
  <si>
    <t>Tbd Based On Retirements</t>
  </si>
  <si>
    <t>n/a</t>
  </si>
  <si>
    <t>175,000 To Ers Expenditure</t>
  </si>
  <si>
    <t>Tbd Based On Claims</t>
  </si>
  <si>
    <t>280218</t>
  </si>
  <si>
    <t>GARDEN CITY UFSD</t>
  </si>
  <si>
    <t>Voter Approved Capital Projects</t>
  </si>
  <si>
    <t>Compensated Absence Expenses</t>
  </si>
  <si>
    <t>$320,000 Appropriation</t>
  </si>
  <si>
    <t>$600,000 Appropriation And Wc Related Expense</t>
  </si>
  <si>
    <t>280219</t>
  </si>
  <si>
    <t>EAST ROCKAWAY UFSD</t>
  </si>
  <si>
    <t>Capital Reserve - Technology Ii</t>
  </si>
  <si>
    <t>$200,000 To Be Used For Capital Projects Subject To Voter Approval On May 15Th, 2018 (Proposition #3)</t>
  </si>
  <si>
    <t>Capital Reserve - Bldg Improvement Ii</t>
  </si>
  <si>
    <t>$200,000 To Be Used For Capital Projects Subject To Voter Approval On May 15Th, 2018 (Proposition #2)</t>
  </si>
  <si>
    <t>Post Employment Benefits Reserve</t>
  </si>
  <si>
    <t>Employee Benefits Upon Retirement</t>
  </si>
  <si>
    <t>Appropriating $525,000 To Offset Employee Local Retirement Expenses</t>
  </si>
  <si>
    <t>Appropriating $25,000 To Offset Unemployment Expenses</t>
  </si>
  <si>
    <t>280220</t>
  </si>
  <si>
    <t>LYNBROOK UFSD</t>
  </si>
  <si>
    <t>Renovation And Improvement</t>
  </si>
  <si>
    <t>$5,000,000 Reserved For Voter Approved Projects From 10/3/2017 Referendum</t>
  </si>
  <si>
    <t>Building Renovation</t>
  </si>
  <si>
    <t>$1,746,000 Proposed Use For South Middle School Doors, Marion Street Bathrooms And Locker Room, And Waverly Park Elevator</t>
  </si>
  <si>
    <t>Technology Replacement</t>
  </si>
  <si>
    <t>$502,000 Proposed Use For Elementary Laptops, 9Th Grade One-To-One Devices, Elementary Projection Screens, Emergency Walkie-Talkie System, And Computer Replacement Cycle</t>
  </si>
  <si>
    <t>$100,000 Proposed Use To Cover Employee Sick Leave Pay Out Expenses</t>
  </si>
  <si>
    <t>General Liability Reserve</t>
  </si>
  <si>
    <t>No Plan For Use In 2018-2019</t>
  </si>
  <si>
    <t>$730,000 Proposed Use To Cover Ers Contribution Expenses</t>
  </si>
  <si>
    <t>$145,000 Proposed Use To Cover Self-Insured Workers' Compensation Expenses</t>
  </si>
  <si>
    <t>280221</t>
  </si>
  <si>
    <t>ROCKVILLE CENTRE UFSD</t>
  </si>
  <si>
    <t>Employee Benefit And Accrued Liability Reserve</t>
  </si>
  <si>
    <t>200000</t>
  </si>
  <si>
    <t>500000</t>
  </si>
  <si>
    <t>280222</t>
  </si>
  <si>
    <t>FLORAL PARK-BELLEROSE UFSD</t>
  </si>
  <si>
    <t>2015 Capital Reserve</t>
  </si>
  <si>
    <t>$990,000 Pending Voter Approval Of A 5/15/18 Referendum Will Fund Security Enhancements, Paving, Classroom, Renovations, And Hvac Improvements</t>
  </si>
  <si>
    <t>$60,000 To Fund Employee Benefits To Be Paid Upon Retirement At 6/30/19</t>
  </si>
  <si>
    <t>$215,000 To Fund Part Of The District'S 2018-19 Ers Contributions</t>
  </si>
  <si>
    <t>$25,000 To Fund 2018-19 Anticipated Unemployment Claims</t>
  </si>
  <si>
    <t>280223</t>
  </si>
  <si>
    <t>WANTAGH UFSD</t>
  </si>
  <si>
    <t>Continue To Use Reserve To Offset Terminal Leave Payments In Excess Of Budget</t>
  </si>
  <si>
    <t>Use Reserve To Moderate Future Tax Levy Increases From Rising Costs For Retirement</t>
  </si>
  <si>
    <t>Use Reserve To Offset  Unemployment Expenses In Excess Of Budget</t>
  </si>
  <si>
    <t>Restore Reserve Funds Depleted, And Continue To Use Reserve To Offset Workers' Compensation Expenses In Excess Of Budget</t>
  </si>
  <si>
    <t>280224</t>
  </si>
  <si>
    <t>VALLEY STREAM 24 UFSD</t>
  </si>
  <si>
    <t>Initial Deposit Of A Ten Year Reserve To Fund Future Capital Improvements</t>
  </si>
  <si>
    <t>Subtraction Of $100K For Current Year Expenses $104K Then Addition Of $100K To Maintain Long Term Compensation Absences Liability Of Estimated $1,245,705.</t>
  </si>
  <si>
    <t>Additional $230K To Fund Potential Future Employer Cost Increases To Employees' Retirement System.</t>
  </si>
  <si>
    <t>Allocation Of Estimated Interest $146</t>
  </si>
  <si>
    <t>280225</t>
  </si>
  <si>
    <t>MERRICK UFSD</t>
  </si>
  <si>
    <t>280226</t>
  </si>
  <si>
    <t>ISLAND TREES UFSD</t>
  </si>
  <si>
    <t>Funds May Be Appropriated As Necessary For Funding Of Termination Pay To New Retirees.</t>
  </si>
  <si>
    <t>Appropriate $14,757 As 2018-19 Revenue To Offset Steam Trap Repairs Districtwide.</t>
  </si>
  <si>
    <t>280227</t>
  </si>
  <si>
    <t>WEST HEMPSTEAD UFSD</t>
  </si>
  <si>
    <t>District  Does Not Have A Capital Reserve</t>
  </si>
  <si>
    <t>District  Does Not Have A Debt Service Reserve</t>
  </si>
  <si>
    <t>Employee Bebefit Accrued Liability Reserve</t>
  </si>
  <si>
    <t>To Pay Employee Accrued  Benefits Upon Termination Of Service In 2018-2019</t>
  </si>
  <si>
    <t>Insurance Recovery Reserves</t>
  </si>
  <si>
    <t>District  Does Not Have A Insurance  Recovery Reserve</t>
  </si>
  <si>
    <t>District  Does Not Have An Insurance Reserve</t>
  </si>
  <si>
    <t>Liability Claims Reserve</t>
  </si>
  <si>
    <t>District  Does Not Have A Liability Claims Reserve</t>
  </si>
  <si>
    <t>Other Reserves</t>
  </si>
  <si>
    <t>District  Does Not Have Other Reserves</t>
  </si>
  <si>
    <t>Property Loss Reseve</t>
  </si>
  <si>
    <t>District  Does Not Have A Property Loss Reserve</t>
  </si>
  <si>
    <t>District  Does Not Have A Repair Reserve</t>
  </si>
  <si>
    <t>To Pay Employee Retirement Contributions To The State And Local Employees' Retirement System In 2018-19.</t>
  </si>
  <si>
    <t>District  Does Not Have A Tax Certiorari Reserve</t>
  </si>
  <si>
    <t>District  Does Not Have A Reserve For Tax Reduction</t>
  </si>
  <si>
    <t>District  Does Not Have A Reserve For Uncollected  Taxes</t>
  </si>
  <si>
    <t>To Pay  For  The Cost Of Increases In Unemployment Insurance During 2018-2019</t>
  </si>
  <si>
    <t>District  Does Not Have A Workers  Compensation Reserve</t>
  </si>
  <si>
    <t>280229</t>
  </si>
  <si>
    <t>NORTH MERRICK UFSD</t>
  </si>
  <si>
    <t>Capital Reserve 2015</t>
  </si>
  <si>
    <t>To Pay Accrued Employee Benefits</t>
  </si>
  <si>
    <t>To Pay District Ers Costs</t>
  </si>
  <si>
    <t>To Pay Cost Of Reimbursement To The State Unemployment Insurance Fund</t>
  </si>
  <si>
    <t>280230</t>
  </si>
  <si>
    <t>VALLEY STREAM 30 UFSD</t>
  </si>
  <si>
    <t>Capital 2016</t>
  </si>
  <si>
    <t>Forest Road/ Shaw Ave Addition</t>
  </si>
  <si>
    <t>Capital 2012</t>
  </si>
  <si>
    <t>Clear Stream/ Shaw Ave Addition</t>
  </si>
  <si>
    <t>Capital 2014</t>
  </si>
  <si>
    <t>Insurance Liability, Casualty, And Other</t>
  </si>
  <si>
    <t>280231</t>
  </si>
  <si>
    <t>ISLAND PARK UFSD</t>
  </si>
  <si>
    <t>These Funds Will Be Expended During The</t>
  </si>
  <si>
    <t>These Funds Will Be Expended During The 2018/19 School Year As Per Bond Vote Approved By The Community On 1/24/17.</t>
  </si>
  <si>
    <t>Capital Reserve H</t>
  </si>
  <si>
    <t>Funds From This Reserve May Be Expended For Retirement Payouts If Applicable.</t>
  </si>
  <si>
    <t>No Planned Use For 2018/19 School Year.</t>
  </si>
  <si>
    <t>Opeb</t>
  </si>
  <si>
    <t>For other post employment benefits</t>
  </si>
  <si>
    <t>Retirement/Ers</t>
  </si>
  <si>
    <t>$501,524 From This Reserve Has Been Allocated To</t>
  </si>
  <si>
    <t>$10,000 From This Reserve Has Been Allocated To Offset Anticipated Expenditures During The 2018/19 School Year.</t>
  </si>
  <si>
    <t>$150,000 From This Reserve Has Been Allocated To Offset Anticipated Expenditures During The 2018/19 School Year.</t>
  </si>
  <si>
    <t>280251</t>
  </si>
  <si>
    <t>VALLEY STREAM CENTRAL HS DISTRICT</t>
  </si>
  <si>
    <t>Us The Remaining Balance Of $1,251,144 To Cover The Cost Of Capital Projects</t>
  </si>
  <si>
    <t>To Cover The Cost Of Future Capital Projects</t>
  </si>
  <si>
    <t>Use To Offset The Cost Of The Accrued Employee Benefit Due To An Employee Upon Termination Of The Employee'S Service</t>
  </si>
  <si>
    <t>Use To Offset The Cost Of Uninsured Losses</t>
  </si>
  <si>
    <t>Use $1,220,000 To Offset The Tax Levy</t>
  </si>
  <si>
    <t>Use To Offset The Cost Of Reimbursement To The State Unemployment Insurance Fund</t>
  </si>
  <si>
    <t>Use $700,000 To Offset The Tax Levy</t>
  </si>
  <si>
    <t>280252</t>
  </si>
  <si>
    <t>SEWANHAKA CENTRAL HS DISTRICT</t>
  </si>
  <si>
    <t>To Pay For Accrued Compensated Absences To Retiring Employees  $225000</t>
  </si>
  <si>
    <t>To Pay For Uninsured Losses And Claims, And Professional Services Related To Investigations In Settlement Of Claims  $150,000</t>
  </si>
  <si>
    <t>To Pay Employer Contribution To Nys Ers  $1,247,810</t>
  </si>
  <si>
    <t>Pay For Unemployment Claims $25,000</t>
  </si>
  <si>
    <t>Pay Workers Compensation Claims $825,000</t>
  </si>
  <si>
    <t>280253</t>
  </si>
  <si>
    <t>BELLMORE-MERRICK CENTRAL HS DISTRICT</t>
  </si>
  <si>
    <t>We Do Not Intend To Use</t>
  </si>
  <si>
    <t>$600,000 To Be Used For Terminal Leave Sick Pay</t>
  </si>
  <si>
    <t>$2.1  Million To Be Used For Retirement Contributions</t>
  </si>
  <si>
    <t>$2.2 Million To Be Used For Tax Reduction, Building Sale July 2018</t>
  </si>
  <si>
    <t>$250,000 To Be Used For Workers Comp Expenses</t>
  </si>
  <si>
    <t>280300</t>
  </si>
  <si>
    <t>LONG BEACH CITY SD</t>
  </si>
  <si>
    <t>2018 Capital Improvement Fund</t>
  </si>
  <si>
    <t>Install New Doors/Locks East, Ms, Hs; Build New Interior Caf� Wall At Hs; New Security Vestibule At Nike</t>
  </si>
  <si>
    <t>280401</t>
  </si>
  <si>
    <t>WESTBURY UFSD</t>
  </si>
  <si>
    <t>Intend To Use Up To 100000</t>
  </si>
  <si>
    <t>Intend To Use Up To 1272831</t>
  </si>
  <si>
    <t>Intend To Use Up To 75000</t>
  </si>
  <si>
    <t>Intend To Use Up To 150000</t>
  </si>
  <si>
    <t>280402</t>
  </si>
  <si>
    <t>EAST WILLISTON UFSD</t>
  </si>
  <si>
    <t>2016 Capital Projects Reserve</t>
  </si>
  <si>
    <t>None Anticipated</t>
  </si>
  <si>
    <t>2015 Capital Projects Reserve</t>
  </si>
  <si>
    <t>Window Replacement &amp; Exterior Lighting</t>
  </si>
  <si>
    <t>Upgrades To Security System In School Buildings</t>
  </si>
  <si>
    <t>280403</t>
  </si>
  <si>
    <t>ROSLYN UFSD</t>
  </si>
  <si>
    <t>2015 &amp; 2017</t>
  </si>
  <si>
    <t>769999 Turf Hvac Septic Gym Floors</t>
  </si>
  <si>
    <t>Ers Pension</t>
  </si>
  <si>
    <t>250000</t>
  </si>
  <si>
    <t>Wc</t>
  </si>
  <si>
    <t>280404</t>
  </si>
  <si>
    <t>PORT WASHINGTON UFSD</t>
  </si>
  <si>
    <t>Not Established</t>
  </si>
  <si>
    <t>Not To Be Used</t>
  </si>
  <si>
    <t>Established But Not Funded</t>
  </si>
  <si>
    <t>$962,228 To Be Used To Offset Retirement Contributions Costs</t>
  </si>
  <si>
    <t>280405</t>
  </si>
  <si>
    <t>NEW HYDE PARK-GARDEN CITY PARK UFSD</t>
  </si>
  <si>
    <t>Not Intended To Be Used For The 2018-2019 School Year</t>
  </si>
  <si>
    <t>This Reserve Is Used To Pay For Unused Accumulated Leave Time Contractually Provided To Certain Groups Of Employees Upon Termination Of Service.</t>
  </si>
  <si>
    <t>This Reserve Is Used To Pay For District Expenses To The Nys Employees' Retirement System.</t>
  </si>
  <si>
    <t>This Reserve Is Used To Reimburse The State For Payments Made To Claimants Where A District Uses The Benefit Reimbursement Method.  This District Has Opted For The Benefit Reimbursement Method.</t>
  </si>
  <si>
    <t>280406</t>
  </si>
  <si>
    <t>Subject To Voter Approval On May15</t>
  </si>
  <si>
    <t>2010 Capital Reserve</t>
  </si>
  <si>
    <t>280407</t>
  </si>
  <si>
    <t>GREAT NECK UFSD</t>
  </si>
  <si>
    <t>The Same As The Reserve Description</t>
  </si>
  <si>
    <t>280409</t>
  </si>
  <si>
    <t>HERRICKS UFSD</t>
  </si>
  <si>
    <t>None At This Time.</t>
  </si>
  <si>
    <t>No Known Retirements At This Time, Dependent Upon Retirement Notices Received.</t>
  </si>
  <si>
    <t>Dependent Upon Actual Claims Filed And Paid.</t>
  </si>
  <si>
    <t>280410</t>
  </si>
  <si>
    <t>MINEOLA UFSD</t>
  </si>
  <si>
    <t>District Intends To Maintain The Current Balance</t>
  </si>
  <si>
    <t>District Intends To Close Reserve In 2018-19 School Year _x000D_
District Intends To Close Reserve In 2018-19 Year</t>
  </si>
  <si>
    <t>280411</t>
  </si>
  <si>
    <t>CARLE PLACE UFSD</t>
  </si>
  <si>
    <t>Cap Res 2</t>
  </si>
  <si>
    <t>Security Upgrades, Portion Of Rushmore Phase Iii Classroom Renovations; Hs Doors; Hs Electric Upgrades</t>
  </si>
  <si>
    <t>Cap Res 3</t>
  </si>
  <si>
    <t>Rushmore Phase Iii Classroom Renovations</t>
  </si>
  <si>
    <t>Ebalr Res</t>
  </si>
  <si>
    <t>Will Be Used If Eligible Employees Retire During 1819</t>
  </si>
  <si>
    <t>Insurance Res</t>
  </si>
  <si>
    <t>Repair Res 2</t>
  </si>
  <si>
    <t>For Unanticipated Emergency Repairs</t>
  </si>
  <si>
    <t>Ers Res</t>
  </si>
  <si>
    <t>Portion Included As Revenue In 1819 Budget.</t>
  </si>
  <si>
    <t>280501</t>
  </si>
  <si>
    <t>NORTH SHORE CSD</t>
  </si>
  <si>
    <t>3443912</t>
  </si>
  <si>
    <t>10000</t>
  </si>
  <si>
    <t>Pay For Liability Claims</t>
  </si>
  <si>
    <t>109553</t>
  </si>
  <si>
    <t>1200000</t>
  </si>
  <si>
    <t>Unemploym'T Reserve</t>
  </si>
  <si>
    <t>District Is Self Insured</t>
  </si>
  <si>
    <t>District Self Insured</t>
  </si>
  <si>
    <t>280502</t>
  </si>
  <si>
    <t>SYOSSET CSD</t>
  </si>
  <si>
    <t>Security Capital Improvement Program 2018</t>
  </si>
  <si>
    <t>If The Establishment Of The Reserve Is Approved By The Voters, Possible Funding Of Up To $2,000,000 For District-Wide Security Upgrades, Contingent Upon Year-End Operating Results.</t>
  </si>
  <si>
    <t>Approved By The Voters In February 2018 For Phase Ii Capital Projects. The June 30Th Balance Reflects The Movement Of The Funds From The Capital Reserve To The Capital Fund To Pay For Projects.</t>
  </si>
  <si>
    <t>We Anticipate Appropriating Up To $100,000 To Fund Ebal Expense In The 2018-19 Budget To Reduce The Tax Levy.</t>
  </si>
  <si>
    <t>Insurance_x000D_
Reserve</t>
  </si>
  <si>
    <t>Not Planned For Use In 2018-19 School Year.</t>
  </si>
  <si>
    <t>Retirement Contribution_x000D_
Reserve</t>
  </si>
  <si>
    <t>We Anticipate Appropriating Up To $3,000,000 To Fund Ers (Pension) Expense In The Budget, Which Reduces The Tax Levy.</t>
  </si>
  <si>
    <t>We Anticipate Appropriating Up To $50,000 To Fund Unemployment Expenses In The 2018-19 Budget, Which Reduces The Tax Levy.</t>
  </si>
  <si>
    <t>Workers' Compensation_x000D_
Reserve</t>
  </si>
  <si>
    <t>We Anticipate Appropriating Up To $730,000 To Fund Workers Compensation Expense In The Budget, Which Reduces The Tax Levy.</t>
  </si>
  <si>
    <t>280503</t>
  </si>
  <si>
    <t>LOCUST VALLEY CSD</t>
  </si>
  <si>
    <t>1,500,000 For Ms/Hs And Bp Roof Replacement, And Bp Adaptive Playground</t>
  </si>
  <si>
    <t>Not Be Used In 2018-19</t>
  </si>
  <si>
    <t>Not To Be Used In 2018-19</t>
  </si>
  <si>
    <t>Unemploymentinsurance</t>
  </si>
  <si>
    <t>280504</t>
  </si>
  <si>
    <t>PLAINVIEW-OLD BETHPAGE CSD</t>
  </si>
  <si>
    <t>Reserve Liquidated</t>
  </si>
  <si>
    <t>Proposition Ii Seeks The Expenditure Of $4,600,000 For Entry Vestibule Reconstruction, Roof Recoating And Hvac Projects</t>
  </si>
  <si>
    <t>$400,000 Is Appropriated To Revenue To Offset Costs Due Upon Termination Of Service</t>
  </si>
  <si>
    <t>None At This Time. Use Requires A Public Hearing</t>
  </si>
  <si>
    <t>$2,225,000 Is Appropriated To Revenue To Offset Payments To  Ers</t>
  </si>
  <si>
    <t>$25,000 Is Appropriated To Revenue To Offset Unemployment Insurance Costs</t>
  </si>
  <si>
    <t>280506</t>
  </si>
  <si>
    <t>OYSTER BAY-EAST NORWICH CSD</t>
  </si>
  <si>
    <t>Restricted For Capital</t>
  </si>
  <si>
    <t>Voter Approved Projects</t>
  </si>
  <si>
    <t>Voter Approved Facility Related Projects.</t>
  </si>
  <si>
    <t>Reserved For Employee Benefit</t>
  </si>
  <si>
    <t>Retirement Contributions Per Contract.</t>
  </si>
  <si>
    <t>Restricted For Insurance</t>
  </si>
  <si>
    <t>For Uninsured Losses As Needed.</t>
  </si>
  <si>
    <t>TECHNOLOGY RESERVE ITEMS</t>
  </si>
  <si>
    <t>Restricted For Retirement Contribution</t>
  </si>
  <si>
    <t>For Contributions To Ers As Needed.</t>
  </si>
  <si>
    <t>Restricted For Unemployment Insurance</t>
  </si>
  <si>
    <t>For Unemployment Costs As Needed.</t>
  </si>
  <si>
    <t>280515</t>
  </si>
  <si>
    <t>JERICHO UFSD</t>
  </si>
  <si>
    <t>Fac Imp Program Ii</t>
  </si>
  <si>
    <t>This Reserve Will Be Liquidated At 6/30/18</t>
  </si>
  <si>
    <t>Fac Imp Program Iii</t>
  </si>
  <si>
    <t>The District Will Determine During The 2019-2020 Budget Development Process In The 2018-2019 School Year</t>
  </si>
  <si>
    <t>Dependent Upon The Number Of Retirees The District Receives In The 2018-219 School Year</t>
  </si>
  <si>
    <t>The District Has Budgeted To Use $579,353 From This Reserve During The 2018-2019 School Year</t>
  </si>
  <si>
    <t>The District Does Not Plan To Use Reserve During 2018-2019 School Year</t>
  </si>
  <si>
    <t>280517</t>
  </si>
  <si>
    <t>HICKSVILLE UFSD</t>
  </si>
  <si>
    <t>Proposition #2 On May Ballot For Technology And Security Projects</t>
  </si>
  <si>
    <t>Capital Reserve For Building</t>
  </si>
  <si>
    <t>$5,500,000 To Be Used For Capital Project Voted Upon For The November 2017 Bond Vote</t>
  </si>
  <si>
    <t>Employee Benefit And Accrued Liabilities</t>
  </si>
  <si>
    <t>$7,260 Anticipated Interest Accrued</t>
  </si>
  <si>
    <t>Retirement Contributions Reserve</t>
  </si>
  <si>
    <t>$5,500,000 Transferred To Capital Reserve For Building Approved At November Bond Referendum</t>
  </si>
  <si>
    <t>Transferred 721,030 To Fund Capital Reserve For Technology</t>
  </si>
  <si>
    <t>Transferred $1,000,000 To Fund The Capital Reserve For Technology</t>
  </si>
  <si>
    <t>280518</t>
  </si>
  <si>
    <t>Capital Res Iii</t>
  </si>
  <si>
    <t>To Pay The Cost Of Any Object For Which Bonds May Be Issued, Specifically For Safety And Security Related Capital Projects</t>
  </si>
  <si>
    <t>$,3998,200 To Pay For The Cost Of Any Object For Which Bonds May Be Issued.</t>
  </si>
  <si>
    <t>$250,000 For The Payment Of Accrued "Employee Benefits" Due Employees Upon Termination Of Services For Vacation, Sick Leave And Personal Leave.</t>
  </si>
  <si>
    <t>Retirement System</t>
  </si>
  <si>
    <t>$1,100,000 To Fund Employer Retirement Contributions To The New York State And Local Employees' Retirement System (Ers).</t>
  </si>
  <si>
    <t>$100,000 To Pay The Cost Of Reimbursement To The State Unemployment Insurance Fund For Payments Made To Claimants.</t>
  </si>
  <si>
    <t>Workers' Comp Ins</t>
  </si>
  <si>
    <t>$250,000 To Pay For Workers Compensation And Benefits, Related Medical/Hospital Expenses And Self-Insurance Administrative Costs.</t>
  </si>
  <si>
    <t>280521</t>
  </si>
  <si>
    <t>BETHPAGE UFSD</t>
  </si>
  <si>
    <t>Reserve For Liability Loss</t>
  </si>
  <si>
    <t>Reserve Is No Longer Needed.</t>
  </si>
  <si>
    <t>2018-2019 Ers Invoice</t>
  </si>
  <si>
    <t>Payment Of Unemployment Claims</t>
  </si>
  <si>
    <t>280522</t>
  </si>
  <si>
    <t>FARMINGDALE UFSD</t>
  </si>
  <si>
    <t>Not Planned For Use In 2018-2019.</t>
  </si>
  <si>
    <t>Reserve Fund For Payment Of Bonded Indebtedness</t>
  </si>
  <si>
    <t>Use Of $166,310 For Amortization Of Bond Premium.</t>
  </si>
  <si>
    <t>Approximate Use Of $100,000 For Payment Of Accrued Unused Sick Days For Retiring Employees.</t>
  </si>
  <si>
    <t>Insurance Reserve Fund</t>
  </si>
  <si>
    <t>Unemployment Insurance Payment Reserve Fund</t>
  </si>
  <si>
    <t>Use Of Reserve Dependent On Actual End-Of-Year Self-Insured Workers' Compensation Liability</t>
  </si>
  <si>
    <t>280523</t>
  </si>
  <si>
    <t>MASSAPEQUA UFSD</t>
  </si>
  <si>
    <t>Not Intended</t>
  </si>
  <si>
    <t>Employee Benefit Acc</t>
  </si>
  <si>
    <t>Retirement Contrib</t>
  </si>
  <si>
    <t>1,375,000</t>
  </si>
  <si>
    <t>1,475,000</t>
  </si>
  <si>
    <t>225,000</t>
  </si>
  <si>
    <t>400301</t>
  </si>
  <si>
    <t>LEWISTON-PORTER CSD</t>
  </si>
  <si>
    <t>To Pay Down Retire Benefit</t>
  </si>
  <si>
    <t>For Emergency Repair Only</t>
  </si>
  <si>
    <t>400400</t>
  </si>
  <si>
    <t>LOCKPORT CITY SD</t>
  </si>
  <si>
    <t>Capital Improvements 2018</t>
  </si>
  <si>
    <t>The Establishment Of This Fund Is Subject To Voter Approval On May 15,2018.</t>
  </si>
  <si>
    <t>Capital Improvements 2014</t>
  </si>
  <si>
    <t>Funds Held In This Reserve Will Not Be Used In The 2018-19 School Year.</t>
  </si>
  <si>
    <t>Funds Will Be Used To Offset Payments For Principal And Interest Payments On Bonds Issued For Prior Year Capital Improvement Projects. Anticipated Use In 2018-19 Is $755,369.</t>
  </si>
  <si>
    <t>Funds Will Be Used To Offset Payments Resulting From Contractual Obligations Resulting From Staff Retirements. Anticipated Use In 2018-19 Is $755,606.</t>
  </si>
  <si>
    <t>The District Does Not Have This Reserve Fund._x000D_
The District Does Not Have This Reserve Fund.</t>
  </si>
  <si>
    <t>Insurance Liability</t>
  </si>
  <si>
    <t>The Current Balance In This Reserve Is $0.</t>
  </si>
  <si>
    <t>The District Does Not Have This Reserve Fund.</t>
  </si>
  <si>
    <t>Funds Will Be Used To Offset Employer Retirement Contributions To The State And Local Employees' Retirement System. Anticipated Use In 2018-19 Is $897,037.</t>
  </si>
  <si>
    <t>Workers� Compensation</t>
  </si>
  <si>
    <t>Funds Will Be Used To Offset Workers' Compensation Expenses For The School Year. Anticipated Use In 2018-19 Is $269,646.</t>
  </si>
  <si>
    <t>400601</t>
  </si>
  <si>
    <t>NEWFANE CSD</t>
  </si>
  <si>
    <t>322,030</t>
  </si>
  <si>
    <t>Employee Benefit Accrd Liab</t>
  </si>
  <si>
    <t>1,192,457_x000D_
1192457</t>
  </si>
  <si>
    <t>Encumbrance</t>
  </si>
  <si>
    <t>0_x000D_
0</t>
  </si>
  <si>
    <t>400701</t>
  </si>
  <si>
    <t>NIAGARA-WHEATFIELD CSD</t>
  </si>
  <si>
    <t>2014 Capital Transportation</t>
  </si>
  <si>
    <t>Pay For Accrued Employee Benefit Expenses</t>
  </si>
  <si>
    <t>To pay for encumbrances approved in a prior fiscal year</t>
  </si>
  <si>
    <t>Use For Encumbrances</t>
  </si>
  <si>
    <t>Pay For Retirement Expenses</t>
  </si>
  <si>
    <t>Pay For Worker'S Comp Expenses</t>
  </si>
  <si>
    <t>400800</t>
  </si>
  <si>
    <t>NIAGARA FALLS CITY SD</t>
  </si>
  <si>
    <t>Bond Proceeds (Premiums) inherently restricted for debt service payments</t>
  </si>
  <si>
    <t>Retaining For Debt Payments In Subsequent Years</t>
  </si>
  <si>
    <t>Partial Use Of $350,000 For 18/19 District Ers Liability</t>
  </si>
  <si>
    <t>Retain Reserve For Settlement Of Workers' Compensation Claims As They Become Eligible</t>
  </si>
  <si>
    <t>400900</t>
  </si>
  <si>
    <t>NORTH TONAWANDA CITY SD</t>
  </si>
  <si>
    <t>Reserve For Debt-General</t>
  </si>
  <si>
    <t>Reserve For Liability And Casualty Insurance</t>
  </si>
  <si>
    <t>401001</t>
  </si>
  <si>
    <t>STARPOINT CSD</t>
  </si>
  <si>
    <t>The District Will Be Using These Funds To Offset 2018-19 Debt Service Payments.</t>
  </si>
  <si>
    <t>The District Will Use The Funds To Offset Accrued Employee Benefits.</t>
  </si>
  <si>
    <t>The District Will Use These Funds To Offset Incurred Liability Claims.</t>
  </si>
  <si>
    <t>The District Will Use The Funds To Offset Nysers Costs.</t>
  </si>
  <si>
    <t>401201</t>
  </si>
  <si>
    <t>ROYALTON-HARTLAND CSD</t>
  </si>
  <si>
    <t>For Accrued 'Employee Benefits' Due To Employees Upon Termination Of Service.</t>
  </si>
  <si>
    <t>401301</t>
  </si>
  <si>
    <t>BARKER CSD</t>
  </si>
  <si>
    <t>Capital Reserve May 2009</t>
  </si>
  <si>
    <t>Capital Reserve June 2011</t>
  </si>
  <si>
    <t>Reserve For Ebal</t>
  </si>
  <si>
    <t>To Pay For Accrued Vacation And Sick Time Of Retiring Superintendent</t>
  </si>
  <si>
    <t>Reserve Will Be Used Entirely Fye 6/30/2018</t>
  </si>
  <si>
    <t>401501</t>
  </si>
  <si>
    <t>WILSON CSD</t>
  </si>
  <si>
    <t>Using $2,620,000 For Capital Project Construction In 2018-2020</t>
  </si>
  <si>
    <t>Using $500,000 To Balance Budget.</t>
  </si>
  <si>
    <t>Plan On Using To Pay Out Sick And Vacation Benefits To Retirees And Replenish If I Can</t>
  </si>
  <si>
    <t>All Funds Used In 2017-18</t>
  </si>
  <si>
    <t>410401</t>
  </si>
  <si>
    <t>410601</t>
  </si>
  <si>
    <t>CAMDEN CSD</t>
  </si>
  <si>
    <t>100,000 Construction Debt</t>
  </si>
  <si>
    <t>500,000 Principal And Interest</t>
  </si>
  <si>
    <t>200,000 Vacation, Sick-Time Payout</t>
  </si>
  <si>
    <t>100,000 Ers Contribution</t>
  </si>
  <si>
    <t>5,000 Local Expense</t>
  </si>
  <si>
    <t>411101</t>
  </si>
  <si>
    <t>CLINTON CSD</t>
  </si>
  <si>
    <t>No Planned Use Of This Reserve For Sy 2018-19</t>
  </si>
  <si>
    <t>To Pay The Cost Of Unused Sick Leave, Personal Leave, Vacation Time And Any Other Forms Of Payment Earned By Employees.</t>
  </si>
  <si>
    <t>Use $100,000 To Pay Retirement Contributions Made To Ny State And Local Employees Retirement System.</t>
  </si>
  <si>
    <t>To Pay The Cost Of Reimbursement To The State Unemployment Insurance Fund For Payments Made To Claimants Where The School District Uses The Benefit Reimbursement Method.</t>
  </si>
  <si>
    <t>411501</t>
  </si>
  <si>
    <t>NEW HARTFORD CSD</t>
  </si>
  <si>
    <t>Employee Benefits And Accrual</t>
  </si>
  <si>
    <t>For Payment Of Accrued Employee Benefits Upon Retirement</t>
  </si>
  <si>
    <t>For Potential Liability, Casualty, And/Or Other Types Of Unanticipated Losses</t>
  </si>
  <si>
    <t>For Potential Liability Claims</t>
  </si>
  <si>
    <t>411504</t>
  </si>
  <si>
    <t>NY MILLS UFSD</t>
  </si>
  <si>
    <t>Construction And Vehicles</t>
  </si>
  <si>
    <t>Retirement Contricbution</t>
  </si>
  <si>
    <t>Settlements</t>
  </si>
  <si>
    <t>411603</t>
  </si>
  <si>
    <t>SAUQUOIT VALLEY CSD</t>
  </si>
  <si>
    <t>411701</t>
  </si>
  <si>
    <t>REMSEN CSD</t>
  </si>
  <si>
    <t>Remain Intact For Future Capital Project 2024</t>
  </si>
  <si>
    <t>Remain Intact For Future Benefit Payments</t>
  </si>
  <si>
    <t>Remain Intact For Future Capital Repairs</t>
  </si>
  <si>
    <t>Remain Intact For Future Retirement Payments</t>
  </si>
  <si>
    <t>411800</t>
  </si>
  <si>
    <t>ROME CITY SD</t>
  </si>
  <si>
    <t>Pay Outstanding Obligations</t>
  </si>
  <si>
    <t>Employee Accrued Benefit Exposure</t>
  </si>
  <si>
    <t>Tax Ceriorari</t>
  </si>
  <si>
    <t>Tax Certiorari Exposure</t>
  </si>
  <si>
    <t>411902</t>
  </si>
  <si>
    <t>None Intended In 18-19</t>
  </si>
  <si>
    <t>Intended To Offset Debt In 18-19</t>
  </si>
  <si>
    <t>Intended To Offset Expense In 18-19_x000D_
Intended To Offset Expense In 18-19</t>
  </si>
  <si>
    <t>Non Intended In 18-19</t>
  </si>
  <si>
    <t>Intended To Offset Expense In 18-19</t>
  </si>
  <si>
    <t>412000</t>
  </si>
  <si>
    <t>SHERRILL CITY SD</t>
  </si>
  <si>
    <t>For Accrued 'Employee Benefits' Due To Employees Upon Termination Of Service As Necessary</t>
  </si>
  <si>
    <t>Health Insurance Reserve</t>
  </si>
  <si>
    <t>For Claims Of Liability, Casualty And Other Types Of Insured Losses As Necessary</t>
  </si>
  <si>
    <t>Transfer Of $2,520,094, As Recommended By The New York State Comptroller, To Assigned Appropriated Fund Balance For Tax Levy Reduction</t>
  </si>
  <si>
    <t>For Reimbursement To The State Unemployment Insurance Fund As Necessary</t>
  </si>
  <si>
    <t>412300</t>
  </si>
  <si>
    <t>UTICA CITY SD</t>
  </si>
  <si>
    <t>Reserve for Debt</t>
  </si>
  <si>
    <t>Non Aided Bond &amp; Ban Principal &amp; Interest</t>
  </si>
  <si>
    <t>Work Comp</t>
  </si>
  <si>
    <t>Payment Of Incurred Workers Comp Claims</t>
  </si>
  <si>
    <t>412801</t>
  </si>
  <si>
    <t>WESTMORELAND CSD</t>
  </si>
  <si>
    <t>900,000</t>
  </si>
  <si>
    <t>120,000</t>
  </si>
  <si>
    <t>100,000</t>
  </si>
  <si>
    <t>288,000</t>
  </si>
  <si>
    <t>12,000</t>
  </si>
  <si>
    <t>412901</t>
  </si>
  <si>
    <t>ORISKANY CSD</t>
  </si>
  <si>
    <t>412902</t>
  </si>
  <si>
    <t>1500000 For Safety &amp; Security Improvements District-Wide</t>
  </si>
  <si>
    <t>420101</t>
  </si>
  <si>
    <t>WEST GENESEE CSD</t>
  </si>
  <si>
    <t>Replace Turf Field</t>
  </si>
  <si>
    <t>Referendum 2018-19</t>
  </si>
  <si>
    <t>Emp Ben Liability</t>
  </si>
  <si>
    <t>Pay Retiree Benefits As Needed</t>
  </si>
  <si>
    <t>Appropriate 225K To Offset Increase And Manage Tax Cap</t>
  </si>
  <si>
    <t>Pay Settlements As Approved</t>
  </si>
  <si>
    <t>Pay Ue Claims As Incurred</t>
  </si>
  <si>
    <t>420303</t>
  </si>
  <si>
    <t>NORTH SYRACUSE CSD</t>
  </si>
  <si>
    <t>To Cover Portion Of Local Share On Capital Proj</t>
  </si>
  <si>
    <t>General Liability</t>
  </si>
  <si>
    <t>To Cover Unexpected Liability Claims</t>
  </si>
  <si>
    <t>To Cover Tax Certiorari Payments In Excess Of Budget Approp</t>
  </si>
  <si>
    <t>To Cover Workers Comp Payments That Exceed Budget Approp</t>
  </si>
  <si>
    <t>420401</t>
  </si>
  <si>
    <t>EAST SYRACUSE MINOA CSD</t>
  </si>
  <si>
    <t>Not Intending To Use</t>
  </si>
  <si>
    <t>Capital Reserve 2010</t>
  </si>
  <si>
    <t>Will Use For Employee Benefits Upon Retirement</t>
  </si>
  <si>
    <t>Will Use For Retirement Contributions Of Ers Retirees</t>
  </si>
  <si>
    <t>Tax Cert.</t>
  </si>
  <si>
    <t>Will Pay For Any Tax Certiorari</t>
  </si>
  <si>
    <t>Will Use To Pay Any Unemployment Charges</t>
  </si>
  <si>
    <t>Intending To Use For Any Cases</t>
  </si>
  <si>
    <t>420501</t>
  </si>
  <si>
    <t>JORDAN-ELBRIDGE CSD</t>
  </si>
  <si>
    <t>Anticipated Use Sep '18 Vote For Security Capital Project</t>
  </si>
  <si>
    <t>Building Reserve-2015</t>
  </si>
  <si>
    <t>Bus Reserve-2017</t>
  </si>
  <si>
    <t>Use Toward Buses In May '19 Vote</t>
  </si>
  <si>
    <t>Not Anticipating Use In 18-19</t>
  </si>
  <si>
    <t>Will Be Used For High Deductible Claims</t>
  </si>
  <si>
    <t>Use 161,800 Toward 18-19 Budget</t>
  </si>
  <si>
    <t>Use $20,000 Toward 18-19 Budget</t>
  </si>
  <si>
    <t>420601</t>
  </si>
  <si>
    <t>FABIUS-POMPEY CSD</t>
  </si>
  <si>
    <t>Distrist Will Transfer Balance To Capital Fund For Upcoming Capital Project.</t>
  </si>
  <si>
    <t>The District Has Budget This Reserve As A Revenue In The 2018-19 Budget</t>
  </si>
  <si>
    <t>Not Anticipating Needing To Use Reserve During The 2018-19 School Year.</t>
  </si>
  <si>
    <t>The District Has Budgeted Using $5,000 Of This Reserve For The 2018-19 School Year.</t>
  </si>
  <si>
    <t>Not Anticipating Needing To Use Reserve During 2018-19 School Year</t>
  </si>
  <si>
    <t>420701</t>
  </si>
  <si>
    <t>WESTHILL CSD</t>
  </si>
  <si>
    <t>School Buildings</t>
  </si>
  <si>
    <t>Requires Voter Authorization To Establish, May 2018. Requires Voter Authorization To Use $950,000, Vote Date In 2018-19 Is Tbd.</t>
  </si>
  <si>
    <t>Turf Field</t>
  </si>
  <si>
    <t>420702</t>
  </si>
  <si>
    <t>SOLVAY UFSD</t>
  </si>
  <si>
    <t>Capital Reserve 2017 Project</t>
  </si>
  <si>
    <t>No Intended Use For 18.19</t>
  </si>
  <si>
    <t>Ers Retirement Contribution</t>
  </si>
  <si>
    <t>50,000</t>
  </si>
  <si>
    <t>420807</t>
  </si>
  <si>
    <t>LAFAYETTE CSD</t>
  </si>
  <si>
    <t>To Use For Debt Payment.</t>
  </si>
  <si>
    <t>To Cover Incurred Liability Claims</t>
  </si>
  <si>
    <t>To Cover Property Loss</t>
  </si>
  <si>
    <t>For The Cost Of Repairs To Capital Improvements Or Equipment.</t>
  </si>
  <si>
    <t>For Employer Retirement Contributions To Ers</t>
  </si>
  <si>
    <t>To Use For Unemployment/Personnel Expenditures As Required By State Comptroller Audit.</t>
  </si>
  <si>
    <t>420901</t>
  </si>
  <si>
    <t>BALDWINSVILLE CSD</t>
  </si>
  <si>
    <t>NA</t>
  </si>
  <si>
    <t>1,642,222</t>
  </si>
  <si>
    <t>160,000</t>
  </si>
  <si>
    <t>421001</t>
  </si>
  <si>
    <t>FAYETTEVILLE-MANLIUS CSD</t>
  </si>
  <si>
    <t>Reserved For Capital 2017</t>
  </si>
  <si>
    <t>There Is No Intended Use Of The Reserve In 2018-19</t>
  </si>
  <si>
    <t>Reserved For Capital 2013</t>
  </si>
  <si>
    <t>Approved By Voters To Be Used For December 2017 Referendum</t>
  </si>
  <si>
    <t>To Be Used For Employee Benefits Due To Employees Upon Termination Of Service</t>
  </si>
  <si>
    <t>To Be Used For Ers Retirement Contributions</t>
  </si>
  <si>
    <t>To Be Used For Any Settled Tax Certiorari Payments</t>
  </si>
  <si>
    <t>To Be Used For Unemployment Insurance Payments</t>
  </si>
  <si>
    <t>To Be Used For Workers Compensation Payments</t>
  </si>
  <si>
    <t>421101</t>
  </si>
  <si>
    <t>MARCELLUS CSD</t>
  </si>
  <si>
    <t>We Intend To Use The Ebal Reserve To Fund Payment Of Unused Sick/Personal/Vacation Time Of Retirees In The 18-19 School Year.</t>
  </si>
  <si>
    <t>We Do Not Intend To Use Funds From The Retirement Contribution Reserve During The 18-19 School Year.</t>
  </si>
  <si>
    <t>We Intend To Use The Unemployment Insurance Reserve To Fund Unemployment Claims Incurred During The 18-19 School Year.</t>
  </si>
  <si>
    <t>421201</t>
  </si>
  <si>
    <t>ONONDAGA CSD</t>
  </si>
  <si>
    <t>None.  Possibly Vote In 2020 For Usage.</t>
  </si>
  <si>
    <t>Proceeds Used To Offset Debt In 17-18 Budget.</t>
  </si>
  <si>
    <t>Potential Retiree Sick Day Payouts</t>
  </si>
  <si>
    <t>Transportation Bus Purchasee</t>
  </si>
  <si>
    <t>A reserve to purchase school buses</t>
  </si>
  <si>
    <t>Asking Voters To Approve A Bus Purchase Reserve In 18-19 Vote</t>
  </si>
  <si>
    <t>Have Not Funded To Date. Board Approved Creating.</t>
  </si>
  <si>
    <t>Used To Offset Expense And Revenue Shortfall</t>
  </si>
  <si>
    <t>Tax Certiotori</t>
  </si>
  <si>
    <t>Payment To A Reserve That Was Closed For 4 Years Of Taxes.   New Claim That Has The Potential To Be $100,000 Over The 4 Year Payout Projection.</t>
  </si>
  <si>
    <t>Last Installment From Land Sale In 2010.</t>
  </si>
  <si>
    <t>Partial Payment For 1 Claim</t>
  </si>
  <si>
    <t>421501</t>
  </si>
  <si>
    <t>LIVERPOOL CSD</t>
  </si>
  <si>
    <t>The Use Of This Reserve Must Be Specific To A Set Of Projects And Dollar Amounts.  No Use Planned For 2018-2019.</t>
  </si>
  <si>
    <t>There Is No Mandatory Reserve For Debt Service Established Therefore No Use Planned In 2018-2019.</t>
  </si>
  <si>
    <t>This Reserve Is Used If Payment Of Accumulated Leave Is Required. No Use Planned For 2018-2019.</t>
  </si>
  <si>
    <t>There Is No Reserve For Insurance Recoveries Established Therefore No Use Planned In 2018-2019.</t>
  </si>
  <si>
    <t>There Is No Insurance Reserve Established Therefore No Use Planned In 2018-2019.</t>
  </si>
  <si>
    <t>The Use Of This Reserve Is For Existing Liabilities Of The District.  In 2018-2019 $1,893,188 Will Be Used To Pay Down Liabilities</t>
  </si>
  <si>
    <t>There Is No Property Loss Reserve Established Therefore No Use Planned In 2018-2019.</t>
  </si>
  <si>
    <t>There Is No Repair Reserve Established Therefore No Use Planned In 2018-2019.</t>
  </si>
  <si>
    <t>This Reserve Is Used To Offset District Expenses To The Nys Ers System Only.  No Use Planned For 2018-2019.</t>
  </si>
  <si>
    <t>This Reserve Would Be Used To Pay Prior Years Tax Certiorari Claims.  No Use Planned For 2018-19.</t>
  </si>
  <si>
    <t>There Is No Reserve For Tax Reduction Established Therefore No Use Planned In 2018-2019.</t>
  </si>
  <si>
    <t>There Is No Reserve For Uncollected Taxes Established Therefore No Use Planned In 2018-2019.</t>
  </si>
  <si>
    <t>This Reserve Would Be Used For Unemployment Claims Incurred By The District. No Use Planned For 2018-19.</t>
  </si>
  <si>
    <t>Workers'  Compensation</t>
  </si>
  <si>
    <t>This Reserve Is Used To Draw Down On Paid Claims That Resulted From The Time Period When The District Was Self-Insured, 2005 And Before.  No Use Planned For 2018-2019</t>
  </si>
  <si>
    <t>421504</t>
  </si>
  <si>
    <t>LYNCOURT UFSD</t>
  </si>
  <si>
    <t>Capital Rsv 3M 10Yr Est2 2015</t>
  </si>
  <si>
    <t>Ebalr Reserve Est 9 2006</t>
  </si>
  <si>
    <t>No Anticipated Need At This Time.</t>
  </si>
  <si>
    <t>Rsv For Repairs Est 2 2015</t>
  </si>
  <si>
    <t>No0</t>
  </si>
  <si>
    <t>Workers' Compensation Rsv</t>
  </si>
  <si>
    <t>40,000 Appropriated For Expense.</t>
  </si>
  <si>
    <t>421601</t>
  </si>
  <si>
    <t>SKANEATELES CSD</t>
  </si>
  <si>
    <t>Turf And Track</t>
  </si>
  <si>
    <t>2018</t>
  </si>
  <si>
    <t>No Intended Use Pending Board Approval</t>
  </si>
  <si>
    <t>2017</t>
  </si>
  <si>
    <t>Winkelman Field</t>
  </si>
  <si>
    <t>421902</t>
  </si>
  <si>
    <t>TULLY CSD</t>
  </si>
  <si>
    <t>Not Anticipating Using This Reserve In 2018-19.</t>
  </si>
  <si>
    <t>To Offset Anticipated Contractual Obligations.</t>
  </si>
  <si>
    <t>Not Aware Of Any Future Liabilities That Would Impact The Reserve.</t>
  </si>
  <si>
    <t>430300</t>
  </si>
  <si>
    <t>CANANDAIGUA CITY SD</t>
  </si>
  <si>
    <t>2017 Capital Equipment Reserve</t>
  </si>
  <si>
    <t>None. The Reserve Will Be Used For Replacing Technology That Was Purchased Through The Smartbond.</t>
  </si>
  <si>
    <t>$240,000 Toward Bus Purchases. Proposition To Be Voted On At Budget Vote.</t>
  </si>
  <si>
    <t>None. The Reserve Will Be Used For Funding Future Capital Projects.</t>
  </si>
  <si>
    <t>2009 Capital Reserve</t>
  </si>
  <si>
    <t>Transportation Vehicle Reserve</t>
  </si>
  <si>
    <t>None. The Reserve Will Be Used For Replacing Transportation Vehicles In The Future.</t>
  </si>
  <si>
    <t>$200,000 For Accrued 'Employee Benefits' Due To Employees Upon Termination Of Service.</t>
  </si>
  <si>
    <t>The Reserve Is Not Anticipated To Be Used Next Year.</t>
  </si>
  <si>
    <t>$800,000 For Employer Retirement Contributions To The State And Local Employees' Retirement System</t>
  </si>
  <si>
    <t>$100,000 To Pay For Tax Certiorari Settlements</t>
  </si>
  <si>
    <t>$20,000 To Pay For Reimbursement To The State Unemployment Insurance Fund.</t>
  </si>
  <si>
    <t>$410,000 For Self-Insured Workers Compensation And Benefits.</t>
  </si>
  <si>
    <t>430501</t>
  </si>
  <si>
    <t>EAST BLOOMFIELD CSD</t>
  </si>
  <si>
    <t>Capital Reserve For Buses</t>
  </si>
  <si>
    <t>Funds Will Be Used To Purchase Student Transportation Vehicles As Approved By The Voters.</t>
  </si>
  <si>
    <t>There Is Not Intended Use. These Funds Will Help Offset Any Local Share Of Future Capital Projects As Approved By The Voters.</t>
  </si>
  <si>
    <t>Retirement Contribution Resrv</t>
  </si>
  <si>
    <t>This Reserve Will Be Used To Partially Offset The District'S Ers Payment In 2018-19.</t>
  </si>
  <si>
    <t>This Reserve Will Be Used For Payment Of Any Tax Certiorari Settlements As Appropriated By The Board Of Education.</t>
  </si>
  <si>
    <t>This Reserve Will Be Used As Needed To Pay Unemployment Claims As Appropriated By The Board Of Education.</t>
  </si>
  <si>
    <t>430700</t>
  </si>
  <si>
    <t>1100000</t>
  </si>
  <si>
    <t>Self Insurance</t>
  </si>
  <si>
    <t>30000</t>
  </si>
  <si>
    <t>70000</t>
  </si>
  <si>
    <t>400000</t>
  </si>
  <si>
    <t>Tax Certirorari</t>
  </si>
  <si>
    <t>20000</t>
  </si>
  <si>
    <t>430901</t>
  </si>
  <si>
    <t>GORHAM-MIDDLESEX CSD (MARCUS WHITMAN</t>
  </si>
  <si>
    <t>Capital  Bus Replacement</t>
  </si>
  <si>
    <t>Intend To Apply $200,000 Toward A Bus 2018-19 Bus Purchases Upon Voter Approval May 15, 2018.</t>
  </si>
  <si>
    <t>No  Intention To Use In 2018-19.</t>
  </si>
  <si>
    <t>Intend To Apply $60,000 Toward District'S Annual Debt Payments.</t>
  </si>
  <si>
    <t>Emp. Benefts/Accrued Liability Reserve</t>
  </si>
  <si>
    <t>No Intention To Use In 2018-19</t>
  </si>
  <si>
    <t>Intend To Apply $400,000 Toward Employees Retirement Contribution Cost.</t>
  </si>
  <si>
    <t>Unemployment Rerseve</t>
  </si>
  <si>
    <t>No Intention To Use In 2018-19.</t>
  </si>
  <si>
    <t>Intend To Use $140,000 Toward District'S Annual Workers Compensation.</t>
  </si>
  <si>
    <t>431101</t>
  </si>
  <si>
    <t>MANCHESTER-SHORTSVILLE CSD (RED JACK</t>
  </si>
  <si>
    <t>Fully Funded, New Reserve Being Proposed</t>
  </si>
  <si>
    <t>100,000 Capital Outlay Project</t>
  </si>
  <si>
    <t>Reserve For Borrowed Debt</t>
  </si>
  <si>
    <t>75,000  Appropriated In 2018-2019 Budget</t>
  </si>
  <si>
    <t>20,000 Appropriated In 2018-2019 Budget</t>
  </si>
  <si>
    <t>Pay Any Out-Of-Pocket Costs Associated With Insurance Claims</t>
  </si>
  <si>
    <t>Meet Any Potential Liability That May Arise</t>
  </si>
  <si>
    <t>Pay Any Out-Of-Pocket Costs Associated With Major Repairs</t>
  </si>
  <si>
    <t>55,000 Appropriated In 2018-2019 Budget</t>
  </si>
  <si>
    <t>50,000 Appropriated In 2018-2019 Budget</t>
  </si>
  <si>
    <t>431201</t>
  </si>
  <si>
    <t>NAPLES CSD</t>
  </si>
  <si>
    <t>Capital Bus</t>
  </si>
  <si>
    <t>This Reserve Will Be Used To Offset The Cost Of Busing Vehicles</t>
  </si>
  <si>
    <t>Trans Bldg</t>
  </si>
  <si>
    <t>Capital Bldg</t>
  </si>
  <si>
    <t>Capital Bldg - Other</t>
  </si>
  <si>
    <t>To Offset Debt Service Costs</t>
  </si>
  <si>
    <t>Eblar Resesrve</t>
  </si>
  <si>
    <t>Property</t>
  </si>
  <si>
    <t>To Offset Ers Costs</t>
  </si>
  <si>
    <t>Unknown, Dependent On Claims</t>
  </si>
  <si>
    <t>431301</t>
  </si>
  <si>
    <t>PHELPS-CLIFTON SPRINGS CSD</t>
  </si>
  <si>
    <t>2010 Bus Purchase Reserve</t>
  </si>
  <si>
    <t>Bus Purchases $335,000</t>
  </si>
  <si>
    <t>$150,000  To Offset Actual Expense</t>
  </si>
  <si>
    <t>431401</t>
  </si>
  <si>
    <t>HONEOYE CSD</t>
  </si>
  <si>
    <t>Transfer Back To General Fund</t>
  </si>
  <si>
    <t>Employee Retirement Expenditure</t>
  </si>
  <si>
    <t>Unemployment For School Yr</t>
  </si>
  <si>
    <t>Workers Comp Res</t>
  </si>
  <si>
    <t>Workers Comp Premium School Yr</t>
  </si>
  <si>
    <t>431701</t>
  </si>
  <si>
    <t>VICTOR CSD</t>
  </si>
  <si>
    <t>Capital Project Will Be Under Way, Yet To Be Evaluated</t>
  </si>
  <si>
    <t>To Use $190,000 As Appropriated Revenue</t>
  </si>
  <si>
    <t>Employee Benefits (Ebalr)</t>
  </si>
  <si>
    <t>To Use $150,000 As Appropriated Revenue</t>
  </si>
  <si>
    <t>To Use $49,681 As Appropriated Revenue</t>
  </si>
  <si>
    <t>At This Time, We Are Not Intending To Utilize</t>
  </si>
  <si>
    <t>To Use $40,000 As Appropriated Revenue_x000D_
To Use $40,000 As Appropriated Revenue</t>
  </si>
  <si>
    <t>To Use $50,000 As Appropriated Revenue</t>
  </si>
  <si>
    <t>440102</t>
  </si>
  <si>
    <t>WASHINGTONVILLE CSD</t>
  </si>
  <si>
    <t>Contractual Retirement Payments For Accrued Time</t>
  </si>
  <si>
    <t>Reserve For Liabilities</t>
  </si>
  <si>
    <t>Pay For Closed Tax Certioraris</t>
  </si>
  <si>
    <t>Reserve For Workman'S Comp</t>
  </si>
  <si>
    <t>440201</t>
  </si>
  <si>
    <t>CHESTER UFSD</t>
  </si>
  <si>
    <t>8257</t>
  </si>
  <si>
    <t>Offset Future Capital Costs</t>
  </si>
  <si>
    <t>326978</t>
  </si>
  <si>
    <t>Future Retiree Health Premiums</t>
  </si>
  <si>
    <t>257757</t>
  </si>
  <si>
    <t>Offset Losses</t>
  </si>
  <si>
    <t>186400</t>
  </si>
  <si>
    <t>Furture Ers Liability</t>
  </si>
  <si>
    <t>1434883</t>
  </si>
  <si>
    <t>To Pay Tax Cert Claims</t>
  </si>
  <si>
    <t>46961</t>
  </si>
  <si>
    <t>Offset Unemployment Claims</t>
  </si>
  <si>
    <t>440301</t>
  </si>
  <si>
    <t>CORNWALL CSD</t>
  </si>
  <si>
    <t>No Outlays Yet, Anticipate Putting Funds Into The Reserve At The End Of 2018-19.</t>
  </si>
  <si>
    <t>Anticipate Using Approximately $100K In 18-19 For Payout Of Accumulated Vacation And Sick Time, As Well As Adding Some Addition Reserves For 19-20 Obligations.</t>
  </si>
  <si>
    <t>Anticipate Appropriating And Using $100K In 18-19.</t>
  </si>
  <si>
    <t>Anticipate Using At Least $125K In 18-19 And Setting Up Additional Provisions For 18-19 Tax Certs.</t>
  </si>
  <si>
    <t>Anticipate Using A Portion In 18-19 For Increases In Unemployment Insurance Costs, While Also Increasing Slightly For Anticipated Claims In 19-20.</t>
  </si>
  <si>
    <t>440401</t>
  </si>
  <si>
    <t>PINE BUSH CSD</t>
  </si>
  <si>
    <t>To Pay Assessment Settlements</t>
  </si>
  <si>
    <t>To Pay Claims</t>
  </si>
  <si>
    <t>440601</t>
  </si>
  <si>
    <t>GOSHEN CSD</t>
  </si>
  <si>
    <t>If Approved It Will Pay Add Money To Voter Approved Capital Project Due To Higher Than Anticipated Projection And/Or Reduce The Amount Of Borrowing For Project</t>
  </si>
  <si>
    <t>To Pay 18-19 Debt Service &amp; Reduce Cost To Tax Payers</t>
  </si>
  <si>
    <t>Tax Cerioraris That Need To Be Paid During School Year</t>
  </si>
  <si>
    <t>440901</t>
  </si>
  <si>
    <t>HIGHLAND FALLS CSD</t>
  </si>
  <si>
    <t>To Carry Forward Into 2019/20</t>
  </si>
  <si>
    <t>Reserve Fpr Employee Benefits</t>
  </si>
  <si>
    <t>441000</t>
  </si>
  <si>
    <t>MIDDLETOWN CITY SD</t>
  </si>
  <si>
    <t>Using Reserve For Future Enrollment Growth, High School Cafeteria, New Elementary School, Upgrades</t>
  </si>
  <si>
    <t>Used To Pay Of Annual Debt From Capital Projects</t>
  </si>
  <si>
    <t>Eblar  Reserve</t>
  </si>
  <si>
    <t>Used Only If Retirements Or Seperation From Employment Requires Compensation.</t>
  </si>
  <si>
    <t>Reserve Used For Liability Against District</t>
  </si>
  <si>
    <t>Healt Plan Reserve</t>
  </si>
  <si>
    <t>Used to insure self funded health plan</t>
  </si>
  <si>
    <t>Used To Insure Self Funded Health Plan</t>
  </si>
  <si>
    <t>Reserve Used Only If Propery Loss Occurs And Insurance Dosn'T Cover Loss</t>
  </si>
  <si>
    <t>Using Funds To Offset The Annual Premium Owed By The Distrcit.</t>
  </si>
  <si>
    <t>Used Only If Tax Certiorari Are Granted By Municpalities.Cover Six Years Of Tax Claims.</t>
  </si>
  <si>
    <t>Used To Pay Unemployment Premiums</t>
  </si>
  <si>
    <t>Pay Workers Comp Bill Or Claims</t>
  </si>
  <si>
    <t>441101</t>
  </si>
  <si>
    <t>MINISINK VALLEY CSD</t>
  </si>
  <si>
    <t>None-Funds To Be Used 2019-2022</t>
  </si>
  <si>
    <t>Used To Pay Contract Benefits At Retirement</t>
  </si>
  <si>
    <t>Used To Pay Claims Not Covered By Insurance</t>
  </si>
  <si>
    <t>Health Ins</t>
  </si>
  <si>
    <t>FOR SELF-FUNDED HEALTH CLAIMS AND BENEFITS</t>
  </si>
  <si>
    <t>Used To Pay Claims And Reflect Up To One Year'S Obligation</t>
  </si>
  <si>
    <t>Adjusted To Reflect One Year'S Obligation</t>
  </si>
  <si>
    <t>Used To Pay Settlements And Lower Tax Levy</t>
  </si>
  <si>
    <t>Used To Pay Claims And Lower The Tax Levy</t>
  </si>
  <si>
    <t>441201</t>
  </si>
  <si>
    <t>MONROE-WOODBURY CSD</t>
  </si>
  <si>
    <t>From Unemployment Reserve</t>
  </si>
  <si>
    <t>Appropriated In The 18-19 Year</t>
  </si>
  <si>
    <t>Appropriated In The 18-19 Budget</t>
  </si>
  <si>
    <t>Tax Cert Reserve</t>
  </si>
  <si>
    <t>Large Tax Cert Settled</t>
  </si>
  <si>
    <t>Moved To Capital Reserve And Appropriated In 18-19</t>
  </si>
  <si>
    <t>Wc Reserve</t>
  </si>
  <si>
    <t>No Change</t>
  </si>
  <si>
    <t>441202</t>
  </si>
  <si>
    <t>KIRYAS JOEL VILLAGE UFSD</t>
  </si>
  <si>
    <t>Appropriate $92,094 For The 2018-19 School Year In Order To Reduce Tax Levy Increase.</t>
  </si>
  <si>
    <t>Appropriate $502,906 For The 2018-19 School Year In Order To Reduce Tax Levy Increase.</t>
  </si>
  <si>
    <t>441301</t>
  </si>
  <si>
    <t>VALLEY CSD (MONTGOMERY)</t>
  </si>
  <si>
    <t>$350,000 For 18-19 Retirees</t>
  </si>
  <si>
    <t>Appropriate $169,515 To 18-19</t>
  </si>
  <si>
    <t>Appropriate $800,000 For 18-19</t>
  </si>
  <si>
    <t>Appropriated 2018-2019</t>
  </si>
  <si>
    <t>441600</t>
  </si>
  <si>
    <t>NEWBURGH CITY SD</t>
  </si>
  <si>
    <t>Capital Construction -Anticipated Bond Resolution</t>
  </si>
  <si>
    <t>Employee Benefit Al</t>
  </si>
  <si>
    <t>Tax Ceritorari</t>
  </si>
  <si>
    <t>Settle Workers' Comp Claims</t>
  </si>
  <si>
    <t>441800</t>
  </si>
  <si>
    <t>PORT JERVIS CITY SD</t>
  </si>
  <si>
    <t>Address Future Capital Repair.</t>
  </si>
  <si>
    <t>For Accrued Employee Benefits Due Upon Termination Of Service.</t>
  </si>
  <si>
    <t>Capital 2015-2025</t>
  </si>
  <si>
    <t>For the cost of any object or purpose for which bonds may be issued</t>
  </si>
  <si>
    <t>Address Aging Middle School</t>
  </si>
  <si>
    <t>Taxpayer Approved For Funding Up To $250,000.</t>
  </si>
  <si>
    <t>Tax Court Settlements</t>
  </si>
  <si>
    <t>Self Insured Actuarial Requirement.</t>
  </si>
  <si>
    <t>441903</t>
  </si>
  <si>
    <t>TUXEDO UFSD</t>
  </si>
  <si>
    <t>Buildings &amp; Facilities Improvement Reserve Fund</t>
  </si>
  <si>
    <t>442101</t>
  </si>
  <si>
    <t>WARWICK VALLEY CSD</t>
  </si>
  <si>
    <t>Current Capital Projects</t>
  </si>
  <si>
    <t>Use $25,000 In 2018-19</t>
  </si>
  <si>
    <t>Capital Bus Reserve</t>
  </si>
  <si>
    <t>Purchase of buses</t>
  </si>
  <si>
    <t>Use For Purchase Of Buses Approved B Voters</t>
  </si>
  <si>
    <t>For Future Unanticipated One Time Repairs In District</t>
  </si>
  <si>
    <t>Use $300,000 In 2018-19</t>
  </si>
  <si>
    <t>Payment Of Tax Assessment Reductions</t>
  </si>
  <si>
    <t>Payment Of Unemployment Claims As Needed</t>
  </si>
  <si>
    <t>Use $25000 In 2018-19</t>
  </si>
  <si>
    <t>442111</t>
  </si>
  <si>
    <t>GREENWOOD LAKE UFSD</t>
  </si>
  <si>
    <t>Reserve For Employee Accrued B</t>
  </si>
  <si>
    <t>Cover Cost Due To Terminated Employees</t>
  </si>
  <si>
    <t>Cover Uninsured Losses</t>
  </si>
  <si>
    <t>Cover Cost Of Repairs To Capital Improvements</t>
  </si>
  <si>
    <t>Reserve For Employee Retiremen</t>
  </si>
  <si>
    <t>Contributions To Nys Ers</t>
  </si>
  <si>
    <t>Reserve For Tax Certs</t>
  </si>
  <si>
    <t>Cover Tax Cert Settlements</t>
  </si>
  <si>
    <t>Reimbursement To State Unemployment Ins. Fund</t>
  </si>
  <si>
    <t>442115</t>
  </si>
  <si>
    <t>FLORIDA UFSD</t>
  </si>
  <si>
    <t>New Potential Project</t>
  </si>
  <si>
    <t>4000  For Potential Claims</t>
  </si>
  <si>
    <t>450101</t>
  </si>
  <si>
    <t>ALBION CSD</t>
  </si>
  <si>
    <t>Bus Reserve Fund</t>
  </si>
  <si>
    <t>Purchase Of Replacement School Buses</t>
  </si>
  <si>
    <t>Payment Of Nyslers Liability</t>
  </si>
  <si>
    <t>Payment Of Costs Related To Currently Pending Tax Certiorari Claims</t>
  </si>
  <si>
    <t>Payment Of Unemployment Insurance Claims</t>
  </si>
  <si>
    <t>450607</t>
  </si>
  <si>
    <t>KENDALL CSD</t>
  </si>
  <si>
    <t>Capital Project Vote On May 15, 2018</t>
  </si>
  <si>
    <t>No Plans To Use</t>
  </si>
  <si>
    <t>Reitrement Reserve</t>
  </si>
  <si>
    <t>450704</t>
  </si>
  <si>
    <t>HOLLEY CSD</t>
  </si>
  <si>
    <t>Reserve For Employee Benefit</t>
  </si>
  <si>
    <t>450801</t>
  </si>
  <si>
    <t>MEDINA CSD</t>
  </si>
  <si>
    <t>Reserve For Liability And Loss</t>
  </si>
  <si>
    <t>$56,028 To Balance Budget</t>
  </si>
  <si>
    <t>$600,000 Debt Service Payment</t>
  </si>
  <si>
    <t>$1,093,350 Debt Service Payment</t>
  </si>
  <si>
    <t>451001</t>
  </si>
  <si>
    <t>LYNDONVILLE CSD</t>
  </si>
  <si>
    <t>Working</t>
  </si>
  <si>
    <t>460102</t>
  </si>
  <si>
    <t>ALTMAR-PARISH-WILLIAMSTOWN CSD</t>
  </si>
  <si>
    <t>#1</t>
  </si>
  <si>
    <t>Cap</t>
  </si>
  <si>
    <t>#3</t>
  </si>
  <si>
    <t>Security Improvements. To Be Authorized By Voter</t>
  </si>
  <si>
    <t>Eblr</t>
  </si>
  <si>
    <t>Insur</t>
  </si>
  <si>
    <t>Retire</t>
  </si>
  <si>
    <t>Tc</t>
  </si>
  <si>
    <t>Ui</t>
  </si>
  <si>
    <t>460500</t>
  </si>
  <si>
    <t>Employee</t>
  </si>
  <si>
    <t>Planned Use Of $200,000 In 2018-19</t>
  </si>
  <si>
    <t>No Planned Use In 2018-19 But Potential Tax Proceedings Will Continue To Be Reviewed.</t>
  </si>
  <si>
    <t>460701</t>
  </si>
  <si>
    <t>HANNIBAL CSD</t>
  </si>
  <si>
    <t>Transportation Capital Reserve</t>
  </si>
  <si>
    <t>Capital Reserve Voted On 2018</t>
  </si>
  <si>
    <t>0   To Be Voted On May 2018</t>
  </si>
  <si>
    <t>256000</t>
  </si>
  <si>
    <t>5,000</t>
  </si>
  <si>
    <t>40,000</t>
  </si>
  <si>
    <t>460801</t>
  </si>
  <si>
    <t>CENTRAL SQUARE CSD</t>
  </si>
  <si>
    <t>Possible Retirement Payouts</t>
  </si>
  <si>
    <t>Unexpected Claims</t>
  </si>
  <si>
    <t>Unexpected Cost Increases</t>
  </si>
  <si>
    <t>460901</t>
  </si>
  <si>
    <t>MEXICO CSD</t>
  </si>
  <si>
    <t>Tax Stabilization</t>
  </si>
  <si>
    <t>For potential plant closure</t>
  </si>
  <si>
    <t>461300</t>
  </si>
  <si>
    <t>461801</t>
  </si>
  <si>
    <t>PULASKI CSD</t>
  </si>
  <si>
    <t>As Of This Date And Pending Voter Approval, It Is Our Plan To Use $100,000 Of The Reserve Balance During The 2018-19 School Year.</t>
  </si>
  <si>
    <t>As Of This Date, We Do Not Anticipate Use Of This Reserve Balance During The 2018-19 School Year.</t>
  </si>
  <si>
    <t>Nysers Retirement Reserve</t>
  </si>
  <si>
    <t>As Of This Date, It Is Our Plan To Use $349,000 Of The Reserve Balance During The 2018-19 School Year.</t>
  </si>
  <si>
    <t>As Of This Date, It Is Our Plan To Use $80,000 Of The Reserve Balance During The 2018-19 School Year.</t>
  </si>
  <si>
    <t>461901</t>
  </si>
  <si>
    <t>SANDY CREEK CSD</t>
  </si>
  <si>
    <t>For Capital Project Voted On 3/6/18</t>
  </si>
  <si>
    <t>Capital Reserve For Transportation</t>
  </si>
  <si>
    <t>Buses Will Be Voted On 5/15/18 $287K</t>
  </si>
  <si>
    <t>Debt Associated With Reserve Will Be Paid Off 18-19</t>
  </si>
  <si>
    <t>Use As People Retire</t>
  </si>
  <si>
    <t>Emloyee'S Retirement Reserve</t>
  </si>
  <si>
    <t>Was Current With Billing</t>
  </si>
  <si>
    <t>No Tax Certorari Cases At This Time</t>
  </si>
  <si>
    <t>Self Insured For Unemployment</t>
  </si>
  <si>
    <t>For Workers Comp Claims - 3 Month Lag</t>
  </si>
  <si>
    <t>462001</t>
  </si>
  <si>
    <t>PHOENIX CSD</t>
  </si>
  <si>
    <t>District Will Use A Portion Of These Funds To Purchase Voter Approved Property</t>
  </si>
  <si>
    <t>The District Will Use This Reserve To Service Debt In 2018-19</t>
  </si>
  <si>
    <t>The District Will Use These Funds To Pay Termination Accrued Liabilities For Employees Should The Need Arise.</t>
  </si>
  <si>
    <t>Capital reserve for bus purchases</t>
  </si>
  <si>
    <t>The District Will Use This Reserve For An Emergency Bus Replacement With Voter Approval Should The Need Occur.</t>
  </si>
  <si>
    <t>The District Will Utilize These Funds Should A Large Claim Arise In The 2018-19 Fiscal Year.</t>
  </si>
  <si>
    <t>The District Will Use These Funds To Pay Ers Liability Costs Should The Need Arise.</t>
  </si>
  <si>
    <t>The District Will Return Funds To The A Fund By June 30,2018</t>
  </si>
  <si>
    <t>The District Will Use These Funds For Unemployment Claims Should The Need Arise</t>
  </si>
  <si>
    <t>470202</t>
  </si>
  <si>
    <t>GILBERTSVILLE-MOUNT UPTON CSD</t>
  </si>
  <si>
    <t>Capital Reserve Construction</t>
  </si>
  <si>
    <t>Intend To Purchase Two Buses By Voter Approval In February Of 2019</t>
  </si>
  <si>
    <t>Emp Bene Accr Liability-Ebalr</t>
  </si>
  <si>
    <t>To Cover Future Liability Claims</t>
  </si>
  <si>
    <t>Employee Retirement - Ers</t>
  </si>
  <si>
    <t>Appropriate $60,000 For 18-19 To Cover Employer'S Portion Of Retirement</t>
  </si>
  <si>
    <t>Appropriate $40,000 For 18-19 To Cover Anticipated Unemployment Costs Due To Staff Cuts</t>
  </si>
  <si>
    <t>470501</t>
  </si>
  <si>
    <t>EDMESTON CSD</t>
  </si>
  <si>
    <t>$12,200 Budgeted To Be Used</t>
  </si>
  <si>
    <t>Employee Retirement Contributions</t>
  </si>
  <si>
    <t>$118,000 Budgeted To Be Used</t>
  </si>
  <si>
    <t>Maintain Reserve Balance</t>
  </si>
  <si>
    <t>470801</t>
  </si>
  <si>
    <t>LAURENS CSD</t>
  </si>
  <si>
    <t>Bldg Bus Reserve</t>
  </si>
  <si>
    <t>To Pay For Bus Purchase.  Possible Transfer To Capital Fund For The Local Share Of Voter Approved Capital _x000D_
Project</t>
  </si>
  <si>
    <t>Will Pay For Retiree Compensation Absences Or Professional Services Rendered For Such Employee Benefits.</t>
  </si>
  <si>
    <t>To Pay Ers Retirement Expense, Plus Fund Any Possible State Retirement Incentive, And/Or Rate Increases.</t>
  </si>
  <si>
    <t>To Pay Unemployment Costs And To Fund Unempolyment For Possible Staff Reduction</t>
  </si>
  <si>
    <t>To Pay Ongoing Claim'S And Worker'S Compensation And Consortium Deficit, If Assessed</t>
  </si>
  <si>
    <t>470901</t>
  </si>
  <si>
    <t>SCHENEVUS CSD</t>
  </si>
  <si>
    <t>Reserve For Employee Accrued Liability</t>
  </si>
  <si>
    <t>To Pay Qualifying Incentives</t>
  </si>
  <si>
    <t>To Pay The Annual Invoice</t>
  </si>
  <si>
    <t>To Pay Annual Workers' Compensation Invoice</t>
  </si>
  <si>
    <t>471101</t>
  </si>
  <si>
    <t>MILFORD CSD</t>
  </si>
  <si>
    <t>District Going Out For Capital Project - $500,000</t>
  </si>
  <si>
    <t>Emp Ben Accr Liab Res</t>
  </si>
  <si>
    <t>Payment For Accrued Sick Time For Retirees</t>
  </si>
  <si>
    <t>No Planned Use At The Current Time</t>
  </si>
  <si>
    <t>Possible Use For Building Repairs If Needed</t>
  </si>
  <si>
    <t>Ret Cont Reserve</t>
  </si>
  <si>
    <t>Court Settlement For Tax Adjustments As Applicable</t>
  </si>
  <si>
    <t>Unemp. Ins Reserve</t>
  </si>
  <si>
    <t>471201</t>
  </si>
  <si>
    <t>MORRIS CSD</t>
  </si>
  <si>
    <t>Use For Future Capital Project(S).</t>
  </si>
  <si>
    <t>Use If There Is An Insurance Claim(S).</t>
  </si>
  <si>
    <t>Use If There Is Liability Claim(S)</t>
  </si>
  <si>
    <t>Use For Possible Future Building Repair(S).</t>
  </si>
  <si>
    <t>Use To Pay For Tax Certiorari Claim(S).</t>
  </si>
  <si>
    <t>471400</t>
  </si>
  <si>
    <t>ONEONTA CITY SD</t>
  </si>
  <si>
    <t>Transferred To Capital</t>
  </si>
  <si>
    <t>Pay For Contractual Liabilities In Excess Of Budgeted Amount</t>
  </si>
  <si>
    <t>Pay For Cost Of Repairs That Do Not Generate Building Aid Subject To Public Hearing</t>
  </si>
  <si>
    <t>Pay For Unbudgeted Tax Certiorari Settlements From Prior Years</t>
  </si>
  <si>
    <t>Unemployment Insurance Payment Reserve</t>
  </si>
  <si>
    <t>Pay Unemployment Claims In Excess Of Budgeted Amount</t>
  </si>
  <si>
    <t>471601</t>
  </si>
  <si>
    <t>OTEGO-UNADILLA CSD</t>
  </si>
  <si>
    <t>Possible Transfer To The Capital Fund For The Local  Share Of A Future Voter Approved Capital Project</t>
  </si>
  <si>
    <t>Will Pay For Retiree Compensated Absences Or Professional Services Rendered For Such Employee Benefits</t>
  </si>
  <si>
    <t>Retirement Contr Reserve</t>
  </si>
  <si>
    <t>To Pay Ers Retirement Expenses, Plus To Fund Any Possible Retirement Incentives And/Or Rate Increases</t>
  </si>
  <si>
    <t>471701</t>
  </si>
  <si>
    <t>COOPERSTOWN CSD</t>
  </si>
  <si>
    <t>Reserce For Employee Benefits Accrued Liability</t>
  </si>
  <si>
    <t>Pay The 2018-19 New York State And Local Retirement System Annual Invoice</t>
  </si>
  <si>
    <t>Reserve For Tax Certiorai</t>
  </si>
  <si>
    <t>Pay The 2018-19 Annual Workers Compensation Invoice</t>
  </si>
  <si>
    <t>472001</t>
  </si>
  <si>
    <t>RICHFIELD SPRINGS CSD</t>
  </si>
  <si>
    <t>To Meet Costs Of Sick Days Payout</t>
  </si>
  <si>
    <t>To Meet Costs Of Ers</t>
  </si>
  <si>
    <t>To Meet Cost Of Ui As Needed</t>
  </si>
  <si>
    <t>To Meet Costs Of Wc As Needed</t>
  </si>
  <si>
    <t>472202</t>
  </si>
  <si>
    <t>CHERRY VALLEY-SPRINGFIELD CSD</t>
  </si>
  <si>
    <t>To Apply Towards Our Next Capital Project</t>
  </si>
  <si>
    <t>To Use Towards Benefits Of One Retiree</t>
  </si>
  <si>
    <t>To Use Funds For Repair Of Our Gym Floor</t>
  </si>
  <si>
    <t>To Use Towards Incentives For Two Retirees</t>
  </si>
  <si>
    <t>No Use Planned Currently</t>
  </si>
  <si>
    <t>472506</t>
  </si>
  <si>
    <t>WORCESTER CSD</t>
  </si>
  <si>
    <t>Use For Future Capital Projects.</t>
  </si>
  <si>
    <t>Use If There Are Unused Sick Or Vacation Time Claims</t>
  </si>
  <si>
    <t>Use If There Is A Liability Loss Claim.</t>
  </si>
  <si>
    <t>Use To Pay Part Of The District Share Of Ers Expenses.</t>
  </si>
  <si>
    <t>Use To Pay Tax Cert. Claims</t>
  </si>
  <si>
    <t>480101</t>
  </si>
  <si>
    <t>MAHOPAC CSD</t>
  </si>
  <si>
    <t>Roof Repair And Replacement On Three Buildings</t>
  </si>
  <si>
    <t>Pay Off Bans</t>
  </si>
  <si>
    <t>To Be Determined</t>
  </si>
  <si>
    <t>Property Loss And Liability Claims</t>
  </si>
  <si>
    <t>A Portion That Is Determined To Be Unnecessary For Incurred But Unsettled Claims Or Lawsuits (Amount Tbd) For Transfer To Unassigned Fund Balance To The Extent Permissible By Law</t>
  </si>
  <si>
    <t>A Portion For Tax Certiorari Judgments (Amount Tbd); And For Transfer To Unassigned Fund Balance To The Extent Permissible By Law</t>
  </si>
  <si>
    <t>480102</t>
  </si>
  <si>
    <t>CARMEL CSD</t>
  </si>
  <si>
    <t>Future District Wide Renovations, Construction And Reconstruction</t>
  </si>
  <si>
    <t>Future Payments Of Employee Benefits Due To Retirement</t>
  </si>
  <si>
    <t>Future Settlement Of Outstanding Claims</t>
  </si>
  <si>
    <t>480401</t>
  </si>
  <si>
    <t>HALDANE CSD</t>
  </si>
  <si>
    <t>Facilities Improvement Reserve Fund</t>
  </si>
  <si>
    <t>Subject To May 2018 Vote To Re-Establish Expiring Term Of The Capital Reserve</t>
  </si>
  <si>
    <t>Repair Of Elementary Boys And Girls Bathrooms</t>
  </si>
  <si>
    <t>To Fund A Portion Of Nysers Employer Contributions</t>
  </si>
  <si>
    <t>Tax Certiarari Acct</t>
  </si>
  <si>
    <t>Reserve Tax Reduction</t>
  </si>
  <si>
    <t>Unemplyment Insurance Reserve</t>
  </si>
  <si>
    <t>480404</t>
  </si>
  <si>
    <t>GARRISON UFSD</t>
  </si>
  <si>
    <t>To Pay Debt</t>
  </si>
  <si>
    <t>To Pay Compensated Absense</t>
  </si>
  <si>
    <t>To Pay Ers</t>
  </si>
  <si>
    <t>To Pay Tax Certiorari Claims</t>
  </si>
  <si>
    <t>Unemployment Benefits</t>
  </si>
  <si>
    <t>To Pay Nys Unemployment</t>
  </si>
  <si>
    <t>480503</t>
  </si>
  <si>
    <t>PUTNAM VALLEY CSD</t>
  </si>
  <si>
    <t>Future Capital Projects (5 Year Plan, High School Roof</t>
  </si>
  <si>
    <t>Compensated Absences And Benefits Due Upon Separation</t>
  </si>
  <si>
    <t>Liability And Casualty Claims</t>
  </si>
  <si>
    <t>Pending Litigation/Students &amp; Faculty</t>
  </si>
  <si>
    <t>Encumbered payroll and unpaid Purchase Orders March 31, 2018</t>
  </si>
  <si>
    <t>Current Fiscal Obligations</t>
  </si>
  <si>
    <t>Emergency Repair</t>
  </si>
  <si>
    <t>Retirement Contribution (Ers)</t>
  </si>
  <si>
    <t>Liability For Contributions</t>
  </si>
  <si>
    <t>Scar Petitions And Tax Cert Claims</t>
  </si>
  <si>
    <t>480601</t>
  </si>
  <si>
    <t>BREWSTER CSD</t>
  </si>
  <si>
    <t>Liquidate Balance For Reassignment To Unrestricted Fund Balance.</t>
  </si>
  <si>
    <t>Anticipate Balance Increase For Pending Tax Certiorari Judgments.</t>
  </si>
  <si>
    <t>490101</t>
  </si>
  <si>
    <t>BERLIN CSD</t>
  </si>
  <si>
    <t>Voter Approved Capital Project</t>
  </si>
  <si>
    <t>Miscellaneous Tax Certiorari Settlements.</t>
  </si>
  <si>
    <t>Any Benefits Paid To Claimants</t>
  </si>
  <si>
    <t>490202</t>
  </si>
  <si>
    <t>BRUNSWICK CSD (BRITTONKILL)</t>
  </si>
  <si>
    <t>This Reserve Will Not Be Used During The 2018-19 School Year.</t>
  </si>
  <si>
    <t>This Reserve Will Be Used To Cover Accrued Time Payouts Contractually Due To Employees Who Will Be Retiring During The 2018-19 School Year.</t>
  </si>
  <si>
    <t>Reserve For Ins Recoveries</t>
  </si>
  <si>
    <t>This Reserve Will Be Used To Cover A Portion Of The District'S Employee Retirement System Contributions.</t>
  </si>
  <si>
    <t>The District Currently Has A Pending Tax Certiorari Case That May Be Settled During The 2018-19 School Year. If Settled, This Reserve Will Be Used To Cover Any Refund(S) Due In The 2018-19 Sy.</t>
  </si>
  <si>
    <t>It Is Unlikely This Reserve Will Need To Be Used During The 2018-19 School Year.</t>
  </si>
  <si>
    <t>490301</t>
  </si>
  <si>
    <t>EAST GREENBUSH CSD</t>
  </si>
  <si>
    <t>Payment For 9 Buses In The Event That Proposition #2 On May 15, 2018 Passes</t>
  </si>
  <si>
    <t>Emp Benefits And Acc Liability</t>
  </si>
  <si>
    <t>No Use Planned In 2018-2019</t>
  </si>
  <si>
    <t>Payment Of Retirement Contributions To Ers In Amount Of $830,890 In Accordance With Budget</t>
  </si>
  <si>
    <t>Payment Of Anticipated Judgments And Claims From Tax Certiorari Proceedings</t>
  </si>
  <si>
    <t>Payment Of Unemployment Insurance Claims To The State Fund Up To The $8,000 Authorized In The Budget</t>
  </si>
  <si>
    <t>Payment Of Workers Compensation Benefits And Administration If The General Fund Allocation Is Insufficient</t>
  </si>
  <si>
    <t>490501</t>
  </si>
  <si>
    <t>HOOSICK FALLS CSD</t>
  </si>
  <si>
    <t>Capital Building</t>
  </si>
  <si>
    <t>Apply Towards Capital Improvements</t>
  </si>
  <si>
    <t>Apply Towards Purchase Of Buses</t>
  </si>
  <si>
    <t>Adjustments Made For Terminated Employees</t>
  </si>
  <si>
    <t>Apply Towards Classroom Improvements</t>
  </si>
  <si>
    <t>Apply Towards Settlement Of Prior Years Tax Certiorari Cases</t>
  </si>
  <si>
    <t>Convert To Tax Contribution Method Of Funding</t>
  </si>
  <si>
    <t>490601</t>
  </si>
  <si>
    <t>LANSINGBURGH CSD</t>
  </si>
  <si>
    <t>490801</t>
  </si>
  <si>
    <t>NORTH GREENBUSH COMN SD (WILLIAMS)</t>
  </si>
  <si>
    <t>Review And Update Liability</t>
  </si>
  <si>
    <t>Review</t>
  </si>
  <si>
    <t>Review And Assess Needs</t>
  </si>
  <si>
    <t>490804</t>
  </si>
  <si>
    <t>WYNANTSKILL UFSD</t>
  </si>
  <si>
    <t>This Ending Balance Based Upon Voter Approval To Expend $500,000 To Current Project.</t>
  </si>
  <si>
    <t>Reserve For Employee Benefits &amp; Accrued Liab</t>
  </si>
  <si>
    <t>Although The District Does Not Anticipate Any Immediate Reduction In This Reserve, It Continues To Review Its Benefit And Liability Accruals.  In Future We Have Retirements That Will Use These Monies.</t>
  </si>
  <si>
    <t>District Will Monitor This Reserve As Well In Case Any Litigation Arises.</t>
  </si>
  <si>
    <t>Reserve For Retiremetn Contribution</t>
  </si>
  <si>
    <t>The District Will Monitor This Reserve In Case Monies Are Needed To Offset The Actual Ers Payment In 2018-19.</t>
  </si>
  <si>
    <t>The District Will Monitor This Reserve In Anticipation Of Any Tax Certiorari Litigation.</t>
  </si>
  <si>
    <t>The District May Have Pending Unemployment Costs As It Proceeds Into The Next Fiscal Year Due To The Release Of Two Employees.</t>
  </si>
  <si>
    <t>The District Will Continue To Monitor This Reserve To See If Additional Monies Will Be Needed To Cover Upcoming Compensation Costs.</t>
  </si>
  <si>
    <t>491200</t>
  </si>
  <si>
    <t>RENSSELAER CITY SD</t>
  </si>
  <si>
    <t>491302</t>
  </si>
  <si>
    <t>AVERILL PARK CSD</t>
  </si>
  <si>
    <t>No 2018-19 Planned Transfers From This Reserve, As Theses Funds Are Only Used To Fund Sick Leave Separation Payments Upon An Employee Giving Notice.  Board Will Fully Fund Under Vesting Method</t>
  </si>
  <si>
    <t>Planned 2018-19 Transfer Of $400,000 To Fund A Portion Of The Contribution To The Employees Retirement System Due In This Budget Cycle</t>
  </si>
  <si>
    <t>No 2018-19 Planned Transfer From This Reserve, Except In The Event Additional Budgetary Funds Are Required To Fund Benefit Payment Cost</t>
  </si>
  <si>
    <t>491401</t>
  </si>
  <si>
    <t>HOOSIC VALLEY CSD</t>
  </si>
  <si>
    <t>Capital Construction Reserve Fund</t>
  </si>
  <si>
    <t>Debt Service Reserve Fund</t>
  </si>
  <si>
    <t>Budget Appropriation 200000 Debt Service Exp</t>
  </si>
  <si>
    <t>Employee Benefit Accrued Liabiity Reserve</t>
  </si>
  <si>
    <t>Budget Appropriation 75000 Ers Expense</t>
  </si>
  <si>
    <t>Budget Appropriation 5000 Unemployment Exp</t>
  </si>
  <si>
    <t>491501</t>
  </si>
  <si>
    <t>SCHODACK CSD</t>
  </si>
  <si>
    <t>Proposed To Voters To Use $1,000,000 To Pay For Capital Projects In The 2018-19 School Year.</t>
  </si>
  <si>
    <t>No Intended Use In 2018-19 At This Time.</t>
  </si>
  <si>
    <t>491700</t>
  </si>
  <si>
    <t>TROY CITY SD</t>
  </si>
  <si>
    <t>Local Share For Next Capital Project Renovation</t>
  </si>
  <si>
    <t>Use For Accrued Paid Time Off</t>
  </si>
  <si>
    <t>Establish Reserve For Future Ers Rate Increases</t>
  </si>
  <si>
    <t>Use For Tax Cert Settlements</t>
  </si>
  <si>
    <t>Use If Needed Due To Unemployment Costs</t>
  </si>
  <si>
    <t>Partial Use To Offset Increased Rates</t>
  </si>
  <si>
    <t>500101</t>
  </si>
  <si>
    <t>Facilities Improvement Projects</t>
  </si>
  <si>
    <t>Capital Reserve 2018</t>
  </si>
  <si>
    <t>Facilities Improvement Projects 2019-20</t>
  </si>
  <si>
    <t>Debt Serv</t>
  </si>
  <si>
    <t>Accumulating In 2018-19</t>
  </si>
  <si>
    <t>Reserve For Tax Cert</t>
  </si>
  <si>
    <t>Expected Future Tax Certiorari</t>
  </si>
  <si>
    <t>500108</t>
  </si>
  <si>
    <t>NANUET UFSD</t>
  </si>
  <si>
    <t>Emergency Use Only</t>
  </si>
  <si>
    <t>To Pay For Tax Certiorari Judgments, Transfer To General Fund Of Approximately $3,170,189 To Pay For 2018-19 Programs</t>
  </si>
  <si>
    <t>500201</t>
  </si>
  <si>
    <t>HAVERSTRAW-STONY POINT CSD (NORTH RO</t>
  </si>
  <si>
    <t>Debt Svc Reserve</t>
  </si>
  <si>
    <t>Do Not Intend On Using</t>
  </si>
  <si>
    <t>Tax Reduction Sale Bldg</t>
  </si>
  <si>
    <t>500301</t>
  </si>
  <si>
    <t>SOUTH ORANGETOWN CSD</t>
  </si>
  <si>
    <t>No Funds Intended To Be Used</t>
  </si>
  <si>
    <t>Empl Benefit Accrued Liab Res</t>
  </si>
  <si>
    <t>To Fund Payments Made To Retiring Staff</t>
  </si>
  <si>
    <t>Empl Retirement Cont Reserve</t>
  </si>
  <si>
    <t>To Fund Tax Certiorari Claims</t>
  </si>
  <si>
    <t>Unemployment Benefit Reserve</t>
  </si>
  <si>
    <t>To Fund Unemployment Claims</t>
  </si>
  <si>
    <t>500304</t>
  </si>
  <si>
    <t>NYACK UFSD</t>
  </si>
  <si>
    <t>Reserve For Capital Expenditures In Future School Years As Approved By Voters.</t>
  </si>
  <si>
    <t>Expend An Amount Not To Exceed $2,000,000 For Security Upgrades To All District Facilities.</t>
  </si>
  <si>
    <t>Liability Reserve Was Established To Fund Unanticipated Liability Claims That Are Not Covered By The District'S Insurance Policy.</t>
  </si>
  <si>
    <t>The District Has Formulated A Plan To Utilize $450,000 Per Year To Fund Ers Contributions.</t>
  </si>
  <si>
    <t>Court Orders Requiring Payments In 2018-19 Will Be Charged Against This Reserve.</t>
  </si>
  <si>
    <t>Unemployment Reserve Will Be Maintained Based On The History Of Unemployment Claims.</t>
  </si>
  <si>
    <t>500308</t>
  </si>
  <si>
    <t>PEARL RIVER UFSD</t>
  </si>
  <si>
    <t>Reserve For Empl Benefits</t>
  </si>
  <si>
    <t>No Plan To Use</t>
  </si>
  <si>
    <t>Reserve For Retirement Contrib</t>
  </si>
  <si>
    <t>Fund Payment</t>
  </si>
  <si>
    <t>Reserve For Tax Refunds</t>
  </si>
  <si>
    <t>Re-Pay Settlements</t>
  </si>
  <si>
    <t>500401</t>
  </si>
  <si>
    <t xml:space="preserve">SUFFERN CSD </t>
  </si>
  <si>
    <t>We Will Increase The Reserve, If Possible, By The End Of The Year With Over 2,000,000 In Projects Up For Vote In May, 2018</t>
  </si>
  <si>
    <t>Employee Benefit Acrrued Liability</t>
  </si>
  <si>
    <t>This Will Be Adjusted For The Employees That Have Retired And Those Who Are Eligible To Retire.</t>
  </si>
  <si>
    <t>This Reserve Is Set Up For The Possibility Of Insurance Loss During Large Capital Projects.</t>
  </si>
  <si>
    <t>This Will Be Adjusted To Include One Year Of Expense.</t>
  </si>
  <si>
    <t>Payment Of Several Tax Certioraris.</t>
  </si>
  <si>
    <t>To Pay For Unemployment Expenses Which Are Not Budgeted.</t>
  </si>
  <si>
    <t>500402</t>
  </si>
  <si>
    <t>EAST RAMAPO CSD (SPRING VALLEY)</t>
  </si>
  <si>
    <t>For Loss Not Covered By Insurance</t>
  </si>
  <si>
    <t>510101</t>
  </si>
  <si>
    <t>BRASHER FALLS CSD</t>
  </si>
  <si>
    <t>The District Has No Intended Use Of The Capital Reserve For 2018-2019.</t>
  </si>
  <si>
    <t>Employee Benefits _x000D_
Reserve</t>
  </si>
  <si>
    <t>Per The District'S 5-Year Reserve Plan, We Will Appropriate $25,000 To Offset Accumulated Sick Or Vacation Leave Upon Termination Of An Employee.</t>
  </si>
  <si>
    <t>The District Has No Intended Use Of The Property Loss Reserve For 2018-2019 Unless We Incur Liability Loss.</t>
  </si>
  <si>
    <t>The District Has No Intended Use Of The Property Loss Reserve For 2018-2019 Unless We Incur Property Loss.</t>
  </si>
  <si>
    <t>Per The District'S 5-Year Reserve Plan, We Will Appropriate $329,600 To Pay The Nys Retirement Premium In 2018-2019.</t>
  </si>
  <si>
    <t>Per The District'S 5-Year Reserve Plan, We Will Appropriate $25,000 To Pay Any Claims, Premiums, Or Administrative Costs.</t>
  </si>
  <si>
    <t>Workers Compensation_x000D_
Reserve</t>
  </si>
  <si>
    <t>Per The District'S 5-Year Reserve Plan, We Will Appropriate $109,010 To Pay Any Claims, Premiums, Or Administrative Costs.</t>
  </si>
  <si>
    <t>510201</t>
  </si>
  <si>
    <t>CANTON CSD</t>
  </si>
  <si>
    <t>As Of This Writing It Is The Intention To Utilize $50,000 Of This Reserve.</t>
  </si>
  <si>
    <t>As Of This Writing It Is The Intention To Utilize $75,000 Of This Reserve.</t>
  </si>
  <si>
    <t>As Of This Writing It Is The Intention To Utilize $300,000 Of This Reserve.</t>
  </si>
  <si>
    <t>As Of This Writing It Is The Intention To Utilize $45,000 Of This Reserve.</t>
  </si>
  <si>
    <t>510401</t>
  </si>
  <si>
    <t>CLIFTON-FINE CSD</t>
  </si>
  <si>
    <t>1 Million To Be Transferred From Repair Reserve</t>
  </si>
  <si>
    <t>Transfer 1 Million Into Capital Reserve</t>
  </si>
  <si>
    <t>Reduce To Pay The Ers Bill</t>
  </si>
  <si>
    <t>Workman'S Comp Reserve</t>
  </si>
  <si>
    <t>Reduce By Paying Wc Bill</t>
  </si>
  <si>
    <t>510501</t>
  </si>
  <si>
    <t>COLTON-PIERREPONT CSD</t>
  </si>
  <si>
    <t>None - Future Project</t>
  </si>
  <si>
    <t>None - Future Debt Service</t>
  </si>
  <si>
    <t>Payouts For Anticipated Retirements</t>
  </si>
  <si>
    <t>Unanticipated Retirement Contribution Costs</t>
  </si>
  <si>
    <t>Potential Outstanding Settlement With Hydroelectric Properties</t>
  </si>
  <si>
    <t>Any Unemployment Costs</t>
  </si>
  <si>
    <t>511101</t>
  </si>
  <si>
    <t>Capital Reserve Building</t>
  </si>
  <si>
    <t>Will Not Use Inthe 2018-19 School Year. Preliminary Discussion For Next Project Are Ongoing.</t>
  </si>
  <si>
    <t>Capital Reserve Bus</t>
  </si>
  <si>
    <t>$250,000 Will Be Used In The 2018-19 School Year To Minimize The Tax Levy Due To The Cost Of 4 Buses.</t>
  </si>
  <si>
    <t>Reserve For Debt Service - Sale Of Fowler School</t>
  </si>
  <si>
    <t>$30,199 Will Be Used To Minimize The Increase To The Tax Levy Due To The Reduction In Building Aid.</t>
  </si>
  <si>
    <t>$20,000 Is Estimated To Be Used To Minimize The Tax Levy Due To The Cost Of Benefits Due To Employees Upon Termination Of Service.</t>
  </si>
  <si>
    <t>$2,000 Is Estimated To Be Used To Minimize The Tax Levy Due To The Cost Of Uninsured Expenses.</t>
  </si>
  <si>
    <t>$25,000 Is Estimated To Be Used To Minimize The Tax Levy Due To The Costs Of Legal Expenses Related To Claims.</t>
  </si>
  <si>
    <t>No Amount Has Been Appropriated For The 2018-19 School Year.  If A Loss Is Insucrred, The Funds Would Be Appropriated To Cover The Costs.</t>
  </si>
  <si>
    <t>$495,290 Is Estimated To Be Used To Minimize The Tax Levy Due To The Cost Of Ers Retirement Contributions.</t>
  </si>
  <si>
    <t>No Amount Has Been Appropriated For The 2018-19 School Year..  If A Settlement Is Received The Funds Would Be Appropriated To Cover The Costs.</t>
  </si>
  <si>
    <t>$10,000 Is Estimated To Be Used To Minimize The Tax Levy Due To The Cost Of Unemployment Insurance Claims.</t>
  </si>
  <si>
    <t>$162,138 Is Estimated To Be Used To Minimize The Tax Levy Due To The Cost Of Workers Compensation.</t>
  </si>
  <si>
    <t>511201</t>
  </si>
  <si>
    <t>HAMMOND CSD</t>
  </si>
  <si>
    <t>Pay Ban And Interest</t>
  </si>
  <si>
    <t>If Needed For Benefits Due To Employees At Retirement</t>
  </si>
  <si>
    <t>If Needed For Insurance Losses</t>
  </si>
  <si>
    <t>Building Repairs</t>
  </si>
  <si>
    <t>If Needed For Unemployment For Layoffs</t>
  </si>
  <si>
    <t>Work Comp Reserve</t>
  </si>
  <si>
    <t>If Needed For Work Comp</t>
  </si>
  <si>
    <t>511301</t>
  </si>
  <si>
    <t>HERMON-DEKALB CSD</t>
  </si>
  <si>
    <t>Pending Voter Approval Anticipated In The Fall Of 2018, The Entire Reserve Will Be Applied To Capital Project Costs</t>
  </si>
  <si>
    <t>We Are Anticipating One Teacher Retirement And Will Use These Funds To Pay Accrued And Unused Sick Days At Retirement</t>
  </si>
  <si>
    <t>511602</t>
  </si>
  <si>
    <t>LISBON CSD</t>
  </si>
  <si>
    <t>We Do Not Intend To Use The Reserve This Coming School Year</t>
  </si>
  <si>
    <t>Pay Debt Service</t>
  </si>
  <si>
    <t>Pay Employee Benefits Due To Employees Upon Retirement</t>
  </si>
  <si>
    <t>Retirement Conribution</t>
  </si>
  <si>
    <t>Employer Retirement Contributions To Nys And Local Employees' Retirement System</t>
  </si>
  <si>
    <t>Reimburse The State Unemployment Insurance Fund For Claims Incurred</t>
  </si>
  <si>
    <t>511901</t>
  </si>
  <si>
    <t>MADRID-WADDINGTON CSD</t>
  </si>
  <si>
    <t>Equipment  Reserve</t>
  </si>
  <si>
    <t>At This Current Time, The District Intends To Use A Portion Of The Reserve As Payment Of Th E2018-19 Bus Purchases.</t>
  </si>
  <si>
    <t>At This Current Time, The District Intends To Use A Portion Of The Reserve As Payment Of The 2018-19 Capital Outlay Project.</t>
  </si>
  <si>
    <t>At This Current Time, The District Intends To Use A Portion Of The Reserve As Payment Of Debt Obligations Due In 2018-19 Fiscal Year.</t>
  </si>
  <si>
    <t>At This Current Time, The District Intends To Use A Portion Of The Reserve To Offset Benefits Paid To Retirees Per Contractual Language.</t>
  </si>
  <si>
    <t>512001</t>
  </si>
  <si>
    <t>MASSENA CSD</t>
  </si>
  <si>
    <t>Reserve Will Be Saved Until The District Starts A Capital Project</t>
  </si>
  <si>
    <t>Reserve Will Be Used To Offset Retirement Incentive Costs If Needed_x000D_
Reserve Will Be Used To Offset Retirement Incentive Costs If Needed</t>
  </si>
  <si>
    <t>Ers System Reserve</t>
  </si>
  <si>
    <t>Reserve Will Be Used To Offset Ers Contributions Up To The Annual Invoice If Needed</t>
  </si>
  <si>
    <t>Reserve Will Be Used To Offset Tax Assessment Challenges If Needed</t>
  </si>
  <si>
    <t>Reserve Will Be Used To Offset Actual Unemployment Claims If Needed</t>
  </si>
  <si>
    <t>Reserve Will Be Used To Offset Workers Compensation Costs Up To The Annual Premium If Need</t>
  </si>
  <si>
    <t>512101</t>
  </si>
  <si>
    <t>Appropriating $75,000 To Get Reserve Equal To Our Compensated Absences.  If Warranted Money Will Be Used From This Reserve.</t>
  </si>
  <si>
    <t>Established Reserve To Cover Unreimbursed Liability Claims.</t>
  </si>
  <si>
    <t>Established This Reserve To Cover Any Unreimbursed Property Losses.</t>
  </si>
  <si>
    <t>If Warranted Money Will Be Used From This Reserve.</t>
  </si>
  <si>
    <t>Unemployment Insurance Reserrve</t>
  </si>
  <si>
    <t>At This Time There Is No Known Liability So We Will Just Maintain This Reserve.</t>
  </si>
  <si>
    <t>No Known Liability At This Time.  We Will Just Maintain This Reserve.</t>
  </si>
  <si>
    <t>512201</t>
  </si>
  <si>
    <t>NORWOOD-NORFOLK CSD</t>
  </si>
  <si>
    <t>To Pay The Local Share Of Debt Service Payments On Outstanding Obligations</t>
  </si>
  <si>
    <t>To Pay Accrued Benefits At Retirement</t>
  </si>
  <si>
    <t>To Pay Employer Retirement Contributions To Nysers</t>
  </si>
  <si>
    <t>To Pay Tax Certiorari Settlements</t>
  </si>
  <si>
    <t>To Pay The Cost Of Reimbursement To Nys Unemployment Insurance Fund</t>
  </si>
  <si>
    <t>To Pay Approximately 50% Of The Worker'S Compensation Annual Premium</t>
  </si>
  <si>
    <t>512300</t>
  </si>
  <si>
    <t>OGDENSBURG CITY SD</t>
  </si>
  <si>
    <t>Reserve For Employee Benefits/ Accr Liability</t>
  </si>
  <si>
    <t>We Are Not Overfunded And Have No Plan For Use In 2018-2019.</t>
  </si>
  <si>
    <t>Reserve For Smec Energy Cost</t>
  </si>
  <si>
    <t>Deposit held by SMEC for Municipal Energy Agreement</t>
  </si>
  <si>
    <t>Deposit Held By Smec</t>
  </si>
  <si>
    <t>Retirement Contributions Reser</t>
  </si>
  <si>
    <t>To Cover Retirement Contribution Expense To Balance The Budget.</t>
  </si>
  <si>
    <t>Reserve For Tax Certiorari 2013 - 2017</t>
  </si>
  <si>
    <t>To Cover Resolved Legal Claims.</t>
  </si>
  <si>
    <t>To Cover Unemployment Expense To Balance Budget</t>
  </si>
  <si>
    <t>512404</t>
  </si>
  <si>
    <t>HEUVELTON CSD</t>
  </si>
  <si>
    <t>To Pay Retirees Benefits Due Them For Sick Or Vacation Days</t>
  </si>
  <si>
    <t>To Cover Ers Expenses</t>
  </si>
  <si>
    <t>To Pay Any Unemployment Costs</t>
  </si>
  <si>
    <t>To Pay Workers Comp Premiums</t>
  </si>
  <si>
    <t>512501</t>
  </si>
  <si>
    <t>PARISHVILLE-HOPKINTON CSD</t>
  </si>
  <si>
    <t>To Be Re-Established For Next Capital Project</t>
  </si>
  <si>
    <t>Reserve For Compensated Abs</t>
  </si>
  <si>
    <t>To Pay For Employee Benefits Upon Retirement</t>
  </si>
  <si>
    <t>To Cover Any Uninsured Loss</t>
  </si>
  <si>
    <t>To Cover Any Property Loss</t>
  </si>
  <si>
    <t>Future Retirement Cont</t>
  </si>
  <si>
    <t>To Pay For Ers Expense</t>
  </si>
  <si>
    <t>To Pay Any Unemployment Expense</t>
  </si>
  <si>
    <t>512902</t>
  </si>
  <si>
    <t>POTSDAM CSD</t>
  </si>
  <si>
    <t>Appropriated $200,000 Toward Retirement Expense</t>
  </si>
  <si>
    <t>Possible Tax Settlements If Awarded</t>
  </si>
  <si>
    <t>513102</t>
  </si>
  <si>
    <t>EDWARDS-KNOX CSD</t>
  </si>
  <si>
    <t>17,000 -- To Pay For Payment Of Accrued Employee Benefits Of Upcoming Retirements</t>
  </si>
  <si>
    <t>Do Not Plan To Use</t>
  </si>
  <si>
    <t>103,000 -- To Pay Employee Retirement Contributions To The State Retirement System</t>
  </si>
  <si>
    <t>30,000 -- To Pay For Any State Unemployment Costs Incurred</t>
  </si>
  <si>
    <t>74,304 - To Pay For The Administration Of And Wages Paid For Worker'S Compensation And Benefits</t>
  </si>
  <si>
    <t>520101</t>
  </si>
  <si>
    <t>BURNT HILLS-BALLSTON LAKE CSD</t>
  </si>
  <si>
    <t>To Pay For Compensated Absences For Employees Separating From Service Should Budgetary Appropriations Not Be Sufficient</t>
  </si>
  <si>
    <t>Reserve For Retirement Benefits (Ers)</t>
  </si>
  <si>
    <t>To Pay District Obligations To The Employee Retirement System Should Budget Appropriations Not Be Sufficient.</t>
  </si>
  <si>
    <t>To Pay Any And All Successful Tax Certiorari Claims Against The District Among The Current Open Cases Should Budgetary Appropriations Not Be Sufficient</t>
  </si>
  <si>
    <t>To Fund Any And All Unemployment Claims Against The District Should Potential Staff Cuts Come Through Layoffs As Opposed To Attrition If Budgetary Appropriations Are Not Sufficient</t>
  </si>
  <si>
    <t>Workers' Compensation (Self-Funded)</t>
  </si>
  <si>
    <t>To Fund Any Or All Settlements Among The Open Claims Against The District Where Budgetary Appropriations Are Not Sufficient.</t>
  </si>
  <si>
    <t>520302</t>
  </si>
  <si>
    <t>SHENENDEHOWA CSD</t>
  </si>
  <si>
    <t>Utilize $1,500,000 Toward Capital Project Approved December 2017.</t>
  </si>
  <si>
    <t>Used To Pay Accrued Sick And Vacation Days Upon Retirement. Replenished At End Of The Year If Feasible.</t>
  </si>
  <si>
    <t>Used To Offset Ers Expenses In The Budget. Replnished At The End Of The Year If Feasible.</t>
  </si>
  <si>
    <t>Used To Pay For Outstanding Tax Certiorari Claims.</t>
  </si>
  <si>
    <t>Reserve Is Set At The Estimated Amount Of Long Term Liabilites As Determined By Our Third Party Administrator. Reserve May Be Used To Pay For Current Claimant Liabilities That Are Reserved For.</t>
  </si>
  <si>
    <t>520401</t>
  </si>
  <si>
    <t>CORINTH CSD</t>
  </si>
  <si>
    <t>No Intended Use For 2018-19 School Year</t>
  </si>
  <si>
    <t>On May Ballot For Approval</t>
  </si>
  <si>
    <t>Use Of $50,000 As Revenue</t>
  </si>
  <si>
    <t>Will Use If Tax Certiorari Cases Are Settled</t>
  </si>
  <si>
    <t>520601</t>
  </si>
  <si>
    <t>EDINBURG COMMON SD</t>
  </si>
  <si>
    <t>Ee Reserve</t>
  </si>
  <si>
    <t>No Intended Use 2018-2019</t>
  </si>
  <si>
    <t>For the purchasing of school busses and vans</t>
  </si>
  <si>
    <t>$100,000 For Nonrecurring Repairs To Be Used 2018-2019</t>
  </si>
  <si>
    <t>Taxcert Reserve</t>
  </si>
  <si>
    <t>521200</t>
  </si>
  <si>
    <t>MECHANICVILLE CITY SD</t>
  </si>
  <si>
    <t>521301</t>
  </si>
  <si>
    <t>BALLSTON SPA CSD</t>
  </si>
  <si>
    <t>Dedicate A Portion To Capital Project To Be Voted In October, 2018.</t>
  </si>
  <si>
    <t>$300,000 Is Designated As Interfund Revenue.</t>
  </si>
  <si>
    <t>521401</t>
  </si>
  <si>
    <t>SOUTH GLENS FALLS CSD</t>
  </si>
  <si>
    <t>None In 2018-19,  Future Projects, Capital Reserve Re-Establishment At May 2018 Vote, If Passes Will Fund Prior To 6/30/18</t>
  </si>
  <si>
    <t>Future Debt Service Payments</t>
  </si>
  <si>
    <t>Employees Retirement System</t>
  </si>
  <si>
    <t>To Be Used For Claims</t>
  </si>
  <si>
    <t>521701</t>
  </si>
  <si>
    <t>SCHUYLERVILLE CSD</t>
  </si>
  <si>
    <t>Sic/Vacation Buyouts For Projected  Retirees</t>
  </si>
  <si>
    <t>Offset Liability Claims Currently Being Litigated</t>
  </si>
  <si>
    <t>Turf Field Reserve</t>
  </si>
  <si>
    <t>To fund necessary upkeep and repairs to Turf Field</t>
  </si>
  <si>
    <t>Repair And Upkeep To Turf Field</t>
  </si>
  <si>
    <t>Offset Increase In Ers Employer Portion</t>
  </si>
  <si>
    <t>Offset Claims For Improper Tax Assessments</t>
  </si>
  <si>
    <t>Offset Increase In Worker'S Comp Claims</t>
  </si>
  <si>
    <t>521800</t>
  </si>
  <si>
    <t>SARATOGA SPRINGS CITY SD</t>
  </si>
  <si>
    <t>To Cover Unforeseen Uninsured Losses Or Liabilities.</t>
  </si>
  <si>
    <t>To Offset Required Employer Contribution Towards Ers Salaries.</t>
  </si>
  <si>
    <t>Tax Certiorari Rserve</t>
  </si>
  <si>
    <t>To Settle Outstanding Assessment Challenges Not Covered By Appropriations.</t>
  </si>
  <si>
    <t>To Pay Outstanding Self-Insured Claims Not Covered By Appropriations Or Excess Coverage.</t>
  </si>
  <si>
    <t>522001</t>
  </si>
  <si>
    <t>Capital Outlay Project 100,000</t>
  </si>
  <si>
    <t>No Planned Use During 2018-19</t>
  </si>
  <si>
    <t>522101</t>
  </si>
  <si>
    <t>WATERFORD-HALFMOON UFSD</t>
  </si>
  <si>
    <t>The State Has Made No Provision For Use This Year</t>
  </si>
  <si>
    <t>Possible Use On Contributions</t>
  </si>
  <si>
    <t>District Is In A Pending Tax Cert Case</t>
  </si>
  <si>
    <t>530101</t>
  </si>
  <si>
    <t>Benefit Reserve</t>
  </si>
  <si>
    <t>For The Payment Of Accrued �Employee Benefits� Due To Employees Upon Termination Of Service.</t>
  </si>
  <si>
    <t>To Pay Liability, Casualty, And Other Types Of Uninsured Losses.</t>
  </si>
  <si>
    <t>To Establish And Maintain A Program Of Reserves To Cover Property Loss.</t>
  </si>
  <si>
    <t>To Fund Employer Retirement Contributions To The State And Local Employees� Retirement System</t>
  </si>
  <si>
    <t>To Establish A Reserve Fund For Tax Certiorari Settlements</t>
  </si>
  <si>
    <t>To Pay The Cost Of Reimbursement To The State Unemployment Insurance Fund.</t>
  </si>
  <si>
    <t>For Shortages To Pay For Workers Compensation And Benefits</t>
  </si>
  <si>
    <t>530202</t>
  </si>
  <si>
    <t>SCOTIA-GLENVILLE CSD</t>
  </si>
  <si>
    <t>Will Not Be Utilized Until 2020/21 When Related Bonds Are Retired</t>
  </si>
  <si>
    <t>Will Be Utilized Only If 2018/19 Budget Cannot Absorb Benefit Payouts At Retirement</t>
  </si>
  <si>
    <t>Will Not Be Utilized In 2018/19.  Being Maintained For Fiscal Years When Rates Increase Significantly From Prior Year.</t>
  </si>
  <si>
    <t>Will Be Utilized When Claims Are Settled</t>
  </si>
  <si>
    <t>Will Be Reviewed As Premium Is Analyzed For 2018/19 And Claims Incurred</t>
  </si>
  <si>
    <t>Will Be Reviewed At Time Of Claims Incurred During 2018/19</t>
  </si>
  <si>
    <t>530301</t>
  </si>
  <si>
    <t>NISKAYUNA CSD</t>
  </si>
  <si>
    <t>Comp Absences Reserve</t>
  </si>
  <si>
    <t>To Pay For Tax Certiorari Settlements Reached In The 2018-19 School Year.</t>
  </si>
  <si>
    <t>To Pay For Workers' Compensation Settlements Reached In The 2018-19 School Year.</t>
  </si>
  <si>
    <t>530501</t>
  </si>
  <si>
    <t>SCHALMONT CSD</t>
  </si>
  <si>
    <t>Maintain For Future Years</t>
  </si>
  <si>
    <t>Employee Accrued Benefits</t>
  </si>
  <si>
    <t>Pay New Retiree Contractual Benefits</t>
  </si>
  <si>
    <t>Employee Retirement System</t>
  </si>
  <si>
    <t>Use To Offset Cost Changes In Ers</t>
  </si>
  <si>
    <t>For Tax Certiorari Settlements If Reached</t>
  </si>
  <si>
    <t>Cover Any Claims That Exceed The Budgeted Amount</t>
  </si>
  <si>
    <t>530515</t>
  </si>
  <si>
    <t>ROTTERDAM-MOHONASEN CSD</t>
  </si>
  <si>
    <t>Employee Benefits Accrual</t>
  </si>
  <si>
    <t>This Is The Amount That Would Need To Be Paid To Employees Upon Separation From The District For Earned Vacation Time.  We Expect At Least One Person To Leave And Be Paid Their Compensated Time .</t>
  </si>
  <si>
    <t>Employee Benefit Accrual</t>
  </si>
  <si>
    <t>Accrual for retiree health insurance costs due to members based on contractual obligations</t>
  </si>
  <si>
    <t>This Will Continue To Be Used In 2018-19 To Meet Contractual Obligations.</t>
  </si>
  <si>
    <t>We Budgeted $750,000 Fro This Reserve In Both 17-18 And 18-19.</t>
  </si>
  <si>
    <t>This Amount Is The Expected Liability Of Outstanding Claims For 2018-19</t>
  </si>
  <si>
    <t>There Is $100,000 Budgeted From This Reserve In 2018-19 For Potential Costs.  The 2018-19 Budget Eliminated 12 Positions.</t>
  </si>
  <si>
    <t>530600</t>
  </si>
  <si>
    <t>SCHENECTADY CITY SD</t>
  </si>
  <si>
    <t>Phase 2 Elementary Schools</t>
  </si>
  <si>
    <t>Employee Benefit Expenses</t>
  </si>
  <si>
    <t>For Uninsured Losses</t>
  </si>
  <si>
    <t>Repairs For Improvements And Repairs</t>
  </si>
  <si>
    <t>Retirement Expenses</t>
  </si>
  <si>
    <t>For Tax Certiorari Expenses</t>
  </si>
  <si>
    <t>Unemployment Expenses</t>
  </si>
  <si>
    <t>Worker'S Compensation Expenses</t>
  </si>
  <si>
    <t>540801</t>
  </si>
  <si>
    <t>GILBOA-CONESVILLE CSD</t>
  </si>
  <si>
    <t>2017 Bus Purchase</t>
  </si>
  <si>
    <t>Plan To Use A Portion In July 2018 For New Bus</t>
  </si>
  <si>
    <t>Bus Purchases</t>
  </si>
  <si>
    <t>Plan To Use July 2018 For New Bus</t>
  </si>
  <si>
    <t>2017 Bldg Reserve</t>
  </si>
  <si>
    <t>Plan To Fund With Excess Fund Balance</t>
  </si>
  <si>
    <t>2014 Bldg Reserve</t>
  </si>
  <si>
    <t>Used Portion In 17-18 For New Project</t>
  </si>
  <si>
    <t>Plan To Exhaust To Pay Off Debt In 18-19</t>
  </si>
  <si>
    <t>Pay Retirement Sick Leave Payments</t>
  </si>
  <si>
    <t>Used To Pay Claims</t>
  </si>
  <si>
    <t>540901</t>
  </si>
  <si>
    <t>JEFFERSON CSD</t>
  </si>
  <si>
    <t>Use If The District Has Insurance Claim(S).</t>
  </si>
  <si>
    <t>Use To Pay The Tax Certiorari Case(S).</t>
  </si>
  <si>
    <t>541001</t>
  </si>
  <si>
    <t>MIDDLEBURGH CSD</t>
  </si>
  <si>
    <t>Pending May 2018 Budget Vote For Future Projects</t>
  </si>
  <si>
    <t>Will Be Utilized In 18-19 Budget If Budget Cannot Absorb Benefit Payouts For Retirees</t>
  </si>
  <si>
    <t>Amounts Will Be Utilized When Amounts Losses Occur That Are Not Covered By Insurance. Damage By Flooding Not Covered By Insurance In Recent Years.</t>
  </si>
  <si>
    <t>Amount Carried Over From Prior Year Property Recovery. Will Be Corrected By End Of 6/30/18</t>
  </si>
  <si>
    <t>Amounts Being Maintained For Years When Rates Increase Significantly From Prior Year</t>
  </si>
  <si>
    <t>Contributions To The State Unemployment Insurance Fund</t>
  </si>
  <si>
    <t>541102</t>
  </si>
  <si>
    <t>COBLESKILL-RICHMONDVILLE CSD</t>
  </si>
  <si>
    <t>250,000 To Be Used Towards Debt Payments</t>
  </si>
  <si>
    <t>100,000 To Be Used For Unused Sick &amp; Vacation Day Payouts</t>
  </si>
  <si>
    <t>300,000 To Be Used To Partially Offset Ers Expense</t>
  </si>
  <si>
    <t>541201</t>
  </si>
  <si>
    <t>SCHOHARIE CSD</t>
  </si>
  <si>
    <t>To Offset The Local Property Tax Needed For Capital Project Improvements.</t>
  </si>
  <si>
    <t>Compensated Absences Reserve Account</t>
  </si>
  <si>
    <t>To Account For The Payment Of Accrued Vacation And Sick Leave To Eligible Employees, Using Actuarial Tenets.</t>
  </si>
  <si>
    <t>Insurance Reserve Account</t>
  </si>
  <si>
    <t>To Account For Liability/Casualty Insurance Claims For Which Funds In The Operating Budget Are Not Available.</t>
  </si>
  <si>
    <t>Retirement System Reserve Account</t>
  </si>
  <si>
    <t>To Account For Possible Employer Contributions Into The State Retirement System Over The Amounts Appropriated.</t>
  </si>
  <si>
    <t>To Offset Any Unbudgeted Appropriation For The Payment Of Unemployment Insurance Claims.</t>
  </si>
  <si>
    <t>To Offset Any Unbudgeted Appropriation For The Payment Of Workers' Compensation Claims.</t>
  </si>
  <si>
    <t>541401</t>
  </si>
  <si>
    <t>SHARON SPRINGS CSD</t>
  </si>
  <si>
    <t>For Future Unanticipated Expenses</t>
  </si>
  <si>
    <t>Special Aid Fund</t>
  </si>
  <si>
    <t>For Special Aid</t>
  </si>
  <si>
    <t>School Lunch Fund</t>
  </si>
  <si>
    <t>For School Lunch Fund</t>
  </si>
  <si>
    <t>550101</t>
  </si>
  <si>
    <t>ODESSA-MONTOUR CSD</t>
  </si>
  <si>
    <t>Capital Reserve Technology</t>
  </si>
  <si>
    <t>Capital Reserve Transportation</t>
  </si>
  <si>
    <t>Purchase Of Two School Buses To Be Approved With May 2018 Budget Vote.</t>
  </si>
  <si>
    <t>Rsrv Empl Benefits/Accr Liab</t>
  </si>
  <si>
    <t>Pay For Allowable Expenses As They Arise.</t>
  </si>
  <si>
    <t>Pay District'S Ers Bill To Avoid Additional Levy Increase.</t>
  </si>
  <si>
    <t>550301</t>
  </si>
  <si>
    <t>WATKINS GLEN CSD</t>
  </si>
  <si>
    <t>It Is Planned That The Reserve Will Be Available For Future Capital Construction Projects.</t>
  </si>
  <si>
    <t>This Reserve May Be Used In The Instance That The District Is In A Position To Pay Post Employment Benefits Should Retirements Arise.</t>
  </si>
  <si>
    <t>This Reserve Would Be Used In The Situation Whereby The District Experiences A Loss Which The District'S Budget Is Not Prepared To Cover.</t>
  </si>
  <si>
    <t>This Reserve Exists For The Instance That An Emergency Repair Need Arises Which Is Unplanned For In The Budget.  The Board Of Education May Release The Funds Following A Hearing.</t>
  </si>
  <si>
    <t>This Reserve Provides Assurance During A Time When Retirement Contribution Rates Are Increasing.</t>
  </si>
  <si>
    <t>This Reserve Protects The District For Possible Exposure Due To A Loss Of Tax Revenue.</t>
  </si>
  <si>
    <t>This Reserve Is In Place As A Safeguard In The Instance That The District'S Self-Funded Plan Experiences Excess Losses.</t>
  </si>
  <si>
    <t>560501</t>
  </si>
  <si>
    <t>SOUTH SENECA CSD</t>
  </si>
  <si>
    <t>Accrue For 2021 Capital Project Based On Building Condition Survey</t>
  </si>
  <si>
    <t>Pay Accrued Benefits For Retiring Employees</t>
  </si>
  <si>
    <t>Pay Insurance Claims Directly When Unapproved Or Deadline Missed.</t>
  </si>
  <si>
    <t>Pay Liability And Special Education Claims When Unapproved Or Deadline Missed</t>
  </si>
  <si>
    <t>Offset Rising Ers Pension Rates Which Was Expected To Be 25% Of Payroll</t>
  </si>
  <si>
    <t>Pay Actual Unemployment Claims</t>
  </si>
  <si>
    <t>560603</t>
  </si>
  <si>
    <t>ROMULUS CSD</t>
  </si>
  <si>
    <t>$125,000 Spent On A 66 Passenger Bus</t>
  </si>
  <si>
    <t>No Money Used In 2018-19</t>
  </si>
  <si>
    <t>$50,000 To Be Spent On Capital Debt</t>
  </si>
  <si>
    <t>No Money Spent In 2018-19</t>
  </si>
  <si>
    <t>$108,000 To Be Spent On Retirement Contributions To The Nys Retirement System</t>
  </si>
  <si>
    <t>Reserve For Unemployment Compensation</t>
  </si>
  <si>
    <t>$2,000 Spent To Offset The Cost Of Reimbursement Of The State Insurance Fund</t>
  </si>
  <si>
    <t>$40,000 To Be Spent To Help Offset Costs For Compensation Benefits And Other Expenses Authorized By Article 2 Of The Workers� Compensation Law</t>
  </si>
  <si>
    <t>560701</t>
  </si>
  <si>
    <t>SENECA FALLS CSD</t>
  </si>
  <si>
    <t>Use Up To $375,000 To Purchase 3 Buses</t>
  </si>
  <si>
    <t>Ers Retirement Contribution Reserve</t>
  </si>
  <si>
    <t>Use $150,000 Towards Ers Contributions</t>
  </si>
  <si>
    <t>561006</t>
  </si>
  <si>
    <t>WATERLOO CSD</t>
  </si>
  <si>
    <t>Purchase 2 Full Buses And 2 Small Buses</t>
  </si>
  <si>
    <t>No Intended Use In 2018-2019</t>
  </si>
  <si>
    <t>Plan To Use $14,500 To Pay On Principal Of Debt</t>
  </si>
  <si>
    <t>Plan To Use $26,000 To Offset A Portion Of The School'S Contribution Into The Employees' Retirement System</t>
  </si>
  <si>
    <t>Reserve No Longer Need For Tax Certiorari, The Money Will Go Into The General Fund Until By Voter Approval It May Be Used To  Fund The Repair Reserve In 2018-2019</t>
  </si>
  <si>
    <t>570101</t>
  </si>
  <si>
    <t>ADDISON CSD</t>
  </si>
  <si>
    <t>Not Using</t>
  </si>
  <si>
    <t>365292 For Employer Contributions</t>
  </si>
  <si>
    <t>Reserve For Workers Compensation Premiums</t>
  </si>
  <si>
    <t>570201</t>
  </si>
  <si>
    <t>AVOCA CSD</t>
  </si>
  <si>
    <t>Trans Vehicle Replacement</t>
  </si>
  <si>
    <t>$340,000 For The Purchase Of Three Buses, A Car And A Tractor</t>
  </si>
  <si>
    <t>No Intended Use During 2018-19</t>
  </si>
  <si>
    <t>$107,213 To Pay For Accrued Employee Benefits</t>
  </si>
  <si>
    <t>$27,474 Potential Liability During 2018-19</t>
  </si>
  <si>
    <t>This Reserve Will Be Depleted .</t>
  </si>
  <si>
    <t>$130,000 For Employer Contributions To Nysers</t>
  </si>
  <si>
    <t>No Planned Expenses During 2018-19</t>
  </si>
  <si>
    <t>$10,000 To Be Used For Reimbursement To State Insurance Fund For Unemployed Workers</t>
  </si>
  <si>
    <t>$56,585  To Be Used For Compensation And Benefits Premium</t>
  </si>
  <si>
    <t>570302</t>
  </si>
  <si>
    <t>BATH CSD</t>
  </si>
  <si>
    <t>Offset Local Share Of Capital Project Expenses</t>
  </si>
  <si>
    <t>Cover The Cost Of Unused Sick Days For Retirees</t>
  </si>
  <si>
    <t>Not Intended To Be Used Until Fully Funded As Authorized.</t>
  </si>
  <si>
    <t>Cover The Cost Of Any Tax Certiorari Proceedings</t>
  </si>
  <si>
    <t>Cover Local Share Of District Unemployment Expenses</t>
  </si>
  <si>
    <t>570401</t>
  </si>
  <si>
    <t>BRADFORD CSD</t>
  </si>
  <si>
    <t>Purchase Of Two School Buses To Be Approved With 2018 Budget Vote</t>
  </si>
  <si>
    <t>Transfer Reserve Balance To Capital Fund, Approved In December 2017 Project Vote</t>
  </si>
  <si>
    <t>Pay For Allowable Expenses As They Arise</t>
  </si>
  <si>
    <t>Pay $70,000 Of The District'S Ers Bill To Avoid Additional Levy Increase</t>
  </si>
  <si>
    <t>Close Out Reserve As Unnecessary</t>
  </si>
  <si>
    <t>570603</t>
  </si>
  <si>
    <t>CAMPBELL-SAVONA CSD</t>
  </si>
  <si>
    <t>No Planned Use.</t>
  </si>
  <si>
    <t>Emp Benefits Accr Liabilities</t>
  </si>
  <si>
    <t>Reserve For Tax Ceriorari</t>
  </si>
  <si>
    <t>571000</t>
  </si>
  <si>
    <t>CORNING CITY SD</t>
  </si>
  <si>
    <t>General Capital Reserve</t>
  </si>
  <si>
    <t>District Plans On Using $72,523 From Proceeds Of Building Sale To Pay A Portion Of Bond Principal And Interest</t>
  </si>
  <si>
    <t>Reserve Employee Benefit/Accrued Liability</t>
  </si>
  <si>
    <t>District Plans On Using $1,250,000 To Offset Anticipated Employee Retirement System Costs</t>
  </si>
  <si>
    <t>District Plans On Using $25,000 To Offset Anticipated Unemployment Costs</t>
  </si>
  <si>
    <t>District Plans On Using $500,000 To Offset Anticipated  Workers' Compensation Costs</t>
  </si>
  <si>
    <t>571502</t>
  </si>
  <si>
    <t>CANISTEO-GREENWOOD CSD</t>
  </si>
  <si>
    <t>For The Payment Of Accrued Employees Benefits Due To Employees, Upon Termination Of Service.</t>
  </si>
  <si>
    <t>A Reserve To Pay For Uninsured Losses.</t>
  </si>
  <si>
    <t>A Reserve Fund To Cover Any Liability Claims Against The District.</t>
  </si>
  <si>
    <t>To Pay The Cost Of Repairs To Capital Improvements Or Equipment.</t>
  </si>
  <si>
    <t>To Fund Employer Retirement Contributions To The State And Local Employees Retirement System.</t>
  </si>
  <si>
    <t>To Pay The Cost Of Reimbursement For The District'S Workers Compensation Expenses.</t>
  </si>
  <si>
    <t>To Pay For Workers Compensation And Benefits.</t>
  </si>
  <si>
    <t>571800</t>
  </si>
  <si>
    <t>HORNELL CITY SD</t>
  </si>
  <si>
    <t>2012 Bus Reserve</t>
  </si>
  <si>
    <t>Transportation Purchases_x000D_
Transportation Purchases_x000D_
Ation Purchases</t>
  </si>
  <si>
    <t>2017 Bus Reserve</t>
  </si>
  <si>
    <t>Transportation Purchases</t>
  </si>
  <si>
    <t>Use Toward Future Projects</t>
  </si>
  <si>
    <t>Retirement Sick/Vacation Payouts</t>
  </si>
  <si>
    <t>PREMIUMS RECEIVED ON BORROWINGS</t>
  </si>
  <si>
    <t>Payment Of Interest At Time Of Refinance/Borrowing</t>
  </si>
  <si>
    <t>Repairs To Athletic Bldgs</t>
  </si>
  <si>
    <t>Pending Settlement Claims</t>
  </si>
  <si>
    <t>Future Claims</t>
  </si>
  <si>
    <t>571901</t>
  </si>
  <si>
    <t>ARKPORT CSD</t>
  </si>
  <si>
    <t>The Capital Reserve Fund Is Used To Pay The Cost Of Any Object Or Purpose For Which Bonds May Be Issued.</t>
  </si>
  <si>
    <t>The District Has Established A Fund For Debt Service As Allowed By The School District Accounting And Reporting Manual Published By The Office Of The State Comptroller.</t>
  </si>
  <si>
    <t>Reserve For Employee Benefits And Accrued L.</t>
  </si>
  <si>
    <t>For The Purpose Of Funding The Monetary Value Of Accrued But Unused Sick Leave, Personal Leave, Vacation Time, And Any Other Forms Of Payment Of Accrued But Unliquidated Time Earned By Employees.</t>
  </si>
  <si>
    <t>To Pay For Property Loss And Liability Claims Incurred.</t>
  </si>
  <si>
    <t>Reserve For Transportation</t>
  </si>
  <si>
    <t>For the purchase of District transportation vehicle</t>
  </si>
  <si>
    <t>The Capitol Reserve For Transportation Is Used Finance The Purchase Of School Buses, Vehicles And Equipment That Would Be Eligible For Financing Under The Local Finance Law, And Costs Incidental There</t>
  </si>
  <si>
    <t>Reserve For Technology</t>
  </si>
  <si>
    <t>For the purchase of District technology</t>
  </si>
  <si>
    <t>Finance Acquisition And Installation Of Technology Equipment That Would Be Eligible For Financing Under The Local Finance Law, And Costs Incidental Thereto.</t>
  </si>
  <si>
    <t>Reserve For Reserve For Equipment</t>
  </si>
  <si>
    <t>For the purchase of District equipment</t>
  </si>
  <si>
    <t>Finance Acquisition And Installation Of Equipment That Would Be Eligible For Financing Under The Local Finance Law.</t>
  </si>
  <si>
    <t>The Repair Reserve Fund Is Used To Pay The Cost Of Repairs To Capital Improvements Or Equipment, Which Repairs Are Of A Type Not Recurring Annually Or At Shorter Intervals.</t>
  </si>
  <si>
    <t>Financing Retirement Contributions Made To The Ny State And Local Employees' Retirement System.</t>
  </si>
  <si>
    <t>Pays Judgments And Claims Resulting From Tax Certiorari Proceedings Under Article 7 Of The Real Property Tax Law.</t>
  </si>
  <si>
    <t>To Fund Workers� Compensation Expenses, Related Medical Expenses, And Self-Insurance Administrative Costs.</t>
  </si>
  <si>
    <t>572301</t>
  </si>
  <si>
    <t>PRATTSBURGH CSD</t>
  </si>
  <si>
    <t>Increase Via Voter Referendum Transfer From Repair Reserve</t>
  </si>
  <si>
    <t>Decrease Via Voter Referendum Transfer To Capital Reserve</t>
  </si>
  <si>
    <t>Tax Certoirari</t>
  </si>
  <si>
    <t>572702</t>
  </si>
  <si>
    <t>JASPER-TROUPSBURG CSD</t>
  </si>
  <si>
    <t>For The Payment Of Accrued Employee Benefits Due To Employees Upon Termination Of Service.</t>
  </si>
  <si>
    <t>A Reserve Fund For Tax Certiorari Settlements.</t>
  </si>
  <si>
    <t>To Pay The Cost Of Reimbursement For The District'S Workers Compensation Expense.</t>
  </si>
  <si>
    <t>572901</t>
  </si>
  <si>
    <t>HAMMONDSPORT CSD</t>
  </si>
  <si>
    <t>Fund The Cost Of Any Object Or Purpose For Which Bonds May Be Issued In The Area Of Transportation Such As Buses, Vans, And Other School Vehicles Used To Transport Students</t>
  </si>
  <si>
    <t>Fund The Cost Of Any Object Or Purpose For Which Bonds May Be Issued In The Area Of Information/Audiovisual Technology Equipment And Supplies</t>
  </si>
  <si>
    <t>Debt Serv Reserve</t>
  </si>
  <si>
    <t>5685 Was Appropriated 7/1/17 As Mandated By The Retirement Of Outstanding Obligations From The Sale Of A Building</t>
  </si>
  <si>
    <t>Used To Pay For Unused Accumulated Leave Time Contractually Provided To Certain Groups Of Employees And Applied To Future Health Insurance Costs Incurred By The Retiree</t>
  </si>
  <si>
    <t>Unanticipated Non-Recurring Repairs To District</t>
  </si>
  <si>
    <t>To Pay For District Expenses To Nys Employee'S Retirement System Only</t>
  </si>
  <si>
    <t>To Reimburse The State For Payments Made To Claimants As The District Is Self Insured</t>
  </si>
  <si>
    <t>Used To Pay For Actual Worker'S Comp Claims, Related Medical Exp And Self-Insurance Administrative Costs It Cannot Be Used To Pay For Workers Comp Ins Premiums</t>
  </si>
  <si>
    <t>573002</t>
  </si>
  <si>
    <t>WAYLAND-COHOCTON CSD</t>
  </si>
  <si>
    <t>Vehicle &amp; Equipment Reserve</t>
  </si>
  <si>
    <t>Purchase Of Buses And Equipment As Per Budget Vote May 2018</t>
  </si>
  <si>
    <t>Offset Local Share Of Debt Service Payments</t>
  </si>
  <si>
    <t>Employee Benefit And Accrued Liability</t>
  </si>
  <si>
    <t>To Cover Accrued Benefits For Retired Employees</t>
  </si>
  <si>
    <t>Unforeseen Repairs Or Claims Not Covered By Commercial Insurance</t>
  </si>
  <si>
    <t>Unforeseen Liability Claims Not Covered By Other Insurance</t>
  </si>
  <si>
    <t>Roof Repair Reserve</t>
  </si>
  <si>
    <t>For Employer Retirement Contributions</t>
  </si>
  <si>
    <t>Pay Unemployment Quarterly Claim Payments</t>
  </si>
  <si>
    <t>580101</t>
  </si>
  <si>
    <t>BABYLON UFSD</t>
  </si>
  <si>
    <t>The District Has No Plans To Access Capital Reserve Funds In 18-19.</t>
  </si>
  <si>
    <t>The District Plans To Use Approximately $50,000 To Offset 18-19 Expenses.</t>
  </si>
  <si>
    <t>Retirement Contributions Reserve Fund</t>
  </si>
  <si>
    <t>The District Plans To Use Approximately $250,000 To Offset 18-19 Expenditures.</t>
  </si>
  <si>
    <t>The District Plans To Use Approximately $100,000 From Reserve To Offset 18-19 Expenses.</t>
  </si>
  <si>
    <t>580102</t>
  </si>
  <si>
    <t>WEST BABYLON UFSD</t>
  </si>
  <si>
    <t>Retiree Payout Of Accrued Sick, Vacation And Personal Days $350,000</t>
  </si>
  <si>
    <t>Advance</t>
  </si>
  <si>
    <t>Assigned reserve for food service program operating deficit</t>
  </si>
  <si>
    <t>State And Local Employees' Retirement System Expenditures $1,200,000</t>
  </si>
  <si>
    <t>Unemployment Expenditures $10,000</t>
  </si>
  <si>
    <t>Workers Compensation Ins</t>
  </si>
  <si>
    <t>Workers Compensation Expenditures $500,000</t>
  </si>
  <si>
    <t>580103</t>
  </si>
  <si>
    <t>NORTH BABYLON UFSD</t>
  </si>
  <si>
    <t>Replacement Of Playgrounds, Interior Doors, Auditorium Sound System, Theatrical Lights And House Lights At The H.S. New Trailer At Bus Garage</t>
  </si>
  <si>
    <t>To Offset Tax Levy</t>
  </si>
  <si>
    <t>Reserve For Retirement-Ers</t>
  </si>
  <si>
    <t>Reserve For Workers Com[</t>
  </si>
  <si>
    <t>580104</t>
  </si>
  <si>
    <t>LINDENHURST UFSD</t>
  </si>
  <si>
    <t>Estimated Annual Expenditure ($2,000,000)</t>
  </si>
  <si>
    <t>Estimated Annual Expenditure ($393,000)</t>
  </si>
  <si>
    <t>Estimated Annual Expenditure ($920,000)</t>
  </si>
  <si>
    <t>580105</t>
  </si>
  <si>
    <t>COPIAGUE UFSD</t>
  </si>
  <si>
    <t>450000</t>
  </si>
  <si>
    <t>580106</t>
  </si>
  <si>
    <t>AMITYVILLE UFSD</t>
  </si>
  <si>
    <t>For debt service payments on outstanding obligations.</t>
  </si>
  <si>
    <t>Plan To Use 500,000</t>
  </si>
  <si>
    <t>580107</t>
  </si>
  <si>
    <t>Plan To Use $400,000 To Offset Future Employee Benefit Expenses</t>
  </si>
  <si>
    <t>Plan To Use $90,000 To Offset Ers Contributions</t>
  </si>
  <si>
    <t>Plan To Use $40,000 To Offset Unemployment Expenses</t>
  </si>
  <si>
    <t>Plan To Use $161,306 To Offset Workers Compensation Expenses</t>
  </si>
  <si>
    <t>580109</t>
  </si>
  <si>
    <t>580201</t>
  </si>
  <si>
    <t>THREE VILLAGE CSD</t>
  </si>
  <si>
    <t>Plan To Use $500,000 For Retiree Sick &amp; Vacation Payout</t>
  </si>
  <si>
    <t>Plan To Use $500,000 To Offset Nysers Cost</t>
  </si>
  <si>
    <t>580203</t>
  </si>
  <si>
    <t>BROOKHAVEN-COMSEWOGUE UFSD</t>
  </si>
  <si>
    <t>Employee Sick,Vacation</t>
  </si>
  <si>
    <t>Reserve For Encumbr</t>
  </si>
  <si>
    <t>Outstanding Orders 6/30</t>
  </si>
  <si>
    <t>For Excess Unemployment Claims Filed</t>
  </si>
  <si>
    <t>Restricted For Workers Comp</t>
  </si>
  <si>
    <t>For Open Claims Filed For Workers Comp</t>
  </si>
  <si>
    <t>580205</t>
  </si>
  <si>
    <t>SACHEM CSD</t>
  </si>
  <si>
    <t>Contingency To Pay For Benefits Owed To Retirees Upon Separation.</t>
  </si>
  <si>
    <t>Retirement Contribution Reserve (Ers)</t>
  </si>
  <si>
    <t>Contingency To Pay For Employer Contribution Payments To The State And Local Employees' Retirement System.</t>
  </si>
  <si>
    <t>Contingency To Pay For Workers' Compensation Claims.</t>
  </si>
  <si>
    <t>580206</t>
  </si>
  <si>
    <t>PORT JEFFERSON UFSD</t>
  </si>
  <si>
    <t>A878</t>
  </si>
  <si>
    <t>This Reserve Will Be Used Only Upon Voter Approval For Specific Expenditures I.E. Roof Replacement, Facility Construction.  $1,056,000 Is Planned For Roof Replacement At The High School In 2018/2019</t>
  </si>
  <si>
    <t>This Reserve Will Be Used When An Employee Separates From The District And Payment Of Accumulated Leave Is Required. The District Has Allocated $100,000 Of The Reserve For This Purpose In 2018/2019</t>
  </si>
  <si>
    <t>A827</t>
  </si>
  <si>
    <t>This Reserve Will Be Used To Pay A Portion ($175,000) Of The District Expenses To The New York State And Local Employees' Retirement System (Ers).</t>
  </si>
  <si>
    <t>A882U</t>
  </si>
  <si>
    <t>This Reserve Will Be Used To Cover The Districts' Financial Obligation To Pay Unemployment Benefits Which Either Come Up Unexpectedly Or In Lieu Of The District Making An Annual Appropriation In Its B</t>
  </si>
  <si>
    <t>A814</t>
  </si>
  <si>
    <t>This Reserve Will Be Used If There Is A Need To Satisfy Any Of The District'S Larger Workers' Compensation Claims. Currently There Is No Planned Use For 2018/2019.</t>
  </si>
  <si>
    <t>580207</t>
  </si>
  <si>
    <t>MT SINAI UFSD</t>
  </si>
  <si>
    <t>Cap Reserve</t>
  </si>
  <si>
    <t>Proposition To Establish On 5/15/18</t>
  </si>
  <si>
    <t>Ds</t>
  </si>
  <si>
    <t>Use For Payment Of Accrued Unused Sick Days Retiring Employees</t>
  </si>
  <si>
    <t>Used To Fund The 2018/19 Budget</t>
  </si>
  <si>
    <t>Use Dependent On Actual Year End Self Insured Wc Liability</t>
  </si>
  <si>
    <t>580208</t>
  </si>
  <si>
    <t>MILLER PLACE UFSD</t>
  </si>
  <si>
    <t>Dependent Upon 17-18 Retirements;Boe May Vote To Approve Add'L Funding.</t>
  </si>
  <si>
    <t>No Usage Is Projected At This Time. Boe May Vote To Approve Add'L Funding.</t>
  </si>
  <si>
    <t>Use Of $582,000 Possible; Boe May Vote To Approve Add'L Funding.</t>
  </si>
  <si>
    <t>Use Of $50,000 Possible. Boe May Vote To Approve Add'L Funding.</t>
  </si>
  <si>
    <t>Reserve For Workers' Comp</t>
  </si>
  <si>
    <t>580209</t>
  </si>
  <si>
    <t>ROCKY POINT UFSD</t>
  </si>
  <si>
    <t>22801</t>
  </si>
  <si>
    <t>583000</t>
  </si>
  <si>
    <t>1045009</t>
  </si>
  <si>
    <t>580211</t>
  </si>
  <si>
    <t>MIDDLE COUNTRY CSD</t>
  </si>
  <si>
    <t>Emp Benefit Accrued Liability</t>
  </si>
  <si>
    <t>To Fund For Employee Benefit Expenses</t>
  </si>
  <si>
    <t>To Fund For Any Uninsured Losses</t>
  </si>
  <si>
    <t>To Fund For Material Liability Claims</t>
  </si>
  <si>
    <t>To Fund For Uninsured Material Property Loss</t>
  </si>
  <si>
    <t>To Fund For Ers Retirement Expenses</t>
  </si>
  <si>
    <t>To Fund Unemployment Insurance Expense</t>
  </si>
  <si>
    <t>To Fund Workers Compensation Expense</t>
  </si>
  <si>
    <t>580212</t>
  </si>
  <si>
    <t>LONGWOOD CSD</t>
  </si>
  <si>
    <t>No Planned Use For 18-19</t>
  </si>
  <si>
    <t>No Planned Use Of Funds For 18-19</t>
  </si>
  <si>
    <t>Employee Benefits And Accrued Libility Reserve</t>
  </si>
  <si>
    <t>$650,000 Appropriated And Is Planned To Be Used To Offset Costs Associated With Employee Retirements</t>
  </si>
  <si>
    <t>Libility Reserve</t>
  </si>
  <si>
    <t>No Planned Use Of Funds In 18-19</t>
  </si>
  <si>
    <t>$700,000 Appropriated And Is Planned To Be Used To Offset Employee Retirement System Costs</t>
  </si>
  <si>
    <t>$50,00 Appropriated And Will Be Used To Offset Unemployment Costs In 18-19</t>
  </si>
  <si>
    <t>$200,000 Appropriated And Will Be Used To Offset Worker'S Comp Costs In 18-19</t>
  </si>
  <si>
    <t>580224</t>
  </si>
  <si>
    <t>PATCHOGUE-MEDFORD UFSD</t>
  </si>
  <si>
    <t>Capital Reserve Fund 2018</t>
  </si>
  <si>
    <t>The District Has Proposed Establishing  A New Capital Reserve Fund Not To Exceed $15 Million Dollars To Be Voted Upon On May 15, 2018. $4.6M Is The Proposed Funding Amount At 6/30/18.</t>
  </si>
  <si>
    <t>To Provide A Safety Net For The District To Cover Larger Than Anticipated Retiree Payouts Which Exceed Budgetary Allocations.</t>
  </si>
  <si>
    <t>To Provide A Safety Net For The District In The Event That An Unusually Large Claim Is Paid In A Given Year.</t>
  </si>
  <si>
    <t>To Provide A Safety Net For The District To Cover Fluctuations In The Ers Contribution Rates.</t>
  </si>
  <si>
    <t>580232</t>
  </si>
  <si>
    <t>WILLIAM FLOYD UFSD</t>
  </si>
  <si>
    <t>$2,500,000 - Voter Approved Capital Project</t>
  </si>
  <si>
    <t>$775,000 - To Pay Accrued Benefits</t>
  </si>
  <si>
    <t>Under Review And Will Be Reallocating If Necessary</t>
  </si>
  <si>
    <t>Repair Reserve 2015</t>
  </si>
  <si>
    <t>$525,000 - Expected Boe Approved Repairs</t>
  </si>
  <si>
    <t>$2,000,000 - To Pay Ers</t>
  </si>
  <si>
    <t>$50,000 - Towards Payments</t>
  </si>
  <si>
    <t>$750,000 - Towards Annual Payment</t>
  </si>
  <si>
    <t>580233</t>
  </si>
  <si>
    <t>CENTER MORICHES UFSD</t>
  </si>
  <si>
    <t>To Reduce Debt Service Payment</t>
  </si>
  <si>
    <t>Provide For Payout Of Compensated Absenses</t>
  </si>
  <si>
    <t>To Provide For Potential Liability Claims</t>
  </si>
  <si>
    <t>Unanticipated Repairs</t>
  </si>
  <si>
    <t>To Offset Increased Ers Employer Contributions</t>
  </si>
  <si>
    <t>Unanticipated Unemployment Costs</t>
  </si>
  <si>
    <t>580234</t>
  </si>
  <si>
    <t>EAST MORICHES UFSD</t>
  </si>
  <si>
    <t>Middle School Capital Project</t>
  </si>
  <si>
    <t>To Pay For The Middle School Capital Project As Approved By The Voters On May 16, 2017.</t>
  </si>
  <si>
    <t>To Fund The District'S Liability Due To Employees.</t>
  </si>
  <si>
    <t>na</t>
  </si>
  <si>
    <t>To Provide Funding For Unanticipated Ers Expenses.</t>
  </si>
  <si>
    <t>To Provide Funding For Unanticipated Unemployment Expenses.</t>
  </si>
  <si>
    <t>To Provide Funding For Unanticipated Workers' Compensation Expenses.</t>
  </si>
  <si>
    <t>580235</t>
  </si>
  <si>
    <t>SOUTH COUNTRY CSD</t>
  </si>
  <si>
    <t>To Fund A Ballot Resolution For Capital Work At Fpl Intermediate School</t>
  </si>
  <si>
    <t>To Offset Debt Service Expenses</t>
  </si>
  <si>
    <t>Employee Benefit And Accrued Liability Reseve</t>
  </si>
  <si>
    <t>To Offset Costs Of Sick Day Awards For Retirees, Per Contract, And Identified By End Of Fiscal Year.</t>
  </si>
  <si>
    <t>No Scheduled Use, Unless Loss Occurs During Year That Is Not Covered By Umbrella Policy.</t>
  </si>
  <si>
    <t>To Offset Ers Costs, As Included In The Budget And Revenue Lines.</t>
  </si>
  <si>
    <t>Unemployment Insurane Reserve</t>
  </si>
  <si>
    <t>No Scheduled Use</t>
  </si>
  <si>
    <t>To Offset Workers Comp Insurance Claims, Awards And Settlements, As Included In The Budget And Revenue Lines.</t>
  </si>
  <si>
    <t>580301</t>
  </si>
  <si>
    <t>EAST HAMPTON UFSD</t>
  </si>
  <si>
    <t>Probably Not</t>
  </si>
  <si>
    <t>Yes, For Sick Days Pay Out Upon Retirement</t>
  </si>
  <si>
    <t>580302</t>
  </si>
  <si>
    <t>WAINSCOTT COMN SD</t>
  </si>
  <si>
    <t>580303</t>
  </si>
  <si>
    <t>AMAGANSETT UFSD</t>
  </si>
  <si>
    <t>$207,000 Purchase And Install Technology Systems And Purchase A New Bus</t>
  </si>
  <si>
    <t>Employees Retiring</t>
  </si>
  <si>
    <t>$140,000 Is Appropriated To Offset The Payments To The Employee Retirement System</t>
  </si>
  <si>
    <t>$20,000 Is Appropriated To Offset The Payments For Workers' Compensation Costs</t>
  </si>
  <si>
    <t>580304</t>
  </si>
  <si>
    <t>SPRINGS UFSD</t>
  </si>
  <si>
    <t>Startup Of Capital Project</t>
  </si>
  <si>
    <t>Employment Benefits Reserve</t>
  </si>
  <si>
    <t>For Future Employee Benefits To Retirees</t>
  </si>
  <si>
    <t>Emergency Repairs To Buildings And Grounds</t>
  </si>
  <si>
    <t>Retirement Contributions Due For Prior Employee Service</t>
  </si>
  <si>
    <t>Excess Unemployment Claims</t>
  </si>
  <si>
    <t>Workers Comp Claims</t>
  </si>
  <si>
    <t>580305</t>
  </si>
  <si>
    <t>SAG HARBOR UFSD</t>
  </si>
  <si>
    <t>$345,000</t>
  </si>
  <si>
    <t>Fleet Capital Reserve</t>
  </si>
  <si>
    <t>To fund future bus replacements</t>
  </si>
  <si>
    <t>$500,000</t>
  </si>
  <si>
    <t>580306</t>
  </si>
  <si>
    <t>MONTAUK UFSD</t>
  </si>
  <si>
    <t>Employee Benefits Al</t>
  </si>
  <si>
    <t>To Pay Accrued Sick Time For Possible Retirees</t>
  </si>
  <si>
    <t>To Be Used To Reduce The Cost Of Ers Payments</t>
  </si>
  <si>
    <t>Workers' Compensatio</t>
  </si>
  <si>
    <t>To Be Used For Unexpected Large Claims</t>
  </si>
  <si>
    <t>580401</t>
  </si>
  <si>
    <t>ELWOOD UFSD</t>
  </si>
  <si>
    <t>Facilities Imp Plan 2018</t>
  </si>
  <si>
    <t>Establishment Of Reserve Requires Voter Approval May 15, 2018. If Approved We Intend To Start Funding The Reserve By 6/30/2018.</t>
  </si>
  <si>
    <t>823,490 Will Be Used To Offset The Annual Cost Of Employee Retirement Expenditure For 2018/19 School Year.</t>
  </si>
  <si>
    <t>580402</t>
  </si>
  <si>
    <t>COLD SPRING HARBOR CSD</t>
  </si>
  <si>
    <t>Capital Reserve Iii</t>
  </si>
  <si>
    <t>$575,000 Proposed On May 2018 Ballot To Be Used For Capital Projects.  Estimate Includes Depositing Additional Funds Unused At The End Of The Fiscal Year.</t>
  </si>
  <si>
    <t>Emp. Benefit Acc. Liab. Res.</t>
  </si>
  <si>
    <t>$250,000 Appropriated To Pay Unused Sick Leave Benefit To Retiring Staff, As Per Collective Bargaining Agreements.</t>
  </si>
  <si>
    <t>Retirement Contribution Res.</t>
  </si>
  <si>
    <t>To Be Used In A Future Fiscal Year To Offset Increases In The Required Employer Contribution Rate For The Ers System.</t>
  </si>
  <si>
    <t>If Necessary, To Fund Unemployment Insurance Claims That Exceed Initial General Fund Allocation.</t>
  </si>
  <si>
    <t>If Necessary, To Fund Workers' Compensation Claims That Exceed Initial General Fund Allocation.</t>
  </si>
  <si>
    <t>580403</t>
  </si>
  <si>
    <t>HUNTINGTON UFSD</t>
  </si>
  <si>
    <t>No Planned Use For 18-19.</t>
  </si>
  <si>
    <t>2013 Capital Reserve</t>
  </si>
  <si>
    <t>$6,765,168 Will Be Appropriated Towards The Replacement Of 3 Roofs, Replacement Of Boilers, Replacement Of Roll-Up Doors, Repair/Replace Parking Lot And Curb, And Replacement Of Seats/Tile In A Lga Rm</t>
  </si>
  <si>
    <t>$385,832 Will Be Appropriated For The Construction Of Two Security Vestibules, Tile Work In 17 Bathrooms, And Replacement Of Seats/Tile In A Lga Rm.</t>
  </si>
  <si>
    <t>New Reserve.  Will Be Funded By The Balance In Repair Reserve And Other Approved Boe Sources.</t>
  </si>
  <si>
    <t>$400,000 Has Been Appropriated For Payment Of Accrued Leave Time When An Employee Leaves The District.</t>
  </si>
  <si>
    <t>The Balance In This Reserve Will Be Transferred To The 2018 Capital Reserve For Future Building Improvements.</t>
  </si>
  <si>
    <t>$890,000 Has Been Appropriated To Pay For District Expenses To The Nys Employees Retirement System</t>
  </si>
  <si>
    <t>Unemployment Insurance Repayment Reserve</t>
  </si>
  <si>
    <t>$50,000 Has Been Appropriated For Reimbursement To The State Unemployment Insurance Fund.</t>
  </si>
  <si>
    <t>$600,000 Has Been Appropriated For Workers' Compensation Claims Related To Medical Expenses And Self-Insurance Obligations.</t>
  </si>
  <si>
    <t>580404</t>
  </si>
  <si>
    <t>NORTHPORT-EAST NORTHPORT UFSD</t>
  </si>
  <si>
    <t>No Plans To Use 2008 Reserve During 18-19</t>
  </si>
  <si>
    <t>Capital Reserve 2012</t>
  </si>
  <si>
    <t>May 2018 Proposition To Expend $900,000 From This Reserve.  Plan To Fund Reserve Approximately $1,000,000 At June 30, 2018</t>
  </si>
  <si>
    <t>May 2018 Proposition To Establish New Capital Reserve; Plan To Fund By Approximately $750,000 At June 30, 2018</t>
  </si>
  <si>
    <t>Plan To Appropriate $50,000 During 18-19</t>
  </si>
  <si>
    <t>No Plans To Use Reserve During 18-19</t>
  </si>
  <si>
    <t>Plan To Appropriate $89,969 During 18-19</t>
  </si>
  <si>
    <t>Plan To Appropriate $5,000 During 18-19</t>
  </si>
  <si>
    <t>Plan To Appropriate $90,000 During 18-19</t>
  </si>
  <si>
    <t>580405</t>
  </si>
  <si>
    <t>HALF HOLLOW HILLS CSD</t>
  </si>
  <si>
    <t>1,685,116</t>
  </si>
  <si>
    <t>4,931,551</t>
  </si>
  <si>
    <t>1,100,000</t>
  </si>
  <si>
    <t>580406</t>
  </si>
  <si>
    <t>HARBORFIELDS CSD</t>
  </si>
  <si>
    <t>Roof Window Masonry Repl</t>
  </si>
  <si>
    <t>None For 2018-2019</t>
  </si>
  <si>
    <t>Reserve For Employee Bene. A/L</t>
  </si>
  <si>
    <t>Payment Of Accrued Employee Benefits Due Employees Upon Termination Of Service</t>
  </si>
  <si>
    <t>Reserve For Retirement Contributons</t>
  </si>
  <si>
    <t>To Fund Employer Retirement Contributions_x000D_
To Fund Employer Retirement Contributions</t>
  </si>
  <si>
    <t>Reimbursement To The State Unemployment Insurance Fund</t>
  </si>
  <si>
    <t>580410</t>
  </si>
  <si>
    <t>COMMACK UFSD</t>
  </si>
  <si>
    <t>Reserve Employee Benefits/Accrued Liability</t>
  </si>
  <si>
    <t>580413</t>
  </si>
  <si>
    <t>SOUTH HUNTINGTON UFSD</t>
  </si>
  <si>
    <t>$650,000 To Offset The District'S Terminal Leave Payments To Retiring Employees.</t>
  </si>
  <si>
    <t>$3,000,000 To Offset The District'S Employee Retirement System Contributions.</t>
  </si>
  <si>
    <t>Unemployment  Insurance Reserve</t>
  </si>
  <si>
    <t>$600,000 To Offset The District'S Workers Compensation Expenses.</t>
  </si>
  <si>
    <t>580501</t>
  </si>
  <si>
    <t>Terminal Leave Payments.</t>
  </si>
  <si>
    <t>Uninsured Losses.</t>
  </si>
  <si>
    <t>Nys Ers Retirement Contributions.</t>
  </si>
  <si>
    <t>Fund Unemployment Claims.</t>
  </si>
  <si>
    <t>Workers Compensation Benefits And Expenses.</t>
  </si>
  <si>
    <t>580502</t>
  </si>
  <si>
    <t>ISLIP UFSD</t>
  </si>
  <si>
    <t>Fund Contractual Accrued Liabilities</t>
  </si>
  <si>
    <t>Fund Employer Retirement Contributions</t>
  </si>
  <si>
    <t>Fund Self Insured Wc Program</t>
  </si>
  <si>
    <t>580503</t>
  </si>
  <si>
    <t>EAST ISLIP UFSD</t>
  </si>
  <si>
    <t>Vote To Appropriate $2,000,000 This Year.  Fund Additional $2,000,000 At Year End.</t>
  </si>
  <si>
    <t>No Planned Usage In 2018/19.</t>
  </si>
  <si>
    <t>Planned Usage Of $130,000 To Support 2018/19 Budget.</t>
  </si>
  <si>
    <t>580504</t>
  </si>
  <si>
    <t>SAYVILLE UFSD</t>
  </si>
  <si>
    <t>Reserve For Library Debt</t>
  </si>
  <si>
    <t>To Pay Down Public Library Debt Due To Excess Debt Borrowings Over Construction Costs</t>
  </si>
  <si>
    <t>To Provide For Retiree Contractual Payout Of Accumulated Sick Pay</t>
  </si>
  <si>
    <t>To Off-Set Districtwide Ers Costs</t>
  </si>
  <si>
    <t>Annual Use Of Sale Proceeds From Building Sales</t>
  </si>
  <si>
    <t>To Off-Set Self Insured Unemployment Costs</t>
  </si>
  <si>
    <t>To Off-Set Workers Comp Self-Insured Costs</t>
  </si>
  <si>
    <t>580505</t>
  </si>
  <si>
    <t>BAYPORT-BLUE POINT UFSD</t>
  </si>
  <si>
    <t>Restricted For Employee Benefit Accrued Liability</t>
  </si>
  <si>
    <t>Restricted For Retirement Contributions</t>
  </si>
  <si>
    <t>Restricted For Workers' Compensation</t>
  </si>
  <si>
    <t>580506</t>
  </si>
  <si>
    <t>Capital Reserve For Repair And Rehabilitation I</t>
  </si>
  <si>
    <t>To Fund A Portion Of The Replacement Of The Forest Brook Elementary Roof. Requires 2Nd Proposition At May Vote.</t>
  </si>
  <si>
    <t>Capital Reserve For Repair And Rehabilitation Ii</t>
  </si>
  <si>
    <t>To Fund A Portion Of The Replacement Of The Forest Brook Elementary Roof And District Wide Bathroom Reconstruction.  Requires 2Nd Proposition At May Vote.</t>
  </si>
  <si>
    <t>For Use On An As Needed Basis.</t>
  </si>
  <si>
    <t>580507</t>
  </si>
  <si>
    <t>Capital Project Pending Voter Authorization</t>
  </si>
  <si>
    <t>Appropriate $300,000 To Fund Budget</t>
  </si>
  <si>
    <t>Appropriate $2,915,000 To Fund Budget</t>
  </si>
  <si>
    <t>Appropriate $15,000 To Fund Budget</t>
  </si>
  <si>
    <t>Workers _x000D_
Compensation Reserve</t>
  </si>
  <si>
    <t>Appropriate $1,100,000 To Fund Budget</t>
  </si>
  <si>
    <t>580509</t>
  </si>
  <si>
    <t>WEST ISLIP UFSD</t>
  </si>
  <si>
    <t>Retiree Accrued Benefits</t>
  </si>
  <si>
    <t>Ers Expense</t>
  </si>
  <si>
    <t>Unanticipated Unemployment Fees</t>
  </si>
  <si>
    <t>Excess Awards_x000D_
Excess Awards</t>
  </si>
  <si>
    <t>580512</t>
  </si>
  <si>
    <t>A 830</t>
  </si>
  <si>
    <t>May Be Used To Pay For Accruals Due Employees Upon Separation.</t>
  </si>
  <si>
    <t>A 863</t>
  </si>
  <si>
    <t>May Be Used To Cover Unanticipated Liability Claims</t>
  </si>
  <si>
    <t>A 827</t>
  </si>
  <si>
    <t>May Be Used For Retirement Contributions For Ers.</t>
  </si>
  <si>
    <t>A 815</t>
  </si>
  <si>
    <t>May Be Used For Unemployment Claims</t>
  </si>
  <si>
    <t>A 814</t>
  </si>
  <si>
    <t>May Be Used For Self Insured Workers Comp Claims</t>
  </si>
  <si>
    <t>580513</t>
  </si>
  <si>
    <t>CENTRAL ISLIP UFSD</t>
  </si>
  <si>
    <t>Employee Benifit Accrued Liability</t>
  </si>
  <si>
    <t>Intended To Use For Terminal Leave Payments For An Estimated 25-30 Employees.</t>
  </si>
  <si>
    <t>Liabillity</t>
  </si>
  <si>
    <t>580514</t>
  </si>
  <si>
    <t>FIRE ISLAND UFSD</t>
  </si>
  <si>
    <t>Cafeteria Floor</t>
  </si>
  <si>
    <t>Accrued Liability</t>
  </si>
  <si>
    <t>Emergency Repairs (Wind, Ice And Flooding)</t>
  </si>
  <si>
    <t>Workers Compensation Premium And Claims</t>
  </si>
  <si>
    <t>580601</t>
  </si>
  <si>
    <t>SHOREHAM-WADING RIVER CSD</t>
  </si>
  <si>
    <t>550000</t>
  </si>
  <si>
    <t>Tax Stabilization Reserve</t>
  </si>
  <si>
    <t>104000</t>
  </si>
  <si>
    <t>170000</t>
  </si>
  <si>
    <t>580602</t>
  </si>
  <si>
    <t>RIVERHEAD CSD</t>
  </si>
  <si>
    <t>$16,063 As A Revenue Source.</t>
  </si>
  <si>
    <t>For Compensated Absences, As Needed.</t>
  </si>
  <si>
    <t>For Repair Cost, As Approved By The Board.</t>
  </si>
  <si>
    <t>$300,000 As A Revenue Source.</t>
  </si>
  <si>
    <t>$100,000 As A Revenue Source.</t>
  </si>
  <si>
    <t>Worker'S Comp</t>
  </si>
  <si>
    <t>$400,000 As A Revenue Source.</t>
  </si>
  <si>
    <t>580701</t>
  </si>
  <si>
    <t>SHELTER ISLAND UFSD</t>
  </si>
  <si>
    <t>580801</t>
  </si>
  <si>
    <t>SMITHTOWN CSD</t>
  </si>
  <si>
    <t>Seeking May 15, 2018 Voter Approval To Transfer To Capital Fund For 2018-19</t>
  </si>
  <si>
    <t>Post Employments Benefits</t>
  </si>
  <si>
    <t>L/T Disability</t>
  </si>
  <si>
    <t>Dental Reserve (Self Insured)</t>
  </si>
  <si>
    <t>Life Insurance (Self Insured)</t>
  </si>
  <si>
    <t>Appropriating $200,000 To Offset Unemployment Expenses</t>
  </si>
  <si>
    <t>580805</t>
  </si>
  <si>
    <t>$250,000 As Revenue Source For _x000D_
Debt Service Expenses, Thus Reducing Tax Levy Amount</t>
  </si>
  <si>
    <t>$250,000 As Revenue Source For Compensated Absence Expenses</t>
  </si>
  <si>
    <t>$250,000 As Revenue Source For  Workers' Compensation Expenses</t>
  </si>
  <si>
    <t>580901</t>
  </si>
  <si>
    <t>REMSENBURG-SPEONK UFSD</t>
  </si>
  <si>
    <t>Capital Reserve - 2004</t>
  </si>
  <si>
    <t>Will Not Be Used.  Will Hold For Future Capital Projects</t>
  </si>
  <si>
    <t>Capital Reserve - 2017</t>
  </si>
  <si>
    <t>Will Continue To Fund For Future Capital Projects</t>
  </si>
  <si>
    <t>May Be Used For Emergency Repairs To Facilities</t>
  </si>
  <si>
    <t>Not Intended For Use.</t>
  </si>
  <si>
    <t>May Be Used If Needed For Unemployment Insurance Claim</t>
  </si>
  <si>
    <t>May Be Used If Needed For Worker'S Compensation Claims</t>
  </si>
  <si>
    <t>580902</t>
  </si>
  <si>
    <t>WESTHAMPTON BEACH UFSD</t>
  </si>
  <si>
    <t>The District Has Budgeted To Use $150,000</t>
  </si>
  <si>
    <t>The District Has Budgeted To Use $527,657</t>
  </si>
  <si>
    <t>The District Has Budgeted To Use 130,600</t>
  </si>
  <si>
    <t>The District Has Budgeted To Use 40,000</t>
  </si>
  <si>
    <t>580903</t>
  </si>
  <si>
    <t>QUOGUE UFSD</t>
  </si>
  <si>
    <t>Retirement Contribution For Er</t>
  </si>
  <si>
    <t>580905</t>
  </si>
  <si>
    <t>HAMPTON BAYS UFSD</t>
  </si>
  <si>
    <t>Reserve For Rooves &amp; Hvac Upgrades Or Replacements</t>
  </si>
  <si>
    <t>Liability For Accrued Employee Benefits</t>
  </si>
  <si>
    <t>Unforeseen Excessive Ers Retirement Expenses</t>
  </si>
  <si>
    <t>Unforeseen Worker'S Compensation Expenses</t>
  </si>
  <si>
    <t>580906</t>
  </si>
  <si>
    <t>SOUTHAMPTON UFSD</t>
  </si>
  <si>
    <t>Capital Reserve  Ten Year 2027</t>
  </si>
  <si>
    <t>Reserve For Anticipated Construction And/Or Facility Upgrades To District Properties In Lieu Of Issuing New Bonds</t>
  </si>
  <si>
    <t>Capital Reserve  Ten Year 2017</t>
  </si>
  <si>
    <t>Capital Reserve Property</t>
  </si>
  <si>
    <t>To Purchase A New District Office And Any Associated Costs For Upgrading And Retrofitting The Property</t>
  </si>
  <si>
    <t>Capital Reserve Bus Fleet</t>
  </si>
  <si>
    <t>Funds To Be Used For Supplementing The Annual Purchase Of New Buses For The District Fleet</t>
  </si>
  <si>
    <t>To Supplement The Costs Of Minor Facility Repairs During The Course Of The Year.</t>
  </si>
  <si>
    <t>To Fund Employer Retirement Contributions. I.E. Any Portion Of The Amount(S) Payable By An Eligible School District To The Ny State And Local Employees� Retirement System (Ers), But Not Trs</t>
  </si>
  <si>
    <t>To Supplement Potential Costs Of Unemployment Insurance Beyond The Yearly Budget Appropriated Amount</t>
  </si>
  <si>
    <t>To Supplement Additional Costs Of Workers Compensation Expenses, Related Medical Expenses And Self-Insurance Administrative Costs.</t>
  </si>
  <si>
    <t>580909</t>
  </si>
  <si>
    <t>BRIDGEHAMPTON UFSD</t>
  </si>
  <si>
    <t>Reserve For Employee Ben &amp; Acc Liability</t>
  </si>
  <si>
    <t>Reserve For Employee Retirement</t>
  </si>
  <si>
    <t>We Are Planning To Appropriate $160,000 From Reserve For Employee Retirement</t>
  </si>
  <si>
    <t>We Are Planning To Appropriate $14,736 From Reserve For Unemployment</t>
  </si>
  <si>
    <t>We Are Planning To Appropriate $44,000 From Reserve For Workers Compensation</t>
  </si>
  <si>
    <t>580910</t>
  </si>
  <si>
    <t>SAGAPONACK COMN SD</t>
  </si>
  <si>
    <t>580912</t>
  </si>
  <si>
    <t>EASTPORT-SOUTH MANOR CSD</t>
  </si>
  <si>
    <t>No Use Intended</t>
  </si>
  <si>
    <t>580913</t>
  </si>
  <si>
    <t>TUCKAHOE COMN SD</t>
  </si>
  <si>
    <t>Using $338,275 For Capital Improvement</t>
  </si>
  <si>
    <t>Using $100,000 For Unemployment Expenses</t>
  </si>
  <si>
    <t>Using $85,553 For Wc Expenses</t>
  </si>
  <si>
    <t>580917</t>
  </si>
  <si>
    <t>EAST QUOGUE UFSD</t>
  </si>
  <si>
    <t>Program 2017</t>
  </si>
  <si>
    <t>Program 2018</t>
  </si>
  <si>
    <t>Need Voter Approval</t>
  </si>
  <si>
    <t>Workers Comp.</t>
  </si>
  <si>
    <t>581002</t>
  </si>
  <si>
    <t>OYSTERPONDS UFSD</t>
  </si>
  <si>
    <t>No Intended Use Of This Reserve In 2018-2019.</t>
  </si>
  <si>
    <t>Reserved Emp Ben Accr Liab</t>
  </si>
  <si>
    <t>Reserved For Repairs</t>
  </si>
  <si>
    <t>Retirment Contrib Reserve</t>
  </si>
  <si>
    <t>Reserved For Workers Comp</t>
  </si>
  <si>
    <t>581005</t>
  </si>
  <si>
    <t>SOUTHOLD UFSD</t>
  </si>
  <si>
    <t>Pay For The Cost Of Future Capital Projects</t>
  </si>
  <si>
    <t>Pay For Employee Benefits Upon Termination Of Service</t>
  </si>
  <si>
    <t>Pay Liability, Casualty And Other Types Of Uninsured Losses</t>
  </si>
  <si>
    <t>Pay For The Cost Of Repairs To Capital Improvements Or Equipment. Typical Repairs Include Hvac, Plumbing, Masonry, Roof, Flooring And Lighting</t>
  </si>
  <si>
    <t>Pay For Employer Retirement Contribution To The State And Local Employees Retirement System</t>
  </si>
  <si>
    <t>Pay For The Cost Of Reimbursement To The State Unemployment Insurance Fund For Payments Made To Claimants</t>
  </si>
  <si>
    <t>Pay For Workers Compensation And Benefits Related To Medical And Hospital Expenses</t>
  </si>
  <si>
    <t>581010</t>
  </si>
  <si>
    <t>For The Cost Of Any Object Or Purpose For Which Bonds May Be Issued.</t>
  </si>
  <si>
    <t>For Liability, Casualty, And Other Types Of Uninsured Losses.</t>
  </si>
  <si>
    <t>For Reimbursement To The State Unemployment Insurance Fund</t>
  </si>
  <si>
    <t>For Self-Insured Workers Compensation And Benefits</t>
  </si>
  <si>
    <t>581012</t>
  </si>
  <si>
    <t>MATTITUCK-CUTCHOGUE UFSD</t>
  </si>
  <si>
    <t>Establishing Subject To Voter Approval In May 2018. No Use In 2018-2019</t>
  </si>
  <si>
    <t>120,574 Budgeted For 2018-2019 Use.</t>
  </si>
  <si>
    <t>2,500,000 To Be Used To Fund Capital Reserve Subject To May 2018 Vote.  275,000 Budgeted For 2018-2019 Use.</t>
  </si>
  <si>
    <t>500,000 To Be Used To Fund Capital Reserve Subject To May 2018 Vote. 10,523 Budgeted For 2018-2019 Use.</t>
  </si>
  <si>
    <t>75,000 Budgeted For 2018-2019 Use.</t>
  </si>
  <si>
    <t>590501</t>
  </si>
  <si>
    <t>FALLSBURG CSD</t>
  </si>
  <si>
    <t>Unanticipated; Will Depend On 2018-19 Retirements</t>
  </si>
  <si>
    <t>Not Anticipated; Would Need Unanticipated Repair</t>
  </si>
  <si>
    <t>Possible; Will Depend On Outstanding Claims</t>
  </si>
  <si>
    <t>Unanticipated; No Layoffs Are Anticipaed</t>
  </si>
  <si>
    <t>Not Anticipated; Would Be Used For Catastrophic Loss</t>
  </si>
  <si>
    <t>590801</t>
  </si>
  <si>
    <t>ELDRED CSD</t>
  </si>
  <si>
    <t>We Intend To Use The Funds For The Payment Of Unused Sick And Vacation Time Being Payed Out To The 10 Staff Members Who Were Cut.</t>
  </si>
  <si>
    <t>590901</t>
  </si>
  <si>
    <t>LIBERTY CSD</t>
  </si>
  <si>
    <t>Funds To Build Upon For Future Project</t>
  </si>
  <si>
    <t>Do Not Have The Need For This Fund</t>
  </si>
  <si>
    <t>Rsrv Empl Benefits Accr Liab</t>
  </si>
  <si>
    <t>Maintain Adequate Reserve</t>
  </si>
  <si>
    <t>Reserve Ins Recovery</t>
  </si>
  <si>
    <t>Do Not Have This Reserve Fund</t>
  </si>
  <si>
    <t>Island Grp Ret Reserve</t>
  </si>
  <si>
    <t>Do Not Have  This Reserve Fund</t>
  </si>
  <si>
    <t>Tax Redux Reserve</t>
  </si>
  <si>
    <t>Do Not Have A Need For This Reserve Fund</t>
  </si>
  <si>
    <t>591201</t>
  </si>
  <si>
    <t>Capital Fund 2016</t>
  </si>
  <si>
    <t>150,000 Closing Project</t>
  </si>
  <si>
    <t>75,000 Contractual Obligations To Retiring Employees</t>
  </si>
  <si>
    <t>50,000 Possible Well Repair</t>
  </si>
  <si>
    <t>20,000 Pay Claims For 18-19 Billing</t>
  </si>
  <si>
    <t>185,000 One Time Premium Payment</t>
  </si>
  <si>
    <t>591301</t>
  </si>
  <si>
    <t>ROSCOE CSD</t>
  </si>
  <si>
    <t>At This Time The District Does Not Anticipate Utilizing This Reserve In 2018-19</t>
  </si>
  <si>
    <t>If Needed For Payment Of Contractual Employee Benefits</t>
  </si>
  <si>
    <t>If Needed For Board Of Education Approved Emergency Repairs</t>
  </si>
  <si>
    <t>Payment For Required New York State Employee Retirement System Contribution</t>
  </si>
  <si>
    <t>591302</t>
  </si>
  <si>
    <t>LIVINGSTON MANOR CSD</t>
  </si>
  <si>
    <t>At The Present Time The District Has No Plans To Utilize This Reserve In 2018-19.</t>
  </si>
  <si>
    <t>If Needed For Payment Of Contractual Employee Benefits.</t>
  </si>
  <si>
    <t>The District Currently Does Not Have A Pending Uninsured Loss.</t>
  </si>
  <si>
    <t>If Needed, Board Of Education Emergency Repairs.</t>
  </si>
  <si>
    <t>Payment For Required New York State Employee Retirement System Contributions.</t>
  </si>
  <si>
    <t>If Needed For Pending Tax Certiorari Court Case.</t>
  </si>
  <si>
    <t>If Needed For Payments Made For Unemployment Claims.</t>
  </si>
  <si>
    <t>Possibly Used To Reduce Unfunded Worker'S Compensation Anticipated Liability.</t>
  </si>
  <si>
    <t>591401</t>
  </si>
  <si>
    <t>Used To Pay Accrued Benefits Upon Retirement</t>
  </si>
  <si>
    <t>Used To Pay Retirement Contributions</t>
  </si>
  <si>
    <t>Used To Pay Settlements</t>
  </si>
  <si>
    <t>Non</t>
  </si>
  <si>
    <t>Used To Pay Claims And Settlements</t>
  </si>
  <si>
    <t>591502</t>
  </si>
  <si>
    <t>SULLIVAN WEST CSD</t>
  </si>
  <si>
    <t>Retain Funds To Address Future Capital Expenses As Outlined In The 5 Yr Master Plan.</t>
  </si>
  <si>
    <t>2008 Capital</t>
  </si>
  <si>
    <t>Previous Voter Approved Es Track, Exterior Masonry &amp; Stairs Work To Begin.  Pending Voter Approval For Funds For Temperature Controls &amp; '61 Roof Replacement.</t>
  </si>
  <si>
    <t>Mandatory Res For Debt</t>
  </si>
  <si>
    <t>Apply Annually Toward Debt Service Payments.</t>
  </si>
  <si>
    <t>Pay Accrued Benefits Owed At Retirement.</t>
  </si>
  <si>
    <t>Use For Unexpected Emergency Repairs.</t>
  </si>
  <si>
    <t>Fund Future Ers Employer Contributions.</t>
  </si>
  <si>
    <t>Apply Toward Outstanding Tax Certiorari Claims.</t>
  </si>
  <si>
    <t>Maintain To Offset Future Expenses.</t>
  </si>
  <si>
    <t>Maintain To Offset Future Liability For Catastrophic Cases.</t>
  </si>
  <si>
    <t>600101</t>
  </si>
  <si>
    <t>WAVERLY CSD</t>
  </si>
  <si>
    <t>$43194 For Retirement Incentives</t>
  </si>
  <si>
    <t>$149223 Towards Ers Bill</t>
  </si>
  <si>
    <t>$294522 For Tax Cert Case</t>
  </si>
  <si>
    <t>$6000 To Cover Unemployment For This Year'S Long Term Subs</t>
  </si>
  <si>
    <t>600301</t>
  </si>
  <si>
    <t>CANDOR CSD</t>
  </si>
  <si>
    <t>Ccsd Employee Benefit Accrued Liability Reserve</t>
  </si>
  <si>
    <t>Candor Csd Insurance Reserve</t>
  </si>
  <si>
    <t>Ccsd Reserve For Retirement Contribution</t>
  </si>
  <si>
    <t>230000</t>
  </si>
  <si>
    <t>Candor Csd Unemployment Insurance Reserve</t>
  </si>
  <si>
    <t>Candor Csd Workers' Compensation Reserve</t>
  </si>
  <si>
    <t>600402</t>
  </si>
  <si>
    <t>NEWARK VALLEY CSD</t>
  </si>
  <si>
    <t>There Is No Intended Use In 2018-2019 To Support The 2018-2019 Budget; However, There Is A Separate Proposition To Use $38,000 To Support The Bus Proposition.</t>
  </si>
  <si>
    <t>Retirement Contribuion</t>
  </si>
  <si>
    <t>The 2018-2019 Budget Includes The Intended Use Of $325,000 Of The Reserve.</t>
  </si>
  <si>
    <t>The 2018-2019 Budget Includes The Intended Use Of $11,000 Of The Reserve.</t>
  </si>
  <si>
    <t>600601</t>
  </si>
  <si>
    <t>OWEGO-APALACHIN CSD</t>
  </si>
  <si>
    <t>The 2018-2019 Budget Includes The Intended Use Of $621,000 Of The Reserve</t>
  </si>
  <si>
    <t>The 2018-2019 Budget Includes The Intended Use Of $27,000 Of The Reserve</t>
  </si>
  <si>
    <t>The 2018-2019 Budget Includes The Intended Use Of $20,000 Of The Reserve.</t>
  </si>
  <si>
    <t>600801</t>
  </si>
  <si>
    <t>SPENCER-VAN ETTEN CSD</t>
  </si>
  <si>
    <t>Employee Benefits/Accrued Liability</t>
  </si>
  <si>
    <t>The District Anticipates Some Retirements In 2018-19  Appropriation Would Then Occur At Year End In The Amount Needed To Pay Contractual Obligations.</t>
  </si>
  <si>
    <t>Appropriate $226,868</t>
  </si>
  <si>
    <t>Appropriate $10,000</t>
  </si>
  <si>
    <t>600903</t>
  </si>
  <si>
    <t>TIOGA CSD</t>
  </si>
  <si>
    <t>N/A_x000D_
N/A</t>
  </si>
  <si>
    <t>610301</t>
  </si>
  <si>
    <t>DRYDEN CSD</t>
  </si>
  <si>
    <t>A878-05 Vehicle/Equip</t>
  </si>
  <si>
    <t>No Planned Use For 18/19.  Planned For Future Use.</t>
  </si>
  <si>
    <t>A878-02 Building</t>
  </si>
  <si>
    <t>Upon Voter Approval On 5/15/18, $20K Will Be Used To Support Annual $100K Capital Outlay To Replace Doors/Door Hardware On Main Elementary School.</t>
  </si>
  <si>
    <t>V884-00 Debt Service</t>
  </si>
  <si>
    <t>A867-00 Ebalr</t>
  </si>
  <si>
    <t>Adjusted Annually At Year End Based On Staff Analysis.</t>
  </si>
  <si>
    <t>A862-00 Legal Liabilities</t>
  </si>
  <si>
    <t>18/19 Use Will Be As Needed By Board Approval.</t>
  </si>
  <si>
    <t>A827-00 Employee Retirement</t>
  </si>
  <si>
    <t>$260,650 Upon 18/19 Expense Plan Approval By Voters On 5/15/18.</t>
  </si>
  <si>
    <t>A815-00 Unemployment</t>
  </si>
  <si>
    <t>Actual Expense Not To Exceed $20,000 Upon 18/19 Expense Plan Approval By Voters On 5/15/18.</t>
  </si>
  <si>
    <t>610501</t>
  </si>
  <si>
    <t>GROTON CSD</t>
  </si>
  <si>
    <t>Offset Local Share Of Future Projects. Nothing Projected For 2018-19 Vote At Current Time.</t>
  </si>
  <si>
    <t>To Be Used To Offset Retirement Benefits Included In The Contracts. No Significant Retirements To Payout For 2017-18.</t>
  </si>
  <si>
    <t>Reserve Established To Pay For Costs Not Covered By Insurance For Various Incidents During The Past Few Years</t>
  </si>
  <si>
    <t>With A Significant Increase In The Estimated Rate For The Upcoming Year And The Potential For Future Increases, This Reserve Will Be Used To Offset Anything Beyond What Can Be Included In The Annual</t>
  </si>
  <si>
    <t>Reserve Established For Tax Certiorari Filing In 2013-14. By Law, Must Be Cleared When Completed Or 4 Years Has Passed</t>
  </si>
  <si>
    <t>Will Be Used When There Are Unemployment Costs Not Covered By The General Fund Allocation. No Current Significant Staff Changes.</t>
  </si>
  <si>
    <t>610600</t>
  </si>
  <si>
    <t>To Purchase Buses And Capital Projects At Two Buildings</t>
  </si>
  <si>
    <t>To Cover Incurred Liability</t>
  </si>
  <si>
    <t>ICSD hopes to establish a reserve to cover high cost claims and to control rising costs of health insurance premiums and fees</t>
  </si>
  <si>
    <t>To Cover High Cost Claims And To Control Rising Costs Of Health Insurance Premiums And Fees.</t>
  </si>
  <si>
    <t>For Reimbursement To The Nys Unemployment Insurance Fund</t>
  </si>
  <si>
    <t>610801</t>
  </si>
  <si>
    <t>LANSING CSD</t>
  </si>
  <si>
    <t>Capital Project 2016</t>
  </si>
  <si>
    <t>Used To Offset The Local Share Amount In The 18-19 Budget</t>
  </si>
  <si>
    <t>For Unanticipated Employee Benefits Paid Out</t>
  </si>
  <si>
    <t>For Any Expenditures Over The Budgeted Amount.</t>
  </si>
  <si>
    <t>610901</t>
  </si>
  <si>
    <t>NEWFIELD CSD</t>
  </si>
  <si>
    <t>Capital Project And Purchase 2 Buses</t>
  </si>
  <si>
    <t>Local Share Debt Payments</t>
  </si>
  <si>
    <t>Accrued Benefits Upon Retirement</t>
  </si>
  <si>
    <t>Grounds Equipment Repairs</t>
  </si>
  <si>
    <t>Offset Employer Ers Contributions</t>
  </si>
  <si>
    <t>Close Reserve_x000D_
Close Reserve, Balance To General Fund</t>
  </si>
  <si>
    <t>Pay Unemployment,  Trans $60K To Workers' Comp Reserve</t>
  </si>
  <si>
    <t>Establish Reserve_x000D_
Establish Reserve</t>
  </si>
  <si>
    <t>611001</t>
  </si>
  <si>
    <t>TRUMANSBURG CSD</t>
  </si>
  <si>
    <t>Building Capital</t>
  </si>
  <si>
    <t>$1,200,000 Capital Project Expenditures</t>
  </si>
  <si>
    <t>Vehicle Capital Reserve</t>
  </si>
  <si>
    <t>$300,000 Bus Purchases</t>
  </si>
  <si>
    <t>$329,000 To Defray The Cost Of Employee Retirement</t>
  </si>
  <si>
    <t>No Planned Expenditures In 18-19</t>
  </si>
  <si>
    <t>$10,000 To Defray The Cost Of Unemployment</t>
  </si>
  <si>
    <t>620600</t>
  </si>
  <si>
    <t>KINGSTON CITY SD</t>
  </si>
  <si>
    <t>Five Million Dollars Of This Fund Will Be Allocated To Partially Fund Three Building Improvement Projects Upon Voter Approval.</t>
  </si>
  <si>
    <t>To Pay Any Liability Claims That Might Be Incurred.</t>
  </si>
  <si>
    <t>To Pay Any Property Loss Claims That Might Be Incurred.</t>
  </si>
  <si>
    <t>Employee'S Retirement System Reserve</t>
  </si>
  <si>
    <t>Allocate A Portion Of Funds To Offset Tax Levy Resulting From Required Retirement System Contributions.</t>
  </si>
  <si>
    <t>To Pay For Any Tax Certiorari Claims, Settlements Or Court Orders For Which A Petition Has Been Filed.</t>
  </si>
  <si>
    <t>To Fund Any Payments To The State Unemployment Insurance Fund In Excess Of The Amount Budgeted.</t>
  </si>
  <si>
    <t>620803</t>
  </si>
  <si>
    <t>HIGHLAND CSD</t>
  </si>
  <si>
    <t>To Be Applied To Reduce A Prospective Referendum</t>
  </si>
  <si>
    <t>To Neutralize  Future Year Spikes In Ers Rates</t>
  </si>
  <si>
    <t>Pending Court Decisions On Existing Tax Certiari Judgements</t>
  </si>
  <si>
    <t>620901</t>
  </si>
  <si>
    <t>RONDOUT VALLEY CSD</t>
  </si>
  <si>
    <t>For A Capital Project</t>
  </si>
  <si>
    <t>Reserve For Emp Benefit</t>
  </si>
  <si>
    <t>Settlements For Retirees</t>
  </si>
  <si>
    <t>Reserve For Retire Cont</t>
  </si>
  <si>
    <t>Annual Ers Payment</t>
  </si>
  <si>
    <t>Assessment Settlements</t>
  </si>
  <si>
    <t>Unemployment Exp 17-18</t>
  </si>
  <si>
    <t>Workers Comp Exp 17-18</t>
  </si>
  <si>
    <t>621001</t>
  </si>
  <si>
    <t>MARLBORO CSD</t>
  </si>
  <si>
    <t>To Be Used For The Cost Of Any Object Or Purpose For Which Bonds May Be Issued</t>
  </si>
  <si>
    <t>To Help Pay Liability, Casualty, And Other Types Of Uninsured Losses If Needed.</t>
  </si>
  <si>
    <t>To Help Pay For Employer Retirmement Contributions To The State And Local Employee'S Retirement System If Needed.</t>
  </si>
  <si>
    <t>To Help Pay For Tax Certiorari Settlements If Needed.</t>
  </si>
  <si>
    <t>To Help Pay The Cost Of Reimbursement To The State Unemployment Insurance Fund If Needed.</t>
  </si>
  <si>
    <t>To Help Pay For Workers Compensation Claims And Benefits If Needed.</t>
  </si>
  <si>
    <t>621101</t>
  </si>
  <si>
    <t>NEW PALTZ CSD</t>
  </si>
  <si>
    <t>Future Repairs</t>
  </si>
  <si>
    <t>Offset To County Plan Liability</t>
  </si>
  <si>
    <t>621201</t>
  </si>
  <si>
    <t>ONTEORA CSD</t>
  </si>
  <si>
    <t>To Offset Debt Payment</t>
  </si>
  <si>
    <t>District Wide Repairs</t>
  </si>
  <si>
    <t>District Portion Of Workers Comp</t>
  </si>
  <si>
    <t>621601</t>
  </si>
  <si>
    <t>Plan To Utilize $75,000 For Applied Fund Balance For The 2018 - 2019 Budget</t>
  </si>
  <si>
    <t>621801</t>
  </si>
  <si>
    <t>WALLKILL CSD</t>
  </si>
  <si>
    <t>To Cover Debt Service Costs And Are Appropriating $115,000.</t>
  </si>
  <si>
    <t>Not Intending To Use This Reserve In The 2018-19 School Year.</t>
  </si>
  <si>
    <t>Other</t>
  </si>
  <si>
    <t>Emp. Retirement Reserve</t>
  </si>
  <si>
    <t>To Cover Employee Retirement Costs And Are Appropriating $705,000.</t>
  </si>
  <si>
    <t>To Cover Unemployment Insurance Costs And Are Appropriating $50,000.</t>
  </si>
  <si>
    <t>Workers Comp Reserve Fund</t>
  </si>
  <si>
    <t>To Cover Workers Compensation Costs And Are Appropriating $281,000.</t>
  </si>
  <si>
    <t>622002</t>
  </si>
  <si>
    <t>To Pay Liability, Casualty And Other Types Of Losses</t>
  </si>
  <si>
    <t>To Pay For Property Loss &amp; Liability Claims</t>
  </si>
  <si>
    <t>Reserve For Nys Employee Retirement</t>
  </si>
  <si>
    <t>To Pay Judgments &amp; Claims In Tax Certiorari Proceedings Per Real Property Tax Law, Article 7</t>
  </si>
  <si>
    <t>Reserve For Worker Compensation</t>
  </si>
  <si>
    <t>To Fund Workers Compensation Expenses, Related Medical Expenses And Self-Insurance Administrative Costs.</t>
  </si>
  <si>
    <t>630101</t>
  </si>
  <si>
    <t>BOLTON CSD</t>
  </si>
  <si>
    <t>Will Be Used To Pay A Portion Of Mandatory Annual Employer Contribution Or Used To Stabilize  Future Budgets.</t>
  </si>
  <si>
    <t>To Pay Mandatory Unemployment Claims Of Employees That Were Layed-Off.</t>
  </si>
  <si>
    <t>630202</t>
  </si>
  <si>
    <t>NORTH WARREN CSD</t>
  </si>
  <si>
    <t>Improve Baseball Field Access For Ada, Install Vent System In Technology Room,  Upgrade Exterior Lighting To Led, Anticipated Capital Project Vote In 2018-2019</t>
  </si>
  <si>
    <t>Repairs/Replacement Of Worn And Torn Locker Room Flooring And Adjacent Hallway Floor.  Repairs/Replacement Of Wall Mats In Elementary Gym.  Both Items Are Safety Issues.</t>
  </si>
  <si>
    <t>Boe Will Adjust Balance Based On Judgements/Tax Issues As Of 6/30/2018</t>
  </si>
  <si>
    <t>Payments As Mandated To Nys Ui Based On Invoices</t>
  </si>
  <si>
    <t>630300</t>
  </si>
  <si>
    <t>GLENS FALLS CITY SD</t>
  </si>
  <si>
    <t>Will Not Be Utilized In 18-19. Authorized By Voters To Fund Replacement Field After 15 Years, In 2024.</t>
  </si>
  <si>
    <t>Will Be Utilized To The Extent Necessary To Fund Accrued Benefits.</t>
  </si>
  <si>
    <t>Will Be Utilized To Fund The District'S Annual Payment To Nyslrs.</t>
  </si>
  <si>
    <t>Will Be Utilized To The Extent Necessary To Pay For Prior Year Tax Certiorari Claims.</t>
  </si>
  <si>
    <t>Will Be Utilized To The Extent Necessary To Fund Actual Claims Relating To Medical, Indemnity, And Administrative Expenses.</t>
  </si>
  <si>
    <t>630601</t>
  </si>
  <si>
    <t>JOHNSBURG CSD</t>
  </si>
  <si>
    <t>Employment Benefits</t>
  </si>
  <si>
    <t>To Cover The Cost Of Employee Benefits That Have Been Accrued And Will Likely Be Paid In Future Years.</t>
  </si>
  <si>
    <t>Used To Pay For Large Unanticipated Repairs  That Occur During The Year.</t>
  </si>
  <si>
    <t>To Cover Unemployment Claims That Occur.</t>
  </si>
  <si>
    <t>630701</t>
  </si>
  <si>
    <t>LAKE GEORGE CSD</t>
  </si>
  <si>
    <t>Funds For Future Capital Projects.  Excess Reserves And Surplus Fund Balance Will Be Transferred By 6/30/18</t>
  </si>
  <si>
    <t>Appropriated $67500 - Estimate For Employee Payments For Accrued Benefits At End Of Service.</t>
  </si>
  <si>
    <t>Disability Reserve</t>
  </si>
  <si>
    <t>Self-Funded Teachers Disability Fund.  If Needed, Budget Will Be Amended And Reserves Appropriated.</t>
  </si>
  <si>
    <t>Reserved For Unanticipated And Unbudgeted Repairs As Needed.</t>
  </si>
  <si>
    <t>Appropriated $212,500 To Pay For Portion Of Nyslrs Payment.</t>
  </si>
  <si>
    <t>Tax Certoriari Reserve</t>
  </si>
  <si>
    <t>Funded For Possible Cash Settlements.  17/18 Saw Many Settlements And Discontinuances.  Will Transfer $220,000 To Capital Reserve</t>
  </si>
  <si>
    <t>Appropriated $10000 For Unemployment Claims.  $50000 To Be Transferred To Capital Reserve)</t>
  </si>
  <si>
    <t>Appropriated $30000 For Increased In Costs Due To Increased Erm.</t>
  </si>
  <si>
    <t>630801</t>
  </si>
  <si>
    <t>HADLEY-LUZERNE CSD</t>
  </si>
  <si>
    <t>Mandatory Reserve For Debt Reduction</t>
  </si>
  <si>
    <t>630902</t>
  </si>
  <si>
    <t>QUEENSBURY UFSD</t>
  </si>
  <si>
    <t>Employee Retire Cont</t>
  </si>
  <si>
    <t>1994883</t>
  </si>
  <si>
    <t>8890</t>
  </si>
  <si>
    <t>630918</t>
  </si>
  <si>
    <t>GLENS FALLS COMN SD</t>
  </si>
  <si>
    <t>1 Employee To Retire</t>
  </si>
  <si>
    <t>Tax _x000D_
Certiorari Reserve</t>
  </si>
  <si>
    <t>Expect 1 Article 7 Will Settle</t>
  </si>
  <si>
    <t>631201</t>
  </si>
  <si>
    <t>WARRENSBURG CSD</t>
  </si>
  <si>
    <t>Capital Equipment</t>
  </si>
  <si>
    <t>Pay-Out Retiree Unused Sick Leave</t>
  </si>
  <si>
    <t>Unforseen Uninsured Losses</t>
  </si>
  <si>
    <t>Unforseen Non-Reacurring Repairs</t>
  </si>
  <si>
    <t>Budgeted Revenue In 2019-20 Budget</t>
  </si>
  <si>
    <t>Pay Settlement Currently Being Negotiated</t>
  </si>
  <si>
    <t>Claims Beyond 2018-19 Budget</t>
  </si>
  <si>
    <t>640101</t>
  </si>
  <si>
    <t>ARGYLE CSD</t>
  </si>
  <si>
    <t>Employee Benefit Acc Liab Reserve</t>
  </si>
  <si>
    <t>Vacation And Sick Day Benefits Contractually Owed To Those Retiring Or Leaving The District</t>
  </si>
  <si>
    <t>District Liability For Employee Retirement System Benefits As A Percentage Of Salaries</t>
  </si>
  <si>
    <t>Any Unemployment Claims Against The District</t>
  </si>
  <si>
    <t>640502</t>
  </si>
  <si>
    <t>FORT ANN CSD</t>
  </si>
  <si>
    <t>3.69M Capital Prohect</t>
  </si>
  <si>
    <t>Use Of Funds For Ongoing Capital Project As Voted On By Taxpayers In Novemeber 2017.</t>
  </si>
  <si>
    <t>Establish Capital Reserve</t>
  </si>
  <si>
    <t>Funds For Possible Future Capital Projects That Would Be Voted On By Taxpayers.</t>
  </si>
  <si>
    <t>Amount Of Accrued Employee Benefits Due To District Employees.</t>
  </si>
  <si>
    <t>Establish Liability Reserve</t>
  </si>
  <si>
    <t>Funds For Pending Litigation Against The District</t>
  </si>
  <si>
    <t>Establish Repair Reserve</t>
  </si>
  <si>
    <t>Unforeseen Repair Costs That May Arise.</t>
  </si>
  <si>
    <t>Funds For Retirement Contributions To The State.</t>
  </si>
  <si>
    <t>640601</t>
  </si>
  <si>
    <t>FORT EDWARD UFSD</t>
  </si>
  <si>
    <t>Uncertain If We Will Try To Increase Reserve Or Close Out In Some Way.</t>
  </si>
  <si>
    <t>Have Available For Debt Services Obligations .</t>
  </si>
  <si>
    <t>Have Available For Upcoming Retirement Payments For Accrued Sick And Personal Leave.</t>
  </si>
  <si>
    <t>Have Available For Unexpected Insurance Claims</t>
  </si>
  <si>
    <t>Contribution Changes Each Year, Funds Are Available To Utilize For This Expense.</t>
  </si>
  <si>
    <t>Leave As Is With Hopes Of Increasing For Additional Litigation.</t>
  </si>
  <si>
    <t>Have Available If An Issue Arises.</t>
  </si>
  <si>
    <t>Utilize If Required Situation Presents Itself.</t>
  </si>
  <si>
    <t>640701</t>
  </si>
  <si>
    <t>GRANVILLE CSD</t>
  </si>
  <si>
    <t>Will Not Be Used Until Voter Approval Is Authorized_x000D_
 For A Capital Building Project The District Plans On Adding Funds To The Capital Reserve In 2018-19 And In Subsequent Years</t>
  </si>
  <si>
    <t>Empl Benefits Reserve</t>
  </si>
  <si>
    <t>To Pay Accrued Benefit Time To Retiring Employees Per Collective Bargaining Agreements</t>
  </si>
  <si>
    <t>Will Be Returned To The General Fund With A New Tax Certiorari Reserve Established In 2018-19</t>
  </si>
  <si>
    <t>To Be Used To Pay For Unemployment Costs Claims Above The Amount Budgeted</t>
  </si>
  <si>
    <t>640801</t>
  </si>
  <si>
    <t>GREENWICH CSD</t>
  </si>
  <si>
    <t>To Pay For Excess Nyslrs Costs</t>
  </si>
  <si>
    <t>Approximately 5,000 To Cover Unemployment Claims Not Included In The Annual Budget.</t>
  </si>
  <si>
    <t>641001</t>
  </si>
  <si>
    <t>HARTFORD CSD</t>
  </si>
  <si>
    <t>Pay Ers Invoice December 2018</t>
  </si>
  <si>
    <t>Nothing In This School Year</t>
  </si>
  <si>
    <t>641301</t>
  </si>
  <si>
    <t>HUDSON FALLS CSD</t>
  </si>
  <si>
    <t>Retirement Incentives</t>
  </si>
  <si>
    <t>Offset District Contributions</t>
  </si>
  <si>
    <t>Article 7 Judgements</t>
  </si>
  <si>
    <t>Pay Any Unemployment Claims</t>
  </si>
  <si>
    <t>Offset Increase In Workers Comp</t>
  </si>
  <si>
    <t>641401</t>
  </si>
  <si>
    <t>PUTNAM CSD</t>
  </si>
  <si>
    <t>This Reserve Is Used To Finance The Construction Of, General Improvements, Reconstruction, Renovations Or Additions To, The District�S Buildings, Including Site Work And The Acquisition Of Original F</t>
  </si>
  <si>
    <t>This Reserve May Be Used For Repairs To Capital Improvements Or Equipment Of A Type That Does Not Recur Annually Or At Shorter Intervals. Expenditures From This Reserve May Be Made Only After A Public</t>
  </si>
  <si>
    <t>This Reserve Is Used To Pay For Judgements And Claims Resulting From Tax Certiorari Proceedings Under Article 7 Of The Real Property Tax Law.</t>
  </si>
  <si>
    <t>This Reserve Is Used To Reimburse The New York State Unemployment Insurance Fund For Payments Made To Claimants Where The District Uses The Benefit Reimbursement Method. The District Does Subscribe To</t>
  </si>
  <si>
    <t>641501</t>
  </si>
  <si>
    <t>SALEM CSD</t>
  </si>
  <si>
    <t>Capital Project, Voter Approved 3/27/2018</t>
  </si>
  <si>
    <t>2 Potential Retirements In 2018-19</t>
  </si>
  <si>
    <t>Retirement Cont. Reserve (Ers)</t>
  </si>
  <si>
    <t>Use To Pay 2018-19 Ers Invoice</t>
  </si>
  <si>
    <t>Not Aware Of Any Pending Claims At This Time</t>
  </si>
  <si>
    <t>641610</t>
  </si>
  <si>
    <t>CAMBRIDGE CSD</t>
  </si>
  <si>
    <t>Interest Expense For Capital Project Voter Approved 3/27/18</t>
  </si>
  <si>
    <t>641701</t>
  </si>
  <si>
    <t>WHITEHALL CSD</t>
  </si>
  <si>
    <t>Capital Project Reserve Fund</t>
  </si>
  <si>
    <t>To Pay For Capital Project Expenditures Associated With The Project That Will Be Voted On In The Fall Of 2018</t>
  </si>
  <si>
    <t>Employee Benefit Accrued Liability Reserve Fnd</t>
  </si>
  <si>
    <t>To Offset The Cost Associated With The Payment Of Accrued Leave Time Upon An Employees Separation From The District</t>
  </si>
  <si>
    <t>This Fund Would Be Used To Pay The Cost Associated With Any Unanticipated Major Repairs</t>
  </si>
  <si>
    <t>To Offset The Cost Of The Annual Employee Retirement System Contributions</t>
  </si>
  <si>
    <t>To Pay The Potential Costs Associated With Outstanding Tax Certiorari Proceedings.</t>
  </si>
  <si>
    <t>To Pay For Cost Incurred For Unemployment</t>
  </si>
  <si>
    <t>650101</t>
  </si>
  <si>
    <t>NEWARK CSD</t>
  </si>
  <si>
    <t>18-19 No Intended Use</t>
  </si>
  <si>
    <t>Will Be Used In 17-18 To Purchase Buses</t>
  </si>
  <si>
    <t>2016 Bus Reserve</t>
  </si>
  <si>
    <t>To Offset The Purchase Of New Buses In 18-19</t>
  </si>
  <si>
    <t>18-19: No Intended Use</t>
  </si>
  <si>
    <t>18-19 Reserve Budget Allocation $400,000</t>
  </si>
  <si>
    <t>17-18  Reserve Budget Allocation $700,000</t>
  </si>
  <si>
    <t>Assessment Challenge From 17-18</t>
  </si>
  <si>
    <t>18-19 Reserve Budget Allocation $50,000</t>
  </si>
  <si>
    <t>18-19 Reserve Budget Allocation $208,770</t>
  </si>
  <si>
    <t>650301</t>
  </si>
  <si>
    <t>CLYDE-SAVANNAH CSD</t>
  </si>
  <si>
    <t>18-19 Reserve Budget  Allocation: $6,030</t>
  </si>
  <si>
    <t>18-19 Reserve Budget  Allocation: $16,046</t>
  </si>
  <si>
    <t>18-19 Reserve Budget  Allocation:$50,000</t>
  </si>
  <si>
    <t>18-19 $292,130 To Pay The Cost Of (2) 66 Passenger Buses And (1) 35 Passenger Bus Using This Reserve In 18-19.</t>
  </si>
  <si>
    <t>18-19 Reserve Budget  Allocation: $216,423</t>
  </si>
  <si>
    <t>18-19 Reserve Budget  Allocation:$10,000</t>
  </si>
  <si>
    <t>Unemployment Res.</t>
  </si>
  <si>
    <t>Worker'S Comp.</t>
  </si>
  <si>
    <t>18-19 Reserve Budget Allocation:$35,000</t>
  </si>
  <si>
    <t>650501</t>
  </si>
  <si>
    <t>LYONS CSD</t>
  </si>
  <si>
    <t>2017 Building</t>
  </si>
  <si>
    <t>Public Vote On 5/15/18 To Authorize Spending $260,000 From Reserve.</t>
  </si>
  <si>
    <t>Employee Benefit Accr.</t>
  </si>
  <si>
    <t>650701</t>
  </si>
  <si>
    <t>MARION CSD</t>
  </si>
  <si>
    <t>$521,000 Withdrawal For Purchase Of 6 Buses 2018-2019 Budget Vote</t>
  </si>
  <si>
    <t>Not Anticipated</t>
  </si>
  <si>
    <t>Pay Claims As Necessary</t>
  </si>
  <si>
    <t>650801</t>
  </si>
  <si>
    <t>WAYNE CSD</t>
  </si>
  <si>
    <t>Bus Capital Reserve</t>
  </si>
  <si>
    <t>Potentially Purchase School Bus Replacements.</t>
  </si>
  <si>
    <t>Building Capital Reserve</t>
  </si>
  <si>
    <t>Fully Funded, No Anticipated Utilization. New Reserve Being Proposed.</t>
  </si>
  <si>
    <t>No Anticipated Utilization.</t>
  </si>
  <si>
    <t>Insurance Deductible Reserve</t>
  </si>
  <si>
    <t>Pay Any Out-Of-Pocket Costs Associated With Insurance Claims.</t>
  </si>
  <si>
    <t>Meet Any Potential Liability That May Arise.</t>
  </si>
  <si>
    <t>Meet All Open, Or New, Expenditure Exposure.</t>
  </si>
  <si>
    <t>650901</t>
  </si>
  <si>
    <t>PALMYRA-MACEDON CSD</t>
  </si>
  <si>
    <t>Bus Purchase Reserve Of 2002</t>
  </si>
  <si>
    <t>No Planned Transfer From Reserve In 2018-2019.</t>
  </si>
  <si>
    <t>Capital Reserve Of 2015</t>
  </si>
  <si>
    <t>Reserve To Pay The Local Share Of The Next Facility Improvement Project Approved By The Voters</t>
  </si>
  <si>
    <t>Capital Reserve Of 2009</t>
  </si>
  <si>
    <t>None.  Fully Liquidated In 2017-2018.</t>
  </si>
  <si>
    <t>Bus Purchase Reserve Of 2009</t>
  </si>
  <si>
    <t>To Pay For Accrued Sick Leave Or Vacation Leave To Employees At The End Of Service To The District.</t>
  </si>
  <si>
    <t>Continue To Use Reserve To Pay Ongoing Legal Expenses Related To An Uninsured Loss And Current Litigation.</t>
  </si>
  <si>
    <t>To Be Used In The Event Of A Claim Not Covered By Insurance Or A Claim That Exceeds Insurance Policy Benefits.</t>
  </si>
  <si>
    <t>To Be Used In The Event That Emergency Or Other Repairs Are Required.</t>
  </si>
  <si>
    <t>Pay Actual Judgements And Claims In Article 7 Proceedings.</t>
  </si>
  <si>
    <t>Continue To Use Reserve Balance To Pay Actual Unemployment Claims.</t>
  </si>
  <si>
    <t>Retain Balance To Be Used In The Event The Plan Charges An Additional Assessment.</t>
  </si>
  <si>
    <t>650902</t>
  </si>
  <si>
    <t>GANANDA CSD</t>
  </si>
  <si>
    <t>Bus Purchase Reserve 2013</t>
  </si>
  <si>
    <t>$108,000 To Purchase 4 Buses Based On 7-Year Replacement Schedule Per Proposition 2 On The Ballot</t>
  </si>
  <si>
    <t>Capital Reserve 2013</t>
  </si>
  <si>
    <t>No Plan To Use This Reserve In 2018-19</t>
  </si>
  <si>
    <t>2017 Tax Certiorari Reserve</t>
  </si>
  <si>
    <t>$62,000 To Cover Anticipated Settllements</t>
  </si>
  <si>
    <t>$20,000 To Cover Anticipated Increase In Unemployment Cost</t>
  </si>
  <si>
    <t>651201</t>
  </si>
  <si>
    <t>SODUS CSD</t>
  </si>
  <si>
    <t>Pay Insurance Deductables</t>
  </si>
  <si>
    <t>Pay Any Unknown Liabilities</t>
  </si>
  <si>
    <t>Pay Unemployment</t>
  </si>
  <si>
    <t>651402</t>
  </si>
  <si>
    <t>No Planned Use In Next Fiscal Year_x000D_
No Planned Use In Next Fiscal Year</t>
  </si>
  <si>
    <t>In Support Of 2018-19 Budget</t>
  </si>
  <si>
    <t>To pay cost of bus purchases</t>
  </si>
  <si>
    <t>To Cover Cost Of Claims Or Legal Costs</t>
  </si>
  <si>
    <t>In Support Of Unemployment Claims</t>
  </si>
  <si>
    <t>651501</t>
  </si>
  <si>
    <t>NORTH ROSE-WOLCOTT CSD</t>
  </si>
  <si>
    <t>Continue To Fund Through Transportation Aid From Previous Bus Purchases.  Fund Bus Purchases For May 2019 Vote.</t>
  </si>
  <si>
    <t>Continue To Fund For Future Projects.  Move $2,000,000 To Capital Fund If Approved By Voters On May 15, 2018.</t>
  </si>
  <si>
    <t>Na_x000D_
Na</t>
  </si>
  <si>
    <t>Fund Payments For Accrued Time Off Paid At Separation Of Employment.  Currently Estimated At Less Than $5,000 For 18-19.</t>
  </si>
  <si>
    <t>Na_x000D_
Na_x000D_
Na</t>
  </si>
  <si>
    <t>Cover Any Unbudgeted/Unknown Liabilities.</t>
  </si>
  <si>
    <t>Appropriate Up To $423,724 To Pay Ers Costs In 18-19.</t>
  </si>
  <si>
    <t>Fund If Potential Tax Certiorari Claims Arise.</t>
  </si>
  <si>
    <t>Appropriate To Pay 18-19 Unemployment Expenses - Currently Estimated To Be Less Than $5,000.</t>
  </si>
  <si>
    <t>Appropriate $197,963 To Pay Workers' Compensation Costs In 18-19.</t>
  </si>
  <si>
    <t>651503</t>
  </si>
  <si>
    <t>RED CREEK CSD</t>
  </si>
  <si>
    <t>0 No Intended Use</t>
  </si>
  <si>
    <t>$250,000</t>
  </si>
  <si>
    <t>Employee Ben/Accr Liab Reserve</t>
  </si>
  <si>
    <t>$50,000</t>
  </si>
  <si>
    <t>Retiree Contribution Reserve</t>
  </si>
  <si>
    <t>$2,000</t>
  </si>
  <si>
    <t>$90,000 New Reserve</t>
  </si>
  <si>
    <t>660101</t>
  </si>
  <si>
    <t>KATONAH-LEWISBORO UFSD</t>
  </si>
  <si>
    <t>It Is Our Intention To Utilize This Reserve In The Future To Complete Capital Improvements - Voter Approval Is Required</t>
  </si>
  <si>
    <t>It Is Our Intention To Use $10,000 Of This Reserve Pay For Anticipated 2018-19 Energy Performance Contract Debt Service</t>
  </si>
  <si>
    <t>Employee Benefit Accrued</t>
  </si>
  <si>
    <t>It Is Our Intention To Utilize $352,300 Of This Reserve To Support Related Expenses In The 2018-2019 Budget</t>
  </si>
  <si>
    <t>Liability Claims</t>
  </si>
  <si>
    <t>These Funds Will Be Utilized Throughout The 2018-2019 School Year To Pay For Judgments Or Settlements Related To C.S.E. Matters</t>
  </si>
  <si>
    <t>Advances</t>
  </si>
  <si>
    <t>Used to account for anticipated but not yet received state or local aid - Summer Special Ed or CPSE</t>
  </si>
  <si>
    <t>These Funds Will Be Utilized As Necessary To Account For Adjustments To Anticipated State Or County Aid As Necessary</t>
  </si>
  <si>
    <t>It Is Our Intention To Utilize $621,572 Of This Reserve To Support Related Expenses In The 2018-2019 Budget</t>
  </si>
  <si>
    <t>These Funds Will Be Utilized Throughout The 2018-19 School Year As Needed To Pay For Settlements Or Judgments Related To Tax Certiorari Matters</t>
  </si>
  <si>
    <t>It Is Our Intention To Use $16,128 Of This Reserve To Pay For Anticipated 2018-19 Unemployment Insurance Expenses</t>
  </si>
  <si>
    <t>660102</t>
  </si>
  <si>
    <t>BEDFORD CSD</t>
  </si>
  <si>
    <t>Reserve For Emp. Ben. Liab.</t>
  </si>
  <si>
    <t>Fund To Be Used To Disburse Expenses To Accrued Benefits To Employees Upon Termination.</t>
  </si>
  <si>
    <t>Res For Repair</t>
  </si>
  <si>
    <t>Designate $350,000 To The Fy1819 Budget As An Other Funding Source.</t>
  </si>
  <si>
    <t>To Be Used For Tax Cert Settlements.</t>
  </si>
  <si>
    <t>Expected To Designate $30,000 As An Other Funding Source To The Fy1819 Budget.</t>
  </si>
  <si>
    <t>660202</t>
  </si>
  <si>
    <t>CROTON-HARMON UFSD</t>
  </si>
  <si>
    <t>Emp. Benefit Accrued Liability</t>
  </si>
  <si>
    <t>To Pay Accrued Leave To Retirees</t>
  </si>
  <si>
    <t>To Pay Legal Settlements</t>
  </si>
  <si>
    <t>To Pay Contribution To Pension System</t>
  </si>
  <si>
    <t>To Pay Refunds To Taxpayers Awarded Reduced Taxable Assessments And School Tax Refunds</t>
  </si>
  <si>
    <t>To Pay Unemployment Insurance</t>
  </si>
  <si>
    <t>To Pay Workers' Compensation</t>
  </si>
  <si>
    <t>660203</t>
  </si>
  <si>
    <t>HENDRICK HUDSON CSD</t>
  </si>
  <si>
    <t>0_x000D_
0_x000D_
0_x000D_
No Use</t>
  </si>
  <si>
    <t>Paving</t>
  </si>
  <si>
    <t>660301</t>
  </si>
  <si>
    <t>EASTCHESTER UFSD</t>
  </si>
  <si>
    <t>The District Does Not Intend To Use This Reserve This Year</t>
  </si>
  <si>
    <t>Employee Benefits Accrued Liability</t>
  </si>
  <si>
    <t>The District May Use This Fund To Pay Employee Benefits Contractually Due Upon Termination Of Service Should Amounts Exceed Those Provided In The Budget</t>
  </si>
  <si>
    <t>The District May Use This Reserve Should An Unexpected Liability Claim Be Incurred During This Year</t>
  </si>
  <si>
    <t>The District May Use This Reserve Should An Unexpected Property Loss Occur During This Year</t>
  </si>
  <si>
    <t>The District May Use This Fund To Pay Tax Certiorari Settlements As Ordered Per Legal Judgments</t>
  </si>
  <si>
    <t>660302</t>
  </si>
  <si>
    <t>TUCKAHOE UFSD</t>
  </si>
  <si>
    <t>To Pay Accrued Benefits Due_x000D_
Employees Upon Termination_x000D_
Of Service For Vacation, Sick_x000D_
Leave, Personal Leave Etc.</t>
  </si>
  <si>
    <t>Retirement Contributions (Ers)</t>
  </si>
  <si>
    <t>To Fund Employer Retirement_x000D_
Contributions. I.E. Any_x000D_
Portion Of The Amount(S)_x000D_
Payable By The_x000D_
School District To The Ny_x000D_
State And Local Employees�_x000D_
Retirement System (Ers),_x000D_
But Not Trs</t>
  </si>
  <si>
    <t>To Pay Judgments &amp; Claims_x000D_
In Tax Certiorari Proceedings_x000D_
Per Rptl, Article 7</t>
  </si>
  <si>
    <t>660303</t>
  </si>
  <si>
    <t>BRONXVILLE UFSD</t>
  </si>
  <si>
    <t>Approved Capital Project</t>
  </si>
  <si>
    <t>Insurance Claims</t>
  </si>
  <si>
    <t>Potential Flood Losses</t>
  </si>
  <si>
    <t>Excessive Ers Contributions</t>
  </si>
  <si>
    <t>Potential Tax Certiorari Claims</t>
  </si>
  <si>
    <t>Potential Unemployment Claims</t>
  </si>
  <si>
    <t>660401</t>
  </si>
  <si>
    <t>UFSD-TARRYTOWNS</t>
  </si>
  <si>
    <t>May 15, 2018 Annual Meeting &amp; Budget Vote Proposition #2</t>
  </si>
  <si>
    <t>Debt Service Or To Retire Outstanding Obligations</t>
  </si>
  <si>
    <t>Fund Portions Of Eligible Contributions To The Nys And Local Employees' Retirement System</t>
  </si>
  <si>
    <t>Settlement Of Litigation Challenging Assessment Of Tax Parcels Per Rptl Article 7</t>
  </si>
  <si>
    <t>660402</t>
  </si>
  <si>
    <t>For Voter Approved Future Projects</t>
  </si>
  <si>
    <t>To Pay Accrured Employee Benefits Due Employees Upon Termination Of Service Exceeding Budgeted Funds</t>
  </si>
  <si>
    <t>To Pay Tax Certiorari Refunds Due Exceeding Budgeted Funds</t>
  </si>
  <si>
    <t>To Pay For Worker'S Compensation Expenses Exceeding Budgeted Funds</t>
  </si>
  <si>
    <t>660403</t>
  </si>
  <si>
    <t>DOBBS FERRY UFSD</t>
  </si>
  <si>
    <t>For The Cost Of Any Object Or Purpose For Which Bonds May Be Issued</t>
  </si>
  <si>
    <t>For Payment Of Debt Service</t>
  </si>
  <si>
    <t>Employee Benefits Accrued Liability Reserve Fund</t>
  </si>
  <si>
    <t>For Employer Retirement Contributions To The State And Local Employees Retirement System</t>
  </si>
  <si>
    <t>To Pay For Tax Certiorari Settlements</t>
  </si>
  <si>
    <t>660404</t>
  </si>
  <si>
    <t>HASTINGS-ON-HUDSON UFSD</t>
  </si>
  <si>
    <t>Security Enhancements</t>
  </si>
  <si>
    <t>Reserve For Retirement  System</t>
  </si>
  <si>
    <t>To Pay Ers Liabilities</t>
  </si>
  <si>
    <t>To Lower Tax Levy And Pay Tax Certiorari Judgments.</t>
  </si>
  <si>
    <t>660405</t>
  </si>
  <si>
    <t>ARDSLEY UFSD</t>
  </si>
  <si>
    <t>Increase Allocation For Future Construction Projects, Major Purchases, Or Allocation To Debt Payments.</t>
  </si>
  <si>
    <t>To Account For The Expenses Associated With Compensation For Employee'S Unused Vacation And Sick Days Upon Separation From School District Employment.</t>
  </si>
  <si>
    <t>To Mitigate A Significant Increase In The District�S Employer Retirement Contributions To The New York State Local Retirement System.</t>
  </si>
  <si>
    <t>To Pay Judgments And Claims In Tax Certiorari Proceedings In Accordance With Article_x000D_
Seven Of The Real Property Tax Law.</t>
  </si>
  <si>
    <t>To Mitigate A Significant Increase In Expenses Associated With Reduction In Staffing.</t>
  </si>
  <si>
    <t>660406</t>
  </si>
  <si>
    <t>EDGEMONT UFSD</t>
  </si>
  <si>
    <t>To Offset Ers Obligation For 2018-19</t>
  </si>
  <si>
    <t>Reserve For Tax Certioraris</t>
  </si>
  <si>
    <t>660409</t>
  </si>
  <si>
    <t>ELMSFORD UFSD</t>
  </si>
  <si>
    <t>To Support Voter Approved Capital Project Work</t>
  </si>
  <si>
    <t>To Pay For Contractual Benefits To Departing Employees</t>
  </si>
  <si>
    <t>To Pay For Court Ordered Tax Cert Payments</t>
  </si>
  <si>
    <t>To Support Workers Compensation Expenses</t>
  </si>
  <si>
    <t>660501</t>
  </si>
  <si>
    <t>HARRISON CSD</t>
  </si>
  <si>
    <t>To Pay For Unused Sick Time And Other Accrued Leave Time For Employees Who Separate From Service</t>
  </si>
  <si>
    <t>To Pay For Potential Liability Claims Arising During The Year</t>
  </si>
  <si>
    <t>To Pay For Potential Property Loss Claims Arising During The Year</t>
  </si>
  <si>
    <t>To Offset A Portion Of The Annual Ers Bill</t>
  </si>
  <si>
    <t>To Pat For Court-Ordered Tax Certiorari Refunds, As Needed</t>
  </si>
  <si>
    <t>660701</t>
  </si>
  <si>
    <t>MAMARONECK UFSD</t>
  </si>
  <si>
    <t>To Pay For Unexpected Repairs</t>
  </si>
  <si>
    <t>To Pay For Refunds Of Prior Year Taxes</t>
  </si>
  <si>
    <t>Reserve For Worker'S Compensation</t>
  </si>
  <si>
    <t>To Pay For Tail Claims On Injuries Sustained Before 7/1/2018_x000D_
To Pay For Tail Claims On Injuries Sustained Before 7/1/2018_x000D_
To Pay For Tail Claims On Injuries Sustained Before 7/1/2018</t>
  </si>
  <si>
    <t>660801</t>
  </si>
  <si>
    <t>MT PLEASANT CSD</t>
  </si>
  <si>
    <t>The Reserve Will Be Used To Fund The Cost Of Payments Due To Employees At The Time Of Separation From The District For Unused Sick And/Or Vacation Time In Accordance With Employment Contract Terms</t>
  </si>
  <si>
    <t>$50,000 Of This Reserve Will Be Used To Offset The Increase In District Contributions To The Nyslrs Retirement System Anticipated For 2018-2019 School Year.</t>
  </si>
  <si>
    <t>Tax Ceriorari Reserve</t>
  </si>
  <si>
    <t>The Tax Certiorari Reserve Will Be The Primary Source Of Funds To Cover The Cost Of Tax Certiorari Refunds. The 2018-2019 Budget Does Not Include Funds For This Purpose.</t>
  </si>
  <si>
    <t>The Unemployment Reserve Will Be The Primary Source Of Funds To Cover The Cost Of Unemployment Claims Imposed Upon The District. The 2018-2019 Budget Does Not Include Funds For This Purpose.</t>
  </si>
  <si>
    <t>660802</t>
  </si>
  <si>
    <t>POCANTICO HILLS CSD</t>
  </si>
  <si>
    <t>Dependent On Referendum</t>
  </si>
  <si>
    <t>Payment Of Settled Claims</t>
  </si>
  <si>
    <t>660805</t>
  </si>
  <si>
    <t>VALHALLA UFSD</t>
  </si>
  <si>
    <t>Future Capital Proj Reserver</t>
  </si>
  <si>
    <t>No Plans At This Time</t>
  </si>
  <si>
    <t>Payment To Emps Upon Retirement</t>
  </si>
  <si>
    <t>To Be Used For Property Loss_x000D_
To Be Used For Property Loss</t>
  </si>
  <si>
    <t>To Be Determined By Boe</t>
  </si>
  <si>
    <t>Paid Of Tax Certs_x000D_
Payment Of Tax Certs</t>
  </si>
  <si>
    <t>660809</t>
  </si>
  <si>
    <t>PLEASANTVILLE UFSD</t>
  </si>
  <si>
    <t>400,000 To Offset Capital Portion Of Levy</t>
  </si>
  <si>
    <t>30,000 To Pay Costs Associated With Sick Days At Retirement</t>
  </si>
  <si>
    <t>100,000 To Pay Pension Costs Associated With Ers</t>
  </si>
  <si>
    <t>200,000 To Pay Pending Tax Certiorari Claims</t>
  </si>
  <si>
    <t>660900</t>
  </si>
  <si>
    <t>MT VERNON SCHOOL DISTRICT</t>
  </si>
  <si>
    <t>Comp.Absences Res</t>
  </si>
  <si>
    <t>$300,000 Will Be Used To Offset Retiree Health Insurance Premium Bills Per Contractual Obligations</t>
  </si>
  <si>
    <t>Ret. Cont.Reserve</t>
  </si>
  <si>
    <t>$750,000 Will Be Used To Offset Employee Retirement System Obligations/Invoices</t>
  </si>
  <si>
    <t>Tax Cert. Reserve</t>
  </si>
  <si>
    <t>An Estimated $2,500,000 Will Be Used To Settle Tax Certiorari Judgments Through 6-30-2018 From Available Tax Certiorari Reserves</t>
  </si>
  <si>
    <t>Res.For Debt Serv</t>
  </si>
  <si>
    <t>$1,227,252 Will Be Used To Payoff An Old Tax Certiorari Bond For Which A 5 Year Debt Service Reserve Was Established In 2013. $1,836,206 Will Be Used To Partially Offset Old&amp;New Debt Services</t>
  </si>
  <si>
    <t>$25,000 Will Be Used To Offset Unemployment Insurance Premium Bills</t>
  </si>
  <si>
    <t>$200,000 Will Be Used To Offset Additional Quarterly Employer Assessments /Invoices</t>
  </si>
  <si>
    <t>661004</t>
  </si>
  <si>
    <t>CHAPPAQUA CSD</t>
  </si>
  <si>
    <t>Mandatory Reserve For Debt Ser</t>
  </si>
  <si>
    <t>To Be Consolidated Into Another Reserve</t>
  </si>
  <si>
    <t>Estimate $ 200,000 To Be Used For Compensated Absences</t>
  </si>
  <si>
    <t>No Appropriation Designated</t>
  </si>
  <si>
    <t>$ 100,000 To Be Appropriated For 2018-19</t>
  </si>
  <si>
    <t>Pay Tax Certiorari Settlements, When Necessary</t>
  </si>
  <si>
    <t>$ 135,000 To Be Appropriated For 2018-19</t>
  </si>
  <si>
    <t>661100</t>
  </si>
  <si>
    <t>NEW ROCHELLE CITY SD</t>
  </si>
  <si>
    <t>Reserves Will Not Be Depleted This Year. As The District Is In The Process Of Rebuilding It'S Financial Strength, Having Just Come Off Of Osc'S Fiscal Stress List And Moody'S Negative Outlook.</t>
  </si>
  <si>
    <t>To Pay Judgments And Claims In Tax Certiorari Proceeding Per Real Property Tax Law Article 7</t>
  </si>
  <si>
    <t>661201</t>
  </si>
  <si>
    <t>BYRAM HILLS CSD</t>
  </si>
  <si>
    <t>Capital Repairs Reserve</t>
  </si>
  <si>
    <t>Proposition Vote Scheduled For May 15, 2018 Seeking Approval To Expend An Amount Not To Exceed $1,698,598  For Athletic Facilities Improvements</t>
  </si>
  <si>
    <t>T This Time, We Are Not Aware Of Use During</t>
  </si>
  <si>
    <t>At This Time, We Are Not Aware Of Use During</t>
  </si>
  <si>
    <t>Unemployment Benefits Reserve</t>
  </si>
  <si>
    <t>At This Time, We Are Not Aware Of Use During 2018-19</t>
  </si>
  <si>
    <t>661301</t>
  </si>
  <si>
    <t>NORTH SALEM CSD</t>
  </si>
  <si>
    <t>Requesting A Vote To Approve Prop 2 To Construct Additions To And Reconstruct Elements Of The Water Supply Treatment And Distribution Systems At The Mshs.  The Maximum Cost Not To Exceed 900,000.</t>
  </si>
  <si>
    <t>Appropriate $25,000 To Offset Subsequent Year'S Expenditures.</t>
  </si>
  <si>
    <t>Decrease $30,000 For Expenditures For Employees Who Separate From District Service.</t>
  </si>
  <si>
    <t>Appropriate $350,000  To Off Set Subsequent Year'S  Expenditures.</t>
  </si>
  <si>
    <t>Increase By $421,789  For Pending Litigation And Settlements.</t>
  </si>
  <si>
    <t>Appropriate $4,000 To Offset Subsequent Year'S Expenditures.</t>
  </si>
  <si>
    <t>661401</t>
  </si>
  <si>
    <t>OSSINING UFSD</t>
  </si>
  <si>
    <t>For The Cost Of Any Object Or Purpose For  Which Capital Projects Or Bonds May Be Issued.</t>
  </si>
  <si>
    <t>To Cover Incurred Liability Claims.</t>
  </si>
  <si>
    <t>For Tax Certiorari Settlements.</t>
  </si>
  <si>
    <t>For Reimbursement To The State Unemployment Insurance Fund.</t>
  </si>
  <si>
    <t>661402</t>
  </si>
  <si>
    <t>BRIARCLIFF MANOR UFSD</t>
  </si>
  <si>
    <t>Teacher And Administrator Retirement Benefits</t>
  </si>
  <si>
    <t>Offset Retirement Contributions</t>
  </si>
  <si>
    <t>Tax Certiorari Claims</t>
  </si>
  <si>
    <t>661500</t>
  </si>
  <si>
    <t>PEEKSKILL CITY SD</t>
  </si>
  <si>
    <t>1000000</t>
  </si>
  <si>
    <t>Not Sure Based On Settlement</t>
  </si>
  <si>
    <t>661601</t>
  </si>
  <si>
    <t>PELHAM UFSD</t>
  </si>
  <si>
    <t>Pay Accrued Employee Benefits Due Upon Termination Of Employees' Service</t>
  </si>
  <si>
    <t>Pay Retirement Contributions To Nyslers</t>
  </si>
  <si>
    <t>Tax Certiorari Reserves</t>
  </si>
  <si>
    <t>Pay Settlements In Tax Certiorari Proceedings</t>
  </si>
  <si>
    <t>661800</t>
  </si>
  <si>
    <t>RYE CITY SD</t>
  </si>
  <si>
    <t>Undesignated</t>
  </si>
  <si>
    <t>Employee Retirement</t>
  </si>
  <si>
    <t>Reduction Of Nys Employee Retirement Exp</t>
  </si>
  <si>
    <t>Tax Certi</t>
  </si>
  <si>
    <t>Prior Year Tax Certi Payments</t>
  </si>
  <si>
    <t>Reduction Of Taxes</t>
  </si>
  <si>
    <t>661901</t>
  </si>
  <si>
    <t>RYE NECK UFSD</t>
  </si>
  <si>
    <t>To Pay Principal And Interest On District Bonds</t>
  </si>
  <si>
    <t>To Fund The 18/19 Ers Pension Liability</t>
  </si>
  <si>
    <t>To Pay For Any Tax Certiorari Judgments Received</t>
  </si>
  <si>
    <t>661904</t>
  </si>
  <si>
    <t>PORT CHESTER-RYE UFSD</t>
  </si>
  <si>
    <t>No Use For 2018-19</t>
  </si>
  <si>
    <t>$250K For 18-19 Contribution</t>
  </si>
  <si>
    <t>661905</t>
  </si>
  <si>
    <t>BLIND BROOK-RYE UFSD</t>
  </si>
  <si>
    <t>A Portion Will Be Used For Separation Payments On 7/15/18.</t>
  </si>
  <si>
    <t>$50000 Used In 2018-19 Budget.</t>
  </si>
  <si>
    <t>$128603 To Be Paid On 9-1-18 - Rye King</t>
  </si>
  <si>
    <t>662001</t>
  </si>
  <si>
    <t>To Pay For Uninsured Losses Above The Self-Insured Health Insurance Budget</t>
  </si>
  <si>
    <t>To encumber funds for purchase orders in place at year end that will not settle prior to June 30, 2018</t>
  </si>
  <si>
    <t>To Encumber Funds For Purchase Orders In Place At Year End That Will Not Settle Prior To June 30, 2018</t>
  </si>
  <si>
    <t>For interest earnings on bond proceeds AND return of unspent capital project balances</t>
  </si>
  <si>
    <t>For Interest Earnings On Bond Proceeds And Return Of Unspent Capital Project Balances</t>
  </si>
  <si>
    <t>To Fund Employer Retirement Contributions To The State And Local Employees Retirement System</t>
  </si>
  <si>
    <t>662101</t>
  </si>
  <si>
    <t>SOMERS CSD</t>
  </si>
  <si>
    <t>No Plans To Use Funds From This Reserve In 18-19.</t>
  </si>
  <si>
    <t>Benefit Liability Reserve</t>
  </si>
  <si>
    <t>To Fund Vacation Day Separation Payments.</t>
  </si>
  <si>
    <t>To Fund Repairs To School Buildings.</t>
  </si>
  <si>
    <t>Fund Payments To Nysers.</t>
  </si>
  <si>
    <t>To Fund Tax Certiorari Settlements As They Are Settled/Approved By The Court.</t>
  </si>
  <si>
    <t>662200</t>
  </si>
  <si>
    <t>WHITE PLAINS CITY SD</t>
  </si>
  <si>
    <t>For Capital Projects Per Voter Approval</t>
  </si>
  <si>
    <t>Employee Ben Acc Liability</t>
  </si>
  <si>
    <t>To Pay For Compensated Absences Per Contract</t>
  </si>
  <si>
    <t>To Fund The Cost Of Court Orders For Tax Certioraris</t>
  </si>
  <si>
    <t>662401</t>
  </si>
  <si>
    <t>LAKELAND CSD</t>
  </si>
  <si>
    <t>100,000-Pay Out Employee Benefits On Termination</t>
  </si>
  <si>
    <t>1,000,000-Pay Out Tax Certiorari Claims</t>
  </si>
  <si>
    <t>670201</t>
  </si>
  <si>
    <t>ATTICA CSD</t>
  </si>
  <si>
    <t>Cover Local Share Of Capital Project</t>
  </si>
  <si>
    <t>Miscellaneous Reserve-Eblar</t>
  </si>
  <si>
    <t>Cover Accrued Employee Benefit Costs</t>
  </si>
  <si>
    <t>Pension Liability Reserve</t>
  </si>
  <si>
    <t>Offset A Portion Of The Employer Contributions</t>
  </si>
  <si>
    <t>Cover Unemployment Costs</t>
  </si>
  <si>
    <t>Cover Workers Compensation Costs</t>
  </si>
  <si>
    <t>670401</t>
  </si>
  <si>
    <t>Transportation Vehicles Reserve</t>
  </si>
  <si>
    <t>$489,619 Proposition To Purchase 5 Buses</t>
  </si>
  <si>
    <t>Maintenance Vehicles Reserve</t>
  </si>
  <si>
    <t>$50,000 Proposition To Purchase 1 Dump Truck</t>
  </si>
  <si>
    <t>To Cover Accrued Benefits For Employees On Termination</t>
  </si>
  <si>
    <t>To Pay For Unexpected Repairs To Facilities And Equipment</t>
  </si>
  <si>
    <t>Proposition To Move $500,000 To New Capital Buildings Reserve</t>
  </si>
  <si>
    <t>$40,079 To Support The 2018-19 Budget</t>
  </si>
  <si>
    <t>671002</t>
  </si>
  <si>
    <t>WYOMING CSD</t>
  </si>
  <si>
    <t>Reserve For Capital Projects</t>
  </si>
  <si>
    <t>No Plan To Use In The 2018-19 School Year.  Intended To Be Used To Fund Future Projects.</t>
  </si>
  <si>
    <t>Reserve For Employee Benefits &amp; Accrued Liability</t>
  </si>
  <si>
    <t>No Plan To Use In 2018-19 School Year.  Intended For Long-Range Planning.</t>
  </si>
  <si>
    <t>$53,000 Is Intended To Be Used To Offset The Cost Of Employer Retirement Contributions.</t>
  </si>
  <si>
    <t>No Plan To Use In 2018-19 School Year.  Awaiting The Outcome Of Tax Assessment Challenges.</t>
  </si>
  <si>
    <t>$6000 Is To Be Used To Cover The Cost Of Unemployment Claims.</t>
  </si>
  <si>
    <t>671201</t>
  </si>
  <si>
    <t>PERRY CSD</t>
  </si>
  <si>
    <t>2018 Building Capital Reserve</t>
  </si>
  <si>
    <t>128621 - For Instructional And Maintenance Equipment.</t>
  </si>
  <si>
    <t>$128,621 (For Instructional And Maintenance Equipment)</t>
  </si>
  <si>
    <t>128621 (For Instructional And Maintenance Equipment)</t>
  </si>
  <si>
    <t>None Intended In 2018-19</t>
  </si>
  <si>
    <t>128621 For Instructional And Maintenance Equipment</t>
  </si>
  <si>
    <t>To pay for the cost of any construction, reconstruction, improvement, and equipping of school buildings and facilities</t>
  </si>
  <si>
    <t>To pay for the cost of any construction, reconstruction, improvement, and equipping of school buildings and facilities.</t>
  </si>
  <si>
    <t>671501</t>
  </si>
  <si>
    <t>WARSAW CSD</t>
  </si>
  <si>
    <t>Capital Reserve Fund-2015</t>
  </si>
  <si>
    <t>The Intended Use Of The Capital Reserve Is To Cover Expenses In Building Projects For Smaller Bonding.  No Use Anticipated In 2018 2019.</t>
  </si>
  <si>
    <t>The Debt Service Reserve Is To Be Used To Pay Principal And Interest Payments.  No Anticipated Use In 2018 2019.</t>
  </si>
  <si>
    <t>No Anticipated Use In 2018-2019.</t>
  </si>
  <si>
    <t>Fund Employer Contribution Rates For Ers.  Est Of 195000</t>
  </si>
  <si>
    <t>To Cover The Anticipated Annual Appropriation For The 2018-2019 School Year Expense. Est Of 10000.</t>
  </si>
  <si>
    <t>To Cover The Anticipated Annual Appropriation For The 2018-2019 School Year Expense. Est Of 65000</t>
  </si>
  <si>
    <t>680601</t>
  </si>
  <si>
    <t>PENN YAN CSD</t>
  </si>
  <si>
    <t>Offsetting Ers Cost</t>
  </si>
  <si>
    <t>Offset Workers Comp Costs</t>
  </si>
  <si>
    <t>680801</t>
  </si>
  <si>
    <t>DUNDEE CSD</t>
  </si>
  <si>
    <t>School Improvements</t>
  </si>
  <si>
    <t>Pending Voter Approved Project</t>
  </si>
  <si>
    <t>Contractual Employee Benefits</t>
  </si>
  <si>
    <t>Employer Contribution To Nyslrs</t>
  </si>
  <si>
    <t>Pay Claims; Partially Apply To Budget</t>
  </si>
  <si>
    <t>TRUMANSBURG CS</t>
  </si>
  <si>
    <t>VALLEY STREAM CHS</t>
  </si>
  <si>
    <t>VALLEY STREAM 24</t>
  </si>
  <si>
    <t>VALLEY STREAM 30</t>
  </si>
  <si>
    <t>VALLEY STREAM 13</t>
  </si>
  <si>
    <t>NOTE: Data corrections for Barker, Bedford and Trumansburg on 5/2/18</t>
  </si>
  <si>
    <t xml:space="preserve">ADDISON CSD   </t>
  </si>
  <si>
    <t xml:space="preserve">DUNDEE CSD    </t>
  </si>
  <si>
    <t>520701</t>
  </si>
  <si>
    <t xml:space="preserve">GALWAY CSD    </t>
  </si>
  <si>
    <t>PORT JEFFERSON</t>
  </si>
  <si>
    <t>662402</t>
  </si>
  <si>
    <t xml:space="preserve">YORKTOWN CSD  </t>
  </si>
  <si>
    <t>NOTE: Data corrections for Tonawanda and Forestville on 5/3/18</t>
  </si>
  <si>
    <t>NOTE: Data corrections for Bedford on 5/8/18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</si>
</sst>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sz val="10"/>
      <name val="Arial"/>
      <family val="2"/>
    </font>
    <font>
      <sz val="9"/>
      <color indexed="8"/>
      <name val="Arial"/>
      <family val="2"/>
    </font>
    <font>
      <sz val="11"/>
      <name val="Calibri"/>
      <family val="2"/>
      <scheme val="minor"/>
    </font>
    <font>
      <sz val="10"/>
      <color indexed="8"/>
      <name val="Arial"/>
      <family val="2"/>
    </font>
    <font>
      <b/>
      <sz val="10"/>
      <color indexed="8"/>
      <name val="Arial"/>
      <family val="2"/>
    </font>
    <font>
      <b/>
      <sz val="11"/>
      <color rgb="FFFF0000"/>
      <name val="Calibri"/>
      <family val="2"/>
      <scheme val="minor"/>
    </font>
  </fonts>
  <fills count="3">
    <fill>
      <patternFill patternType="none"/>
    </fill>
    <fill>
      <patternFill patternType="gray125"/>
    </fill>
    <fill>
      <patternFill patternType="solid">
        <fgColor rgb="FFC6EFCE"/>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2" fillId="2" borderId="0" applyNumberFormat="0" applyBorder="0" applyAlignment="0" applyProtection="0"/>
    <xf numFmtId="0" fontId="4" fillId="0" borderId="0"/>
    <xf numFmtId="0" fontId="7" fillId="0" borderId="0"/>
  </cellStyleXfs>
  <cellXfs count="50">
    <xf numFmtId="0" fontId="0" fillId="0" borderId="0" xfId="0"/>
    <xf numFmtId="0" fontId="0" fillId="0" borderId="0" xfId="0" applyAlignment="1">
      <alignment wrapText="1"/>
    </xf>
    <xf numFmtId="0" fontId="2" fillId="2" borderId="0" xfId="2" applyAlignment="1">
      <alignment wrapText="1"/>
    </xf>
    <xf numFmtId="0" fontId="2" fillId="2" borderId="0" xfId="2"/>
    <xf numFmtId="0" fontId="0" fillId="0" borderId="1" xfId="0" applyFill="1" applyBorder="1" applyAlignment="1">
      <alignment horizontal="center" wrapText="1"/>
    </xf>
    <xf numFmtId="0" fontId="0" fillId="0" borderId="1" xfId="0" applyFill="1" applyBorder="1" applyAlignment="1">
      <alignment horizontal="center"/>
    </xf>
    <xf numFmtId="0" fontId="4" fillId="0" borderId="1" xfId="0" applyFont="1" applyFill="1" applyBorder="1" applyAlignment="1">
      <alignment horizontal="center" wrapText="1"/>
    </xf>
    <xf numFmtId="0" fontId="0" fillId="0" borderId="1" xfId="0" applyFont="1" applyFill="1" applyBorder="1" applyAlignment="1">
      <alignment horizontal="center" wrapText="1"/>
    </xf>
    <xf numFmtId="0" fontId="5" fillId="0" borderId="1" xfId="3" applyFont="1" applyFill="1" applyBorder="1" applyAlignment="1">
      <alignment horizontal="center" wrapText="1"/>
    </xf>
    <xf numFmtId="0" fontId="0" fillId="0" borderId="0" xfId="0" applyFill="1"/>
    <xf numFmtId="164" fontId="0" fillId="0" borderId="0" xfId="1" applyNumberFormat="1" applyFont="1"/>
    <xf numFmtId="2" fontId="0" fillId="0" borderId="0" xfId="0" applyNumberFormat="1"/>
    <xf numFmtId="3" fontId="0" fillId="0" borderId="0" xfId="0" applyNumberFormat="1"/>
    <xf numFmtId="2" fontId="3" fillId="0" borderId="0" xfId="0" applyNumberFormat="1" applyFont="1"/>
    <xf numFmtId="0" fontId="3" fillId="0" borderId="0" xfId="0" applyFont="1"/>
    <xf numFmtId="2" fontId="6" fillId="0" borderId="0" xfId="0" applyNumberFormat="1" applyFont="1"/>
    <xf numFmtId="0" fontId="6" fillId="0" borderId="0" xfId="0" applyFont="1"/>
    <xf numFmtId="3" fontId="3" fillId="0" borderId="0" xfId="0" applyNumberFormat="1" applyFont="1"/>
    <xf numFmtId="164" fontId="6" fillId="0" borderId="0" xfId="1" applyNumberFormat="1" applyFont="1"/>
    <xf numFmtId="3" fontId="6" fillId="0" borderId="0" xfId="0" applyNumberFormat="1" applyFont="1"/>
    <xf numFmtId="1" fontId="8" fillId="0" borderId="2" xfId="4" applyNumberFormat="1" applyFont="1" applyFill="1" applyBorder="1" applyAlignment="1">
      <alignment horizontal="center" wrapText="1"/>
    </xf>
    <xf numFmtId="0" fontId="8" fillId="0" borderId="3" xfId="4" applyFont="1" applyFill="1" applyBorder="1" applyAlignment="1">
      <alignment horizontal="center"/>
    </xf>
    <xf numFmtId="0" fontId="8" fillId="0" borderId="3" xfId="4" applyFont="1" applyFill="1" applyBorder="1" applyAlignment="1">
      <alignment horizontal="center" wrapText="1"/>
    </xf>
    <xf numFmtId="0" fontId="8" fillId="0" borderId="4" xfId="4" applyFont="1" applyFill="1" applyBorder="1" applyAlignment="1">
      <alignment horizontal="center"/>
    </xf>
    <xf numFmtId="0" fontId="8" fillId="0" borderId="0" xfId="4" applyFont="1" applyFill="1" applyAlignment="1">
      <alignment horizontal="center"/>
    </xf>
    <xf numFmtId="1" fontId="7" fillId="0" borderId="5" xfId="4" applyNumberFormat="1" applyFont="1" applyBorder="1" applyAlignment="1">
      <alignment horizontal="left"/>
    </xf>
    <xf numFmtId="0" fontId="7" fillId="0" borderId="6" xfId="4" applyFont="1" applyBorder="1"/>
    <xf numFmtId="0" fontId="7" fillId="0" borderId="6" xfId="4" applyFont="1" applyBorder="1" applyAlignment="1">
      <alignment wrapText="1"/>
    </xf>
    <xf numFmtId="3" fontId="7" fillId="0" borderId="6" xfId="4" applyNumberFormat="1" applyFont="1" applyBorder="1" applyAlignment="1">
      <alignment wrapText="1"/>
    </xf>
    <xf numFmtId="0" fontId="7" fillId="0" borderId="7" xfId="4" applyBorder="1" applyAlignment="1">
      <alignment wrapText="1"/>
    </xf>
    <xf numFmtId="0" fontId="7" fillId="0" borderId="0" xfId="4"/>
    <xf numFmtId="1" fontId="7" fillId="0" borderId="8" xfId="4" applyNumberFormat="1" applyFont="1" applyBorder="1" applyAlignment="1">
      <alignment horizontal="left"/>
    </xf>
    <xf numFmtId="0" fontId="7" fillId="0" borderId="1" xfId="4" applyFont="1" applyBorder="1"/>
    <xf numFmtId="0" fontId="7" fillId="0" borderId="1" xfId="4" applyFont="1" applyBorder="1" applyAlignment="1">
      <alignment wrapText="1"/>
    </xf>
    <xf numFmtId="3" fontId="7" fillId="0" borderId="1" xfId="4" applyNumberFormat="1" applyFont="1" applyBorder="1" applyAlignment="1">
      <alignment wrapText="1"/>
    </xf>
    <xf numFmtId="0" fontId="7" fillId="0" borderId="9" xfId="4" applyBorder="1" applyAlignment="1">
      <alignment wrapText="1"/>
    </xf>
    <xf numFmtId="1" fontId="7" fillId="0" borderId="10" xfId="4" applyNumberFormat="1" applyFont="1" applyBorder="1" applyAlignment="1">
      <alignment horizontal="left"/>
    </xf>
    <xf numFmtId="0" fontId="7" fillId="0" borderId="11" xfId="4" applyFont="1" applyBorder="1"/>
    <xf numFmtId="0" fontId="7" fillId="0" borderId="11" xfId="4" applyFont="1" applyBorder="1" applyAlignment="1">
      <alignment wrapText="1"/>
    </xf>
    <xf numFmtId="3" fontId="7" fillId="0" borderId="11" xfId="4" applyNumberFormat="1" applyFont="1" applyBorder="1" applyAlignment="1">
      <alignment wrapText="1"/>
    </xf>
    <xf numFmtId="0" fontId="7" fillId="0" borderId="12" xfId="4" applyBorder="1" applyAlignment="1">
      <alignment wrapText="1"/>
    </xf>
    <xf numFmtId="1" fontId="7" fillId="0" borderId="0" xfId="4" applyNumberFormat="1" applyAlignment="1">
      <alignment horizontal="left"/>
    </xf>
    <xf numFmtId="0" fontId="7" fillId="0" borderId="0" xfId="4" applyAlignment="1">
      <alignment wrapText="1"/>
    </xf>
    <xf numFmtId="164" fontId="3" fillId="0" borderId="0" xfId="1" applyNumberFormat="1" applyFont="1"/>
    <xf numFmtId="0" fontId="9" fillId="0" borderId="0" xfId="0" applyFont="1"/>
    <xf numFmtId="0" fontId="0" fillId="0" borderId="0" xfId="0" applyFill="1" applyBorder="1" applyAlignment="1">
      <alignment horizontal="center" wrapText="1"/>
    </xf>
    <xf numFmtId="0" fontId="0" fillId="0" borderId="0" xfId="0" applyFill="1" applyBorder="1" applyAlignment="1">
      <alignment horizontal="center"/>
    </xf>
    <xf numFmtId="0" fontId="4" fillId="0" borderId="0" xfId="0" applyFont="1" applyFill="1" applyBorder="1" applyAlignment="1">
      <alignment horizontal="center" wrapText="1"/>
    </xf>
    <xf numFmtId="0" fontId="0" fillId="0" borderId="0" xfId="0" applyFont="1" applyFill="1" applyBorder="1" applyAlignment="1">
      <alignment horizontal="center" wrapText="1"/>
    </xf>
    <xf numFmtId="0" fontId="5" fillId="0" borderId="0" xfId="3" applyFont="1" applyFill="1" applyBorder="1" applyAlignment="1">
      <alignment horizontal="center" wrapText="1"/>
    </xf>
  </cellXfs>
  <cellStyles count="5">
    <cellStyle name="Comma" xfId="1" builtinId="3"/>
    <cellStyle name="Good" xfId="2" builtinId="26"/>
    <cellStyle name="Normal" xfId="0" builtinId="0"/>
    <cellStyle name="Normal 2" xfId="4" xr:uid="{9C33CC8E-4717-4663-B1FE-656EFAE0D8DD}"/>
    <cellStyle name="Normal_2010-11 PTRC 4_27_10_post_access" xfId="3" xr:uid="{456979A0-78F4-4D40-8423-5795E166F2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CEA33-2F2A-44F2-9A5F-A5E55FC15679}">
  <dimension ref="A1:AJ678"/>
  <sheetViews>
    <sheetView tabSelected="1" workbookViewId="0">
      <selection activeCell="F668" sqref="F668"/>
    </sheetView>
  </sheetViews>
  <sheetFormatPr defaultRowHeight="15" x14ac:dyDescent="0.25"/>
  <cols>
    <col min="1" max="1" width="8.7109375" customWidth="1"/>
    <col min="2" max="2" width="18.85546875" bestFit="1" customWidth="1"/>
    <col min="3" max="3" width="12.7109375" customWidth="1"/>
    <col min="4" max="4" width="12.5703125" bestFit="1" customWidth="1"/>
    <col min="5" max="13" width="13.140625" customWidth="1"/>
    <col min="14" max="14" width="11.5703125" bestFit="1" customWidth="1"/>
    <col min="15" max="15" width="11" bestFit="1" customWidth="1"/>
    <col min="16" max="22" width="13.140625" customWidth="1"/>
    <col min="23" max="24" width="11.5703125" customWidth="1"/>
    <col min="25" max="35" width="13.140625" customWidth="1"/>
  </cols>
  <sheetData>
    <row r="1" spans="1:36" x14ac:dyDescent="0.25">
      <c r="A1" t="s">
        <v>0</v>
      </c>
    </row>
    <row r="2" spans="1:36" s="1" customFormat="1" ht="225" hidden="1" x14ac:dyDescent="0.25">
      <c r="C2" s="2" t="s">
        <v>1</v>
      </c>
      <c r="D2" s="2" t="s">
        <v>2</v>
      </c>
      <c r="E2" s="2" t="s">
        <v>3</v>
      </c>
      <c r="F2" s="2" t="s">
        <v>4</v>
      </c>
      <c r="G2" s="2" t="s">
        <v>4</v>
      </c>
      <c r="H2" s="2" t="s">
        <v>5</v>
      </c>
      <c r="I2" s="2" t="s">
        <v>5</v>
      </c>
      <c r="J2" s="2" t="s">
        <v>6</v>
      </c>
      <c r="K2" s="2" t="s">
        <v>6</v>
      </c>
      <c r="L2" s="2" t="s">
        <v>7</v>
      </c>
      <c r="M2" s="2" t="s">
        <v>7</v>
      </c>
      <c r="N2" s="2" t="s">
        <v>8</v>
      </c>
      <c r="O2" s="2" t="s">
        <v>8</v>
      </c>
      <c r="P2" s="2" t="s">
        <v>9</v>
      </c>
      <c r="Q2" s="2" t="s">
        <v>10</v>
      </c>
      <c r="R2" s="2" t="s">
        <v>10</v>
      </c>
      <c r="S2" s="2" t="s">
        <v>11</v>
      </c>
      <c r="T2" s="2" t="s">
        <v>11</v>
      </c>
      <c r="U2" s="2" t="s">
        <v>12</v>
      </c>
      <c r="V2" s="2" t="s">
        <v>12</v>
      </c>
      <c r="W2" s="2" t="s">
        <v>13</v>
      </c>
      <c r="X2" s="2" t="s">
        <v>14</v>
      </c>
      <c r="Y2" s="2" t="s">
        <v>15</v>
      </c>
      <c r="Z2" s="2" t="s">
        <v>16</v>
      </c>
      <c r="AA2" s="2" t="s">
        <v>17</v>
      </c>
      <c r="AB2" s="2" t="s">
        <v>18</v>
      </c>
      <c r="AC2" s="2" t="s">
        <v>19</v>
      </c>
      <c r="AD2" s="2" t="s">
        <v>20</v>
      </c>
      <c r="AE2" s="2" t="s">
        <v>21</v>
      </c>
      <c r="AF2" s="2" t="s">
        <v>22</v>
      </c>
      <c r="AG2" s="2" t="s">
        <v>23</v>
      </c>
      <c r="AH2" s="2" t="s">
        <v>24</v>
      </c>
      <c r="AI2" s="2" t="s">
        <v>25</v>
      </c>
    </row>
    <row r="3" spans="1:36" hidden="1" x14ac:dyDescent="0.25">
      <c r="C3" s="3" t="s">
        <v>26</v>
      </c>
      <c r="D3" s="3" t="s">
        <v>27</v>
      </c>
      <c r="E3" s="3" t="s">
        <v>28</v>
      </c>
      <c r="F3" s="3" t="s">
        <v>29</v>
      </c>
      <c r="G3" s="3" t="s">
        <v>30</v>
      </c>
      <c r="H3" s="3" t="s">
        <v>31</v>
      </c>
      <c r="I3" s="3" t="s">
        <v>32</v>
      </c>
      <c r="J3" s="3" t="s">
        <v>33</v>
      </c>
      <c r="K3" s="3" t="s">
        <v>34</v>
      </c>
      <c r="L3" s="3" t="s">
        <v>35</v>
      </c>
      <c r="M3" s="3" t="s">
        <v>36</v>
      </c>
      <c r="N3" s="3" t="s">
        <v>37</v>
      </c>
      <c r="O3" s="3" t="s">
        <v>38</v>
      </c>
      <c r="P3" s="3" t="s">
        <v>39</v>
      </c>
      <c r="Q3" s="3" t="s">
        <v>40</v>
      </c>
      <c r="R3" s="3" t="s">
        <v>41</v>
      </c>
      <c r="S3" s="3" t="s">
        <v>42</v>
      </c>
      <c r="T3" s="3" t="s">
        <v>43</v>
      </c>
      <c r="U3" s="3" t="s">
        <v>44</v>
      </c>
      <c r="V3" s="3" t="s">
        <v>45</v>
      </c>
      <c r="W3" s="3" t="s">
        <v>46</v>
      </c>
      <c r="X3" s="3" t="s">
        <v>47</v>
      </c>
      <c r="Y3" s="3" t="s">
        <v>48</v>
      </c>
      <c r="Z3" s="3" t="s">
        <v>49</v>
      </c>
      <c r="AA3" s="3" t="s">
        <v>50</v>
      </c>
      <c r="AB3" s="3" t="s">
        <v>51</v>
      </c>
      <c r="AC3" s="3" t="s">
        <v>52</v>
      </c>
      <c r="AD3" s="3" t="s">
        <v>53</v>
      </c>
      <c r="AE3" s="3" t="s">
        <v>54</v>
      </c>
      <c r="AF3" s="3" t="s">
        <v>55</v>
      </c>
      <c r="AG3" s="3" t="s">
        <v>56</v>
      </c>
      <c r="AH3" s="3" t="s">
        <v>57</v>
      </c>
      <c r="AI3" s="3" t="s">
        <v>58</v>
      </c>
    </row>
    <row r="4" spans="1:36" s="9" customFormat="1" ht="90" x14ac:dyDescent="0.25">
      <c r="A4" s="4" t="s">
        <v>59</v>
      </c>
      <c r="B4" s="5" t="s">
        <v>60</v>
      </c>
      <c r="C4" s="6" t="s">
        <v>61</v>
      </c>
      <c r="D4" s="6" t="s">
        <v>62</v>
      </c>
      <c r="E4" s="6" t="s">
        <v>63</v>
      </c>
      <c r="F4" s="7" t="s">
        <v>64</v>
      </c>
      <c r="G4" s="7" t="s">
        <v>65</v>
      </c>
      <c r="H4" s="7" t="s">
        <v>66</v>
      </c>
      <c r="I4" s="7" t="s">
        <v>67</v>
      </c>
      <c r="J4" s="7" t="s">
        <v>68</v>
      </c>
      <c r="K4" s="7" t="s">
        <v>69</v>
      </c>
      <c r="L4" s="7" t="s">
        <v>70</v>
      </c>
      <c r="M4" s="7" t="s">
        <v>71</v>
      </c>
      <c r="N4" s="7" t="s">
        <v>72</v>
      </c>
      <c r="O4" s="7" t="s">
        <v>73</v>
      </c>
      <c r="P4" s="7" t="s">
        <v>74</v>
      </c>
      <c r="Q4" s="6" t="s">
        <v>75</v>
      </c>
      <c r="R4" s="6" t="s">
        <v>76</v>
      </c>
      <c r="S4" s="6" t="s">
        <v>77</v>
      </c>
      <c r="T4" s="6" t="s">
        <v>78</v>
      </c>
      <c r="U4" s="6" t="s">
        <v>79</v>
      </c>
      <c r="V4" s="6" t="s">
        <v>80</v>
      </c>
      <c r="W4" s="8" t="s">
        <v>81</v>
      </c>
      <c r="X4" s="8" t="s">
        <v>82</v>
      </c>
      <c r="Y4" s="6" t="s">
        <v>83</v>
      </c>
      <c r="Z4" s="6" t="s">
        <v>84</v>
      </c>
      <c r="AA4" s="6" t="s">
        <v>85</v>
      </c>
      <c r="AB4" s="6" t="s">
        <v>86</v>
      </c>
      <c r="AC4" s="6" t="s">
        <v>87</v>
      </c>
      <c r="AD4" s="6" t="s">
        <v>88</v>
      </c>
      <c r="AE4" s="6" t="s">
        <v>89</v>
      </c>
      <c r="AF4" s="6" t="s">
        <v>90</v>
      </c>
      <c r="AG4" s="6" t="s">
        <v>91</v>
      </c>
      <c r="AH4" s="6" t="s">
        <v>92</v>
      </c>
      <c r="AI4" s="6" t="s">
        <v>93</v>
      </c>
    </row>
    <row r="5" spans="1:36" s="14" customFormat="1" x14ac:dyDescent="0.25">
      <c r="A5" s="16" t="s">
        <v>4431</v>
      </c>
      <c r="B5" s="16" t="s">
        <v>5744</v>
      </c>
      <c r="C5" s="18">
        <v>29431522</v>
      </c>
      <c r="D5" s="18">
        <v>29843649</v>
      </c>
      <c r="E5" s="15">
        <v>1.4</v>
      </c>
      <c r="F5" s="19">
        <v>7128169</v>
      </c>
      <c r="G5" s="19">
        <v>7199451</v>
      </c>
      <c r="H5" s="19"/>
      <c r="I5" s="19"/>
      <c r="J5" s="19"/>
      <c r="K5" s="19"/>
      <c r="L5" s="19"/>
      <c r="M5" s="19"/>
      <c r="N5" s="19">
        <v>7128169</v>
      </c>
      <c r="O5" s="19">
        <v>7199451</v>
      </c>
      <c r="P5" s="15">
        <v>1</v>
      </c>
      <c r="Q5" s="19">
        <v>0</v>
      </c>
      <c r="R5" s="19">
        <v>0</v>
      </c>
      <c r="S5" s="19">
        <v>7159693</v>
      </c>
      <c r="T5" s="19">
        <v>7466378</v>
      </c>
      <c r="U5" s="19">
        <v>7128169</v>
      </c>
      <c r="V5" s="19">
        <v>7199451</v>
      </c>
      <c r="W5" s="19">
        <v>31524</v>
      </c>
      <c r="X5" s="19">
        <v>266927</v>
      </c>
      <c r="Y5" s="19">
        <v>1055</v>
      </c>
      <c r="Z5" s="19">
        <v>1098</v>
      </c>
      <c r="AA5" s="15">
        <v>4.08</v>
      </c>
      <c r="AB5" s="19">
        <v>2752980</v>
      </c>
      <c r="AC5" s="19">
        <v>2954275</v>
      </c>
      <c r="AD5" s="19">
        <v>526247</v>
      </c>
      <c r="AE5" s="19">
        <v>285000</v>
      </c>
      <c r="AF5" s="19">
        <v>1171261</v>
      </c>
      <c r="AG5" s="19">
        <v>1193744</v>
      </c>
      <c r="AH5" s="15">
        <v>3.98</v>
      </c>
      <c r="AI5" s="15">
        <v>4</v>
      </c>
      <c r="AJ5" s="13"/>
    </row>
    <row r="6" spans="1:36" s="16" customFormat="1" x14ac:dyDescent="0.25">
      <c r="A6" t="str">
        <f>"410401"</f>
        <v>410401</v>
      </c>
      <c r="B6" t="s">
        <v>94</v>
      </c>
      <c r="C6" s="10">
        <v>28933590</v>
      </c>
      <c r="D6" s="10">
        <v>28350953</v>
      </c>
      <c r="E6" s="11">
        <v>-2.0099999999999998</v>
      </c>
      <c r="F6" s="12">
        <v>9752274</v>
      </c>
      <c r="G6" s="12">
        <v>9925546</v>
      </c>
      <c r="H6" s="12"/>
      <c r="I6" s="12"/>
      <c r="J6" s="12" t="s">
        <v>95</v>
      </c>
      <c r="K6" s="12" t="s">
        <v>95</v>
      </c>
      <c r="L6" s="12"/>
      <c r="M6" s="12"/>
      <c r="N6" s="12">
        <v>9752274</v>
      </c>
      <c r="O6" s="12">
        <v>9925546</v>
      </c>
      <c r="P6" s="11">
        <v>1.78</v>
      </c>
      <c r="Q6" s="12">
        <v>146806</v>
      </c>
      <c r="R6" s="12">
        <v>82807</v>
      </c>
      <c r="S6" s="12">
        <v>9605468</v>
      </c>
      <c r="T6" s="12">
        <v>9842739</v>
      </c>
      <c r="U6" s="12">
        <v>9605468</v>
      </c>
      <c r="V6" s="12">
        <v>9842739</v>
      </c>
      <c r="W6" s="12">
        <v>0</v>
      </c>
      <c r="X6" s="12">
        <v>0</v>
      </c>
      <c r="Y6" s="12">
        <v>1267</v>
      </c>
      <c r="Z6" s="12">
        <v>1231</v>
      </c>
      <c r="AA6" s="11">
        <v>-2.84</v>
      </c>
      <c r="AB6" s="12">
        <v>4754153</v>
      </c>
      <c r="AC6" s="12">
        <v>4765153</v>
      </c>
      <c r="AD6" s="12">
        <v>861151</v>
      </c>
      <c r="AE6" s="12">
        <v>861151</v>
      </c>
      <c r="AF6" s="12">
        <v>682765</v>
      </c>
      <c r="AG6" s="12">
        <v>682765</v>
      </c>
      <c r="AH6" s="11">
        <v>2.36</v>
      </c>
      <c r="AI6" s="11">
        <v>2.41</v>
      </c>
      <c r="AJ6" s="15"/>
    </row>
    <row r="7" spans="1:36" x14ac:dyDescent="0.25">
      <c r="A7" t="str">
        <f>"080101"</f>
        <v>080101</v>
      </c>
      <c r="B7" t="s">
        <v>96</v>
      </c>
      <c r="C7" s="10">
        <v>15617596</v>
      </c>
      <c r="D7" s="10">
        <v>15700781</v>
      </c>
      <c r="E7" s="11">
        <v>0.53</v>
      </c>
      <c r="F7" s="12">
        <v>4454136</v>
      </c>
      <c r="G7" s="12">
        <v>4507976</v>
      </c>
      <c r="H7" s="12"/>
      <c r="I7" s="12"/>
      <c r="J7" s="12"/>
      <c r="K7" s="12"/>
      <c r="L7" s="12"/>
      <c r="M7" s="12"/>
      <c r="N7" s="12">
        <v>4454136</v>
      </c>
      <c r="O7" s="12">
        <v>4507976</v>
      </c>
      <c r="P7" s="11">
        <v>1.21</v>
      </c>
      <c r="Q7" s="12">
        <v>0</v>
      </c>
      <c r="R7" s="12">
        <v>0</v>
      </c>
      <c r="S7" s="12">
        <v>4456548</v>
      </c>
      <c r="T7" s="12">
        <v>4507976</v>
      </c>
      <c r="U7" s="12">
        <v>4454136</v>
      </c>
      <c r="V7" s="12">
        <v>4507976</v>
      </c>
      <c r="W7" s="12">
        <v>2412</v>
      </c>
      <c r="X7" s="12">
        <v>0</v>
      </c>
      <c r="Y7" s="12">
        <v>538</v>
      </c>
      <c r="Z7" s="12">
        <v>529</v>
      </c>
      <c r="AA7" s="11">
        <v>-1.67</v>
      </c>
      <c r="AB7" s="12">
        <v>3031754</v>
      </c>
      <c r="AC7" s="12">
        <v>2814513</v>
      </c>
      <c r="AD7" s="12">
        <v>650000</v>
      </c>
      <c r="AE7" s="12">
        <v>659500</v>
      </c>
      <c r="AF7" s="12">
        <v>1321258</v>
      </c>
      <c r="AG7" s="12">
        <v>1121000</v>
      </c>
      <c r="AH7" s="11">
        <v>8.4600000000000009</v>
      </c>
      <c r="AI7" s="11">
        <v>7.14</v>
      </c>
      <c r="AJ7" s="13"/>
    </row>
    <row r="8" spans="1:36" x14ac:dyDescent="0.25">
      <c r="A8" t="str">
        <f>"142101"</f>
        <v>142101</v>
      </c>
      <c r="B8" t="s">
        <v>97</v>
      </c>
      <c r="C8" s="10">
        <v>30930738</v>
      </c>
      <c r="D8" s="10">
        <v>31613103</v>
      </c>
      <c r="E8" s="11">
        <v>2.21</v>
      </c>
      <c r="F8" s="12">
        <v>9690000</v>
      </c>
      <c r="G8" s="12">
        <v>9779800</v>
      </c>
      <c r="H8" s="12"/>
      <c r="I8" s="12"/>
      <c r="J8" s="12"/>
      <c r="K8" s="12"/>
      <c r="L8" s="12"/>
      <c r="M8" s="12"/>
      <c r="N8" s="12">
        <v>9690000</v>
      </c>
      <c r="O8" s="12">
        <v>9779800</v>
      </c>
      <c r="P8" s="11">
        <v>0.93</v>
      </c>
      <c r="Q8" s="12">
        <v>317891</v>
      </c>
      <c r="R8" s="12">
        <v>188974</v>
      </c>
      <c r="S8" s="12">
        <v>9374309</v>
      </c>
      <c r="T8" s="12">
        <v>9635913</v>
      </c>
      <c r="U8" s="12">
        <v>9372109</v>
      </c>
      <c r="V8" s="12">
        <v>9590826</v>
      </c>
      <c r="W8" s="12">
        <v>2200</v>
      </c>
      <c r="X8" s="12">
        <v>45087</v>
      </c>
      <c r="Y8" s="12">
        <v>1462</v>
      </c>
      <c r="Z8" s="12">
        <v>1444</v>
      </c>
      <c r="AA8" s="11">
        <v>-1.23</v>
      </c>
      <c r="AB8" s="12">
        <v>9597791</v>
      </c>
      <c r="AC8" s="12">
        <v>12835000</v>
      </c>
      <c r="AD8" s="12">
        <v>1643150</v>
      </c>
      <c r="AE8" s="12">
        <v>1700000</v>
      </c>
      <c r="AF8" s="12">
        <v>2434118</v>
      </c>
      <c r="AG8" s="12">
        <v>2500000</v>
      </c>
      <c r="AH8" s="11">
        <v>7.87</v>
      </c>
      <c r="AI8" s="11">
        <v>7.91</v>
      </c>
      <c r="AJ8" s="13"/>
    </row>
    <row r="9" spans="1:36" x14ac:dyDescent="0.25">
      <c r="A9" t="str">
        <f>"010100"</f>
        <v>010100</v>
      </c>
      <c r="B9" t="s">
        <v>98</v>
      </c>
      <c r="C9" s="10">
        <v>240177508</v>
      </c>
      <c r="D9" s="10">
        <v>249447555</v>
      </c>
      <c r="E9" s="11">
        <v>3.86</v>
      </c>
      <c r="F9" s="12">
        <v>113999102</v>
      </c>
      <c r="G9" s="12">
        <v>115514377</v>
      </c>
      <c r="H9" s="12"/>
      <c r="I9" s="12"/>
      <c r="J9" s="12"/>
      <c r="K9" s="12"/>
      <c r="L9" s="12"/>
      <c r="M9" s="12"/>
      <c r="N9" s="12">
        <v>113999102</v>
      </c>
      <c r="O9" s="12">
        <v>115514377</v>
      </c>
      <c r="P9" s="11">
        <v>1.33</v>
      </c>
      <c r="Q9" s="12">
        <v>4704432</v>
      </c>
      <c r="R9" s="12">
        <v>5448277</v>
      </c>
      <c r="S9" s="12">
        <v>110389560</v>
      </c>
      <c r="T9" s="12">
        <v>110800564</v>
      </c>
      <c r="U9" s="12">
        <v>109294670</v>
      </c>
      <c r="V9" s="12">
        <v>110066100</v>
      </c>
      <c r="W9" s="12">
        <v>1094890</v>
      </c>
      <c r="X9" s="12">
        <v>734464</v>
      </c>
      <c r="Y9" s="12">
        <v>11525</v>
      </c>
      <c r="Z9" s="12">
        <v>11525</v>
      </c>
      <c r="AA9" s="11">
        <v>0</v>
      </c>
      <c r="AB9" s="12">
        <v>19536937</v>
      </c>
      <c r="AC9" s="12">
        <v>25036937</v>
      </c>
      <c r="AD9" s="12">
        <v>5850000</v>
      </c>
      <c r="AE9" s="12">
        <v>4800000</v>
      </c>
      <c r="AF9" s="12">
        <v>7945191</v>
      </c>
      <c r="AG9" s="12">
        <v>9437958</v>
      </c>
      <c r="AH9" s="11">
        <v>3.31</v>
      </c>
      <c r="AI9" s="11">
        <v>3.78</v>
      </c>
    </row>
    <row r="10" spans="1:36" s="9" customFormat="1" x14ac:dyDescent="0.25">
      <c r="A10" t="str">
        <f>"450101"</f>
        <v>450101</v>
      </c>
      <c r="B10" t="s">
        <v>99</v>
      </c>
      <c r="C10" s="10">
        <v>34796676</v>
      </c>
      <c r="D10" s="10">
        <v>35225625</v>
      </c>
      <c r="E10" s="11">
        <v>1.23</v>
      </c>
      <c r="F10" s="12">
        <v>8474939</v>
      </c>
      <c r="G10" s="12">
        <v>8449094</v>
      </c>
      <c r="H10" s="12"/>
      <c r="I10" s="12"/>
      <c r="J10" s="12"/>
      <c r="K10" s="12"/>
      <c r="L10" s="12"/>
      <c r="M10" s="12"/>
      <c r="N10" s="12">
        <v>8474939</v>
      </c>
      <c r="O10" s="12">
        <v>8449094</v>
      </c>
      <c r="P10" s="11">
        <v>-0.3</v>
      </c>
      <c r="Q10" s="12">
        <v>0</v>
      </c>
      <c r="R10" s="12">
        <v>0</v>
      </c>
      <c r="S10" s="12">
        <v>8708038</v>
      </c>
      <c r="T10" s="12">
        <v>8826429</v>
      </c>
      <c r="U10" s="12">
        <v>8474939</v>
      </c>
      <c r="V10" s="12">
        <v>8449094</v>
      </c>
      <c r="W10" s="12">
        <v>233099</v>
      </c>
      <c r="X10" s="12">
        <v>377335</v>
      </c>
      <c r="Y10" s="12">
        <v>1815</v>
      </c>
      <c r="Z10" s="12">
        <v>1776</v>
      </c>
      <c r="AA10" s="11">
        <v>-2.15</v>
      </c>
      <c r="AB10" s="12">
        <v>16063845</v>
      </c>
      <c r="AC10" s="12">
        <v>18000000</v>
      </c>
      <c r="AD10" s="12">
        <v>1454285</v>
      </c>
      <c r="AE10" s="12">
        <v>1500000</v>
      </c>
      <c r="AF10" s="12">
        <v>3372219</v>
      </c>
      <c r="AG10" s="12">
        <v>1409000</v>
      </c>
      <c r="AH10" s="11">
        <v>9.69</v>
      </c>
      <c r="AI10" s="11">
        <v>4</v>
      </c>
    </row>
    <row r="11" spans="1:36" s="14" customFormat="1" x14ac:dyDescent="0.25">
      <c r="A11" t="str">
        <f>"140101"</f>
        <v>140101</v>
      </c>
      <c r="B11" t="s">
        <v>100</v>
      </c>
      <c r="C11" s="10">
        <v>34379776</v>
      </c>
      <c r="D11" s="10">
        <v>33972380</v>
      </c>
      <c r="E11" s="11">
        <v>-1.18</v>
      </c>
      <c r="F11" s="12">
        <v>14554604</v>
      </c>
      <c r="G11" s="12">
        <v>14884297</v>
      </c>
      <c r="H11" s="12"/>
      <c r="I11" s="12"/>
      <c r="J11" s="12"/>
      <c r="K11" s="12"/>
      <c r="L11" s="12"/>
      <c r="M11" s="12"/>
      <c r="N11" s="12">
        <v>14554604</v>
      </c>
      <c r="O11" s="12">
        <v>14884297</v>
      </c>
      <c r="P11" s="11">
        <v>2.27</v>
      </c>
      <c r="Q11" s="12">
        <v>0</v>
      </c>
      <c r="R11" s="12">
        <v>0</v>
      </c>
      <c r="S11" s="12">
        <v>15142157</v>
      </c>
      <c r="T11" s="12">
        <v>15146354</v>
      </c>
      <c r="U11" s="12">
        <v>14554604</v>
      </c>
      <c r="V11" s="12">
        <v>14884297</v>
      </c>
      <c r="W11" s="12">
        <v>587553</v>
      </c>
      <c r="X11" s="12">
        <v>262057</v>
      </c>
      <c r="Y11" s="12">
        <v>1680</v>
      </c>
      <c r="Z11" s="12">
        <v>1635</v>
      </c>
      <c r="AA11" s="11">
        <v>-2.68</v>
      </c>
      <c r="AB11" s="12">
        <v>13575160</v>
      </c>
      <c r="AC11" s="12">
        <v>6847118</v>
      </c>
      <c r="AD11" s="12">
        <v>3276051</v>
      </c>
      <c r="AE11" s="12">
        <v>3000000</v>
      </c>
      <c r="AF11" s="12">
        <v>1375177</v>
      </c>
      <c r="AG11" s="12">
        <v>1358895</v>
      </c>
      <c r="AH11" s="11">
        <v>4</v>
      </c>
      <c r="AI11" s="11">
        <v>4</v>
      </c>
      <c r="AJ11" s="13"/>
    </row>
    <row r="12" spans="1:36" s="16" customFormat="1" x14ac:dyDescent="0.25">
      <c r="A12" t="str">
        <f>"180202"</f>
        <v>180202</v>
      </c>
      <c r="B12" t="s">
        <v>101</v>
      </c>
      <c r="C12" s="10">
        <v>17998177</v>
      </c>
      <c r="D12" s="10">
        <v>17704810</v>
      </c>
      <c r="E12" s="11">
        <v>-1.63</v>
      </c>
      <c r="F12" s="12">
        <v>6045850</v>
      </c>
      <c r="G12" s="12">
        <v>6154675</v>
      </c>
      <c r="H12" s="12"/>
      <c r="I12" s="12"/>
      <c r="J12" s="12"/>
      <c r="K12" s="12"/>
      <c r="L12" s="12"/>
      <c r="M12" s="12"/>
      <c r="N12" s="12">
        <v>6045850</v>
      </c>
      <c r="O12" s="12">
        <v>6154675</v>
      </c>
      <c r="P12" s="11">
        <v>1.8</v>
      </c>
      <c r="Q12" s="12">
        <v>0</v>
      </c>
      <c r="R12" s="12">
        <v>0</v>
      </c>
      <c r="S12" s="12">
        <v>6045850</v>
      </c>
      <c r="T12" s="12">
        <v>6154675</v>
      </c>
      <c r="U12" s="12">
        <v>6045850</v>
      </c>
      <c r="V12" s="12">
        <v>6154675</v>
      </c>
      <c r="W12" s="12">
        <v>0</v>
      </c>
      <c r="X12" s="12">
        <v>0</v>
      </c>
      <c r="Y12" s="12">
        <v>853</v>
      </c>
      <c r="Z12" s="12">
        <v>845</v>
      </c>
      <c r="AA12" s="11">
        <v>-0.94</v>
      </c>
      <c r="AB12" s="12">
        <v>3045608</v>
      </c>
      <c r="AC12" s="12">
        <v>1112920</v>
      </c>
      <c r="AD12" s="12">
        <v>368000</v>
      </c>
      <c r="AE12" s="12">
        <v>612974</v>
      </c>
      <c r="AF12" s="12">
        <v>545663</v>
      </c>
      <c r="AG12" s="12">
        <v>695000</v>
      </c>
      <c r="AH12" s="11">
        <v>3.03</v>
      </c>
      <c r="AI12" s="11">
        <v>3.93</v>
      </c>
      <c r="AJ12" s="15"/>
    </row>
    <row r="13" spans="1:36" x14ac:dyDescent="0.25">
      <c r="A13" t="str">
        <f>"220202"</f>
        <v>220202</v>
      </c>
      <c r="B13" t="s">
        <v>102</v>
      </c>
      <c r="C13" s="10">
        <v>13128841</v>
      </c>
      <c r="D13" s="10">
        <v>13531525</v>
      </c>
      <c r="E13" s="11">
        <v>3.07</v>
      </c>
      <c r="F13" s="12">
        <v>7188449</v>
      </c>
      <c r="G13" s="12">
        <v>7331500</v>
      </c>
      <c r="H13" s="12"/>
      <c r="I13" s="12"/>
      <c r="J13" s="12"/>
      <c r="K13" s="12"/>
      <c r="L13" s="12"/>
      <c r="M13" s="12"/>
      <c r="N13" s="12">
        <v>7188449</v>
      </c>
      <c r="O13" s="12">
        <v>7331500</v>
      </c>
      <c r="P13" s="11">
        <v>1.99</v>
      </c>
      <c r="Q13" s="12">
        <v>565786</v>
      </c>
      <c r="R13" s="12">
        <v>602109</v>
      </c>
      <c r="S13" s="12">
        <v>6655438</v>
      </c>
      <c r="T13" s="12">
        <v>6754386</v>
      </c>
      <c r="U13" s="12">
        <v>6622663</v>
      </c>
      <c r="V13" s="12">
        <v>6729391</v>
      </c>
      <c r="W13" s="12">
        <v>32775</v>
      </c>
      <c r="X13" s="12">
        <v>24995</v>
      </c>
      <c r="Y13" s="12">
        <v>515</v>
      </c>
      <c r="Z13" s="12">
        <v>515</v>
      </c>
      <c r="AA13" s="11">
        <v>0</v>
      </c>
      <c r="AB13" s="12">
        <v>538498</v>
      </c>
      <c r="AC13" s="12">
        <v>720498</v>
      </c>
      <c r="AD13" s="12">
        <v>1000000</v>
      </c>
      <c r="AE13" s="12">
        <v>925000</v>
      </c>
      <c r="AF13" s="12">
        <v>2206227</v>
      </c>
      <c r="AG13" s="12">
        <v>1517382</v>
      </c>
      <c r="AH13" s="11">
        <v>16.8</v>
      </c>
      <c r="AI13" s="11">
        <v>11.21</v>
      </c>
      <c r="AJ13" s="13"/>
    </row>
    <row r="14" spans="1:36" x14ac:dyDescent="0.25">
      <c r="A14" t="str">
        <f>"020101"</f>
        <v>020101</v>
      </c>
      <c r="B14" t="s">
        <v>103</v>
      </c>
      <c r="C14" s="10">
        <v>13273772</v>
      </c>
      <c r="D14" s="10">
        <v>13741954</v>
      </c>
      <c r="E14" s="11">
        <v>3.53</v>
      </c>
      <c r="F14" s="12">
        <v>4976725</v>
      </c>
      <c r="G14" s="12">
        <v>5071283</v>
      </c>
      <c r="H14" s="12"/>
      <c r="I14" s="12"/>
      <c r="J14" s="12"/>
      <c r="K14" s="12"/>
      <c r="L14" s="12"/>
      <c r="M14" s="12"/>
      <c r="N14" s="12">
        <v>4976725</v>
      </c>
      <c r="O14" s="12">
        <v>5071283</v>
      </c>
      <c r="P14" s="11">
        <v>1.9</v>
      </c>
      <c r="Q14" s="12">
        <v>172935</v>
      </c>
      <c r="R14" s="12">
        <v>51226</v>
      </c>
      <c r="S14" s="12">
        <v>4807477</v>
      </c>
      <c r="T14" s="12">
        <v>4900881</v>
      </c>
      <c r="U14" s="12">
        <v>4803790</v>
      </c>
      <c r="V14" s="12">
        <v>5020057</v>
      </c>
      <c r="W14" s="12">
        <v>3687</v>
      </c>
      <c r="X14" s="12">
        <v>-119176</v>
      </c>
      <c r="Y14" s="12">
        <v>616</v>
      </c>
      <c r="Z14" s="12">
        <v>621</v>
      </c>
      <c r="AA14" s="11">
        <v>0.81</v>
      </c>
      <c r="AB14" s="12">
        <v>2857387</v>
      </c>
      <c r="AC14" s="12">
        <v>2747387</v>
      </c>
      <c r="AD14" s="12">
        <v>677638</v>
      </c>
      <c r="AE14" s="12">
        <v>677638</v>
      </c>
      <c r="AF14" s="12">
        <v>1379897</v>
      </c>
      <c r="AG14" s="12">
        <v>1379897</v>
      </c>
      <c r="AH14" s="11">
        <v>10.4</v>
      </c>
      <c r="AI14" s="11">
        <v>10.039999999999999</v>
      </c>
      <c r="AJ14" s="13"/>
    </row>
    <row r="15" spans="1:36" s="16" customFormat="1" x14ac:dyDescent="0.25">
      <c r="A15" t="str">
        <f>"040302"</f>
        <v>040302</v>
      </c>
      <c r="B15" t="s">
        <v>104</v>
      </c>
      <c r="C15" s="10">
        <v>23097230</v>
      </c>
      <c r="D15" s="10">
        <v>23274630</v>
      </c>
      <c r="E15" s="11">
        <v>0.77</v>
      </c>
      <c r="F15" s="12">
        <v>7391839</v>
      </c>
      <c r="G15" s="12">
        <v>7173584</v>
      </c>
      <c r="H15" s="12"/>
      <c r="I15" s="12"/>
      <c r="J15" s="12"/>
      <c r="K15" s="12"/>
      <c r="L15" s="12"/>
      <c r="M15" s="12"/>
      <c r="N15" s="12">
        <v>7391839</v>
      </c>
      <c r="O15" s="12">
        <v>7173584</v>
      </c>
      <c r="P15" s="11">
        <v>-2.95</v>
      </c>
      <c r="Q15" s="12">
        <v>82394</v>
      </c>
      <c r="R15" s="12">
        <v>0</v>
      </c>
      <c r="S15" s="12">
        <v>7676836</v>
      </c>
      <c r="T15" s="12">
        <v>7568438</v>
      </c>
      <c r="U15" s="12">
        <v>7309445</v>
      </c>
      <c r="V15" s="12">
        <v>7173584</v>
      </c>
      <c r="W15" s="12">
        <v>367391</v>
      </c>
      <c r="X15" s="12">
        <v>394854</v>
      </c>
      <c r="Y15" s="12">
        <v>1197</v>
      </c>
      <c r="Z15" s="12">
        <v>1200</v>
      </c>
      <c r="AA15" s="11">
        <v>0.25</v>
      </c>
      <c r="AB15" s="12">
        <v>3334100</v>
      </c>
      <c r="AC15" s="12">
        <v>3835750</v>
      </c>
      <c r="AD15" s="12">
        <v>430000</v>
      </c>
      <c r="AE15" s="12">
        <v>265000</v>
      </c>
      <c r="AF15" s="12">
        <v>2217877</v>
      </c>
      <c r="AG15" s="12">
        <v>2382877</v>
      </c>
      <c r="AH15" s="11">
        <v>9.6</v>
      </c>
      <c r="AI15" s="11">
        <v>10.24</v>
      </c>
      <c r="AJ15" s="15"/>
    </row>
    <row r="16" spans="1:36" x14ac:dyDescent="0.25">
      <c r="A16" t="str">
        <f>"460102"</f>
        <v>460102</v>
      </c>
      <c r="B16" t="s">
        <v>105</v>
      </c>
      <c r="C16" s="10">
        <v>31413117</v>
      </c>
      <c r="D16" s="10">
        <v>32809723</v>
      </c>
      <c r="E16" s="11">
        <v>4.45</v>
      </c>
      <c r="F16" s="12">
        <v>6204896</v>
      </c>
      <c r="G16" s="12">
        <v>6316249</v>
      </c>
      <c r="H16" s="12">
        <v>65000</v>
      </c>
      <c r="I16" s="12">
        <v>65000</v>
      </c>
      <c r="J16" s="12"/>
      <c r="K16" s="12"/>
      <c r="L16" s="12"/>
      <c r="M16" s="12"/>
      <c r="N16" s="12">
        <v>6269896</v>
      </c>
      <c r="O16" s="12">
        <v>6381249</v>
      </c>
      <c r="P16" s="11">
        <v>1.78</v>
      </c>
      <c r="Q16" s="12">
        <v>322484</v>
      </c>
      <c r="R16" s="12">
        <v>0</v>
      </c>
      <c r="S16" s="12">
        <v>6473780</v>
      </c>
      <c r="T16" s="12">
        <v>6328994</v>
      </c>
      <c r="U16" s="12">
        <v>5882412</v>
      </c>
      <c r="V16" s="12">
        <v>6316249</v>
      </c>
      <c r="W16" s="12">
        <v>591368</v>
      </c>
      <c r="X16" s="12">
        <v>12745</v>
      </c>
      <c r="Y16" s="12">
        <v>1161</v>
      </c>
      <c r="Z16" s="12">
        <v>1158</v>
      </c>
      <c r="AA16" s="11">
        <v>-0.26</v>
      </c>
      <c r="AB16" s="12">
        <v>15334375</v>
      </c>
      <c r="AC16" s="12">
        <v>12309822</v>
      </c>
      <c r="AD16" s="12">
        <v>0</v>
      </c>
      <c r="AE16" s="12">
        <v>0</v>
      </c>
      <c r="AF16" s="12">
        <v>4165361</v>
      </c>
      <c r="AG16" s="12">
        <v>1256520</v>
      </c>
      <c r="AH16" s="11">
        <v>13.26</v>
      </c>
      <c r="AI16" s="11">
        <v>3.83</v>
      </c>
      <c r="AJ16" s="13"/>
    </row>
    <row r="17" spans="1:36" s="16" customFormat="1" x14ac:dyDescent="0.25">
      <c r="A17" t="str">
        <f>"580303"</f>
        <v>580303</v>
      </c>
      <c r="B17" t="s">
        <v>106</v>
      </c>
      <c r="C17" s="10">
        <v>10678819</v>
      </c>
      <c r="D17" s="10">
        <v>10752240</v>
      </c>
      <c r="E17" s="11">
        <v>0.69</v>
      </c>
      <c r="F17" s="12">
        <v>9299086</v>
      </c>
      <c r="G17" s="12">
        <v>9575829</v>
      </c>
      <c r="H17" s="12"/>
      <c r="I17" s="12"/>
      <c r="J17" s="12"/>
      <c r="K17" s="12"/>
      <c r="L17" s="12"/>
      <c r="M17" s="12"/>
      <c r="N17" s="12">
        <v>9299086</v>
      </c>
      <c r="O17" s="12">
        <v>9575829</v>
      </c>
      <c r="P17" s="11">
        <v>2.98</v>
      </c>
      <c r="Q17" s="12">
        <v>0</v>
      </c>
      <c r="R17" s="12">
        <v>0</v>
      </c>
      <c r="S17" s="12">
        <v>9304676</v>
      </c>
      <c r="T17" s="12">
        <v>9577209</v>
      </c>
      <c r="U17" s="12">
        <v>9299086</v>
      </c>
      <c r="V17" s="12">
        <v>9575829</v>
      </c>
      <c r="W17" s="12">
        <v>5590</v>
      </c>
      <c r="X17" s="12">
        <v>1380</v>
      </c>
      <c r="Y17" s="12">
        <v>193</v>
      </c>
      <c r="Z17" s="12">
        <v>187</v>
      </c>
      <c r="AA17" s="11">
        <v>-3.11</v>
      </c>
      <c r="AB17" s="12">
        <v>2410773</v>
      </c>
      <c r="AC17" s="12">
        <v>1853892</v>
      </c>
      <c r="AD17" s="12">
        <v>839182</v>
      </c>
      <c r="AE17" s="12">
        <v>613844</v>
      </c>
      <c r="AF17" s="12">
        <v>427155</v>
      </c>
      <c r="AG17" s="12">
        <v>411542</v>
      </c>
      <c r="AH17" s="11">
        <v>4</v>
      </c>
      <c r="AI17" s="11">
        <v>3.83</v>
      </c>
      <c r="AJ17" s="15"/>
    </row>
    <row r="18" spans="1:36" s="16" customFormat="1" x14ac:dyDescent="0.25">
      <c r="A18" t="str">
        <f>"140201"</f>
        <v>140201</v>
      </c>
      <c r="B18" t="s">
        <v>107</v>
      </c>
      <c r="C18" s="10">
        <v>57303979</v>
      </c>
      <c r="D18" s="10">
        <v>58552000</v>
      </c>
      <c r="E18" s="11">
        <v>2.1800000000000002</v>
      </c>
      <c r="F18" s="12">
        <v>34921929</v>
      </c>
      <c r="G18" s="12">
        <v>35808996</v>
      </c>
      <c r="H18" s="12"/>
      <c r="I18" s="12"/>
      <c r="J18" s="12"/>
      <c r="K18" s="12"/>
      <c r="L18" s="12"/>
      <c r="M18" s="12"/>
      <c r="N18" s="12">
        <v>34921929</v>
      </c>
      <c r="O18" s="12">
        <v>35808996</v>
      </c>
      <c r="P18" s="11">
        <v>2.54</v>
      </c>
      <c r="Q18" s="12">
        <v>523798</v>
      </c>
      <c r="R18" s="12">
        <v>546369</v>
      </c>
      <c r="S18" s="12">
        <v>34398131</v>
      </c>
      <c r="T18" s="12">
        <v>35262627</v>
      </c>
      <c r="U18" s="12">
        <v>34398131</v>
      </c>
      <c r="V18" s="12">
        <v>35262627</v>
      </c>
      <c r="W18" s="12">
        <v>0</v>
      </c>
      <c r="X18" s="12">
        <v>0</v>
      </c>
      <c r="Y18" s="12">
        <v>2981</v>
      </c>
      <c r="Z18" s="12">
        <v>3009</v>
      </c>
      <c r="AA18" s="11">
        <v>0.94</v>
      </c>
      <c r="AB18" s="12">
        <v>3797738</v>
      </c>
      <c r="AC18" s="12">
        <v>4077920</v>
      </c>
      <c r="AD18" s="12">
        <v>1182983</v>
      </c>
      <c r="AE18" s="12">
        <v>980000</v>
      </c>
      <c r="AF18" s="12">
        <v>2229763</v>
      </c>
      <c r="AG18" s="12">
        <v>2342080</v>
      </c>
      <c r="AH18" s="11">
        <v>3.89</v>
      </c>
      <c r="AI18" s="11">
        <v>4</v>
      </c>
      <c r="AJ18" s="15"/>
    </row>
    <row r="19" spans="1:36" x14ac:dyDescent="0.25">
      <c r="A19" t="str">
        <f>"580106"</f>
        <v>580106</v>
      </c>
      <c r="B19" t="s">
        <v>108</v>
      </c>
      <c r="C19" s="10">
        <v>88420651</v>
      </c>
      <c r="D19" s="10">
        <v>91506765</v>
      </c>
      <c r="E19" s="11">
        <v>3.49</v>
      </c>
      <c r="F19" s="12">
        <v>56797151</v>
      </c>
      <c r="G19" s="12">
        <v>58772124</v>
      </c>
      <c r="H19" s="12"/>
      <c r="I19" s="12"/>
      <c r="J19" s="12"/>
      <c r="K19" s="12"/>
      <c r="L19" s="12"/>
      <c r="M19" s="12"/>
      <c r="N19" s="12">
        <v>56797151</v>
      </c>
      <c r="O19" s="12">
        <v>58772124</v>
      </c>
      <c r="P19" s="11">
        <v>3.48</v>
      </c>
      <c r="Q19" s="12">
        <v>1091214</v>
      </c>
      <c r="R19" s="12">
        <v>1617103</v>
      </c>
      <c r="S19" s="12">
        <v>55705937</v>
      </c>
      <c r="T19" s="12">
        <v>57155021</v>
      </c>
      <c r="U19" s="12">
        <v>55705937</v>
      </c>
      <c r="V19" s="12">
        <v>57155021</v>
      </c>
      <c r="W19" s="12">
        <v>0</v>
      </c>
      <c r="X19" s="12">
        <v>0</v>
      </c>
      <c r="Y19" s="12">
        <v>3068</v>
      </c>
      <c r="Z19" s="12">
        <v>3092</v>
      </c>
      <c r="AA19" s="11">
        <v>0.78</v>
      </c>
      <c r="AB19" s="12">
        <v>3400291</v>
      </c>
      <c r="AC19" s="12">
        <v>3200291</v>
      </c>
      <c r="AD19" s="12">
        <v>2000000</v>
      </c>
      <c r="AE19" s="12">
        <v>2000000</v>
      </c>
      <c r="AF19" s="12">
        <v>3536826</v>
      </c>
      <c r="AG19" s="12">
        <v>3477257</v>
      </c>
      <c r="AH19" s="11">
        <v>4</v>
      </c>
      <c r="AI19" s="11">
        <v>3.8</v>
      </c>
      <c r="AJ19" s="13"/>
    </row>
    <row r="20" spans="1:36" x14ac:dyDescent="0.25">
      <c r="A20" t="str">
        <f>"270100"</f>
        <v>270100</v>
      </c>
      <c r="B20" t="s">
        <v>109</v>
      </c>
      <c r="C20" s="10">
        <v>69511563</v>
      </c>
      <c r="D20" s="10">
        <v>72918824</v>
      </c>
      <c r="E20" s="11">
        <v>4.9000000000000004</v>
      </c>
      <c r="F20" s="12">
        <v>20875122</v>
      </c>
      <c r="G20" s="12">
        <v>20875122</v>
      </c>
      <c r="H20" s="12"/>
      <c r="I20" s="12"/>
      <c r="J20" s="12"/>
      <c r="K20" s="12"/>
      <c r="L20" s="12"/>
      <c r="M20" s="12"/>
      <c r="N20" s="12">
        <v>20875122</v>
      </c>
      <c r="O20" s="12">
        <v>20875122</v>
      </c>
      <c r="P20" s="11">
        <v>0</v>
      </c>
      <c r="Q20" s="12">
        <v>209478</v>
      </c>
      <c r="R20" s="12">
        <v>514813</v>
      </c>
      <c r="S20" s="12">
        <v>20665644</v>
      </c>
      <c r="T20" s="12">
        <v>20360309</v>
      </c>
      <c r="U20" s="12">
        <v>20665644</v>
      </c>
      <c r="V20" s="12">
        <v>20360309</v>
      </c>
      <c r="W20" s="12">
        <v>0</v>
      </c>
      <c r="X20" s="12">
        <v>0</v>
      </c>
      <c r="Y20" s="12">
        <v>3625</v>
      </c>
      <c r="Z20" s="12">
        <v>3717</v>
      </c>
      <c r="AA20" s="11">
        <v>2.54</v>
      </c>
      <c r="AB20" s="12">
        <v>3297030</v>
      </c>
      <c r="AC20" s="12">
        <v>4342030</v>
      </c>
      <c r="AD20" s="12">
        <v>575803</v>
      </c>
      <c r="AE20" s="12">
        <v>500000</v>
      </c>
      <c r="AF20" s="12">
        <v>10943641</v>
      </c>
      <c r="AG20" s="12">
        <v>9598641</v>
      </c>
      <c r="AH20" s="11">
        <v>15.74</v>
      </c>
      <c r="AI20" s="11">
        <v>13.16</v>
      </c>
      <c r="AJ20" s="13"/>
    </row>
    <row r="21" spans="1:36" x14ac:dyDescent="0.25">
      <c r="A21" t="str">
        <f>"120102"</f>
        <v>120102</v>
      </c>
      <c r="B21" t="s">
        <v>110</v>
      </c>
      <c r="C21" s="10">
        <v>4169931</v>
      </c>
      <c r="D21" s="10">
        <v>4220788</v>
      </c>
      <c r="E21" s="11">
        <v>1.22</v>
      </c>
      <c r="F21" s="12">
        <v>2891261</v>
      </c>
      <c r="G21" s="12">
        <v>2956061</v>
      </c>
      <c r="H21" s="12"/>
      <c r="I21" s="12"/>
      <c r="J21" s="12"/>
      <c r="K21" s="12"/>
      <c r="L21" s="12"/>
      <c r="M21" s="12"/>
      <c r="N21" s="12">
        <v>2891261</v>
      </c>
      <c r="O21" s="12">
        <v>2956061</v>
      </c>
      <c r="P21" s="11">
        <v>2.2400000000000002</v>
      </c>
      <c r="Q21" s="12">
        <v>130077</v>
      </c>
      <c r="R21" s="12">
        <v>129922</v>
      </c>
      <c r="S21" s="12">
        <v>2761184</v>
      </c>
      <c r="T21" s="12">
        <v>2826139</v>
      </c>
      <c r="U21" s="12">
        <v>2761184</v>
      </c>
      <c r="V21" s="12">
        <v>2826139</v>
      </c>
      <c r="W21" s="12">
        <v>0</v>
      </c>
      <c r="X21" s="12">
        <v>0</v>
      </c>
      <c r="Y21" s="12">
        <v>81</v>
      </c>
      <c r="Z21" s="12">
        <v>75</v>
      </c>
      <c r="AA21" s="11">
        <v>-7.41</v>
      </c>
      <c r="AB21" s="12">
        <v>750983</v>
      </c>
      <c r="AC21" s="12">
        <v>706379</v>
      </c>
      <c r="AD21" s="12">
        <v>301015</v>
      </c>
      <c r="AE21" s="12">
        <v>200860</v>
      </c>
      <c r="AF21" s="12">
        <v>926434</v>
      </c>
      <c r="AG21" s="12">
        <v>642272</v>
      </c>
      <c r="AH21" s="11">
        <v>22.22</v>
      </c>
      <c r="AI21" s="11">
        <v>15.22</v>
      </c>
      <c r="AJ21" s="13"/>
    </row>
    <row r="22" spans="1:36" x14ac:dyDescent="0.25">
      <c r="A22" t="str">
        <f>"020601"</f>
        <v>020601</v>
      </c>
      <c r="B22" t="s">
        <v>111</v>
      </c>
      <c r="C22" s="10">
        <v>9311400</v>
      </c>
      <c r="D22" s="10">
        <v>9540000</v>
      </c>
      <c r="E22" s="11">
        <v>2.46</v>
      </c>
      <c r="F22" s="12">
        <v>2543464</v>
      </c>
      <c r="G22" s="12">
        <v>2543464</v>
      </c>
      <c r="H22" s="12"/>
      <c r="I22" s="12"/>
      <c r="J22" s="12"/>
      <c r="K22" s="12"/>
      <c r="L22" s="12"/>
      <c r="M22" s="12"/>
      <c r="N22" s="12">
        <v>2543464</v>
      </c>
      <c r="O22" s="12">
        <v>2543464</v>
      </c>
      <c r="P22" s="11">
        <v>0</v>
      </c>
      <c r="Q22" s="12">
        <v>0</v>
      </c>
      <c r="R22" s="12">
        <v>0</v>
      </c>
      <c r="S22" s="12">
        <v>2583572</v>
      </c>
      <c r="T22" s="12">
        <v>2640870</v>
      </c>
      <c r="U22" s="12">
        <v>2543464</v>
      </c>
      <c r="V22" s="12">
        <v>2543464</v>
      </c>
      <c r="W22" s="12">
        <v>40108</v>
      </c>
      <c r="X22" s="12">
        <v>97406</v>
      </c>
      <c r="Y22" s="12">
        <v>361</v>
      </c>
      <c r="Z22" s="12">
        <v>343</v>
      </c>
      <c r="AA22" s="11">
        <v>-4.99</v>
      </c>
      <c r="AB22" s="12">
        <v>2655409</v>
      </c>
      <c r="AC22" s="12">
        <v>2183698</v>
      </c>
      <c r="AD22" s="12">
        <v>232000</v>
      </c>
      <c r="AE22" s="12">
        <v>232000</v>
      </c>
      <c r="AF22" s="12">
        <v>372456</v>
      </c>
      <c r="AG22" s="12">
        <v>381600</v>
      </c>
      <c r="AH22" s="11">
        <v>4</v>
      </c>
      <c r="AI22" s="11">
        <v>4</v>
      </c>
      <c r="AJ22" s="13"/>
    </row>
    <row r="23" spans="1:36" x14ac:dyDescent="0.25">
      <c r="A23" t="str">
        <f>"660405"</f>
        <v>660405</v>
      </c>
      <c r="B23" t="s">
        <v>112</v>
      </c>
      <c r="C23" s="10">
        <v>67505261</v>
      </c>
      <c r="D23" s="10">
        <v>69792272</v>
      </c>
      <c r="E23" s="11">
        <v>3.39</v>
      </c>
      <c r="F23" s="12">
        <v>52832610</v>
      </c>
      <c r="G23" s="12">
        <v>55315743</v>
      </c>
      <c r="H23" s="12"/>
      <c r="I23" s="12"/>
      <c r="J23" s="12"/>
      <c r="K23" s="12"/>
      <c r="L23" s="12"/>
      <c r="M23" s="12"/>
      <c r="N23" s="12">
        <v>52832610</v>
      </c>
      <c r="O23" s="12">
        <v>55315743</v>
      </c>
      <c r="P23" s="11">
        <v>4.7</v>
      </c>
      <c r="Q23" s="12">
        <v>2295297</v>
      </c>
      <c r="R23" s="12">
        <v>2595917</v>
      </c>
      <c r="S23" s="12">
        <v>50537313</v>
      </c>
      <c r="T23" s="12">
        <v>52959968</v>
      </c>
      <c r="U23" s="12">
        <v>50537313</v>
      </c>
      <c r="V23" s="12">
        <v>52719826</v>
      </c>
      <c r="W23" s="12">
        <v>0</v>
      </c>
      <c r="X23" s="12">
        <v>240142</v>
      </c>
      <c r="Y23" s="12">
        <v>2149</v>
      </c>
      <c r="Z23" s="12">
        <v>2239</v>
      </c>
      <c r="AA23" s="11">
        <v>4.1900000000000004</v>
      </c>
      <c r="AB23" s="12">
        <v>10856104</v>
      </c>
      <c r="AC23" s="12">
        <v>10248650</v>
      </c>
      <c r="AD23" s="12">
        <v>1980000</v>
      </c>
      <c r="AE23" s="12">
        <v>1980000</v>
      </c>
      <c r="AF23" s="12">
        <v>2700210</v>
      </c>
      <c r="AG23" s="12">
        <v>2791691</v>
      </c>
      <c r="AH23" s="11">
        <v>4</v>
      </c>
      <c r="AI23" s="11">
        <v>4</v>
      </c>
      <c r="AJ23" s="13"/>
    </row>
    <row r="24" spans="1:36" x14ac:dyDescent="0.25">
      <c r="A24" t="str">
        <f>"640101"</f>
        <v>640101</v>
      </c>
      <c r="B24" t="s">
        <v>113</v>
      </c>
      <c r="C24" s="10">
        <v>12065500</v>
      </c>
      <c r="D24" s="10">
        <v>12749000</v>
      </c>
      <c r="E24" s="11">
        <v>5.66</v>
      </c>
      <c r="F24" s="12">
        <v>4720000</v>
      </c>
      <c r="G24" s="12">
        <v>4830000</v>
      </c>
      <c r="H24" s="12"/>
      <c r="I24" s="12"/>
      <c r="J24" s="12"/>
      <c r="K24" s="12"/>
      <c r="L24" s="12"/>
      <c r="M24" s="12"/>
      <c r="N24" s="12">
        <v>4720000</v>
      </c>
      <c r="O24" s="12">
        <v>4830000</v>
      </c>
      <c r="P24" s="11">
        <v>2.33</v>
      </c>
      <c r="Q24" s="12">
        <v>216587</v>
      </c>
      <c r="R24" s="12">
        <v>190146</v>
      </c>
      <c r="S24" s="12">
        <v>4605608</v>
      </c>
      <c r="T24" s="12">
        <v>4679366</v>
      </c>
      <c r="U24" s="12">
        <v>4503413</v>
      </c>
      <c r="V24" s="12">
        <v>4639854</v>
      </c>
      <c r="W24" s="12">
        <v>102195</v>
      </c>
      <c r="X24" s="12">
        <v>39512</v>
      </c>
      <c r="Y24" s="12">
        <v>535</v>
      </c>
      <c r="Z24" s="12">
        <v>515</v>
      </c>
      <c r="AA24" s="11">
        <v>-3.74</v>
      </c>
      <c r="AB24" s="12">
        <v>887741</v>
      </c>
      <c r="AC24" s="12">
        <v>910000</v>
      </c>
      <c r="AD24" s="12">
        <v>500124</v>
      </c>
      <c r="AE24" s="12">
        <v>867000</v>
      </c>
      <c r="AF24" s="12">
        <v>2244601</v>
      </c>
      <c r="AG24" s="12">
        <v>1500000</v>
      </c>
      <c r="AH24" s="11">
        <v>18.600000000000001</v>
      </c>
      <c r="AI24" s="11">
        <v>11.77</v>
      </c>
      <c r="AJ24" s="13"/>
    </row>
    <row r="25" spans="1:36" x14ac:dyDescent="0.25">
      <c r="A25" t="str">
        <f>"571901"</f>
        <v>571901</v>
      </c>
      <c r="B25" t="s">
        <v>114</v>
      </c>
      <c r="C25" s="10">
        <v>10661352</v>
      </c>
      <c r="D25" s="10">
        <v>10895722</v>
      </c>
      <c r="E25" s="11">
        <v>2.2000000000000002</v>
      </c>
      <c r="F25" s="12">
        <v>3503281</v>
      </c>
      <c r="G25" s="12">
        <v>3564588</v>
      </c>
      <c r="H25" s="12"/>
      <c r="I25" s="12"/>
      <c r="J25" s="12"/>
      <c r="K25" s="12"/>
      <c r="L25" s="12"/>
      <c r="M25" s="12"/>
      <c r="N25" s="12">
        <v>3503281</v>
      </c>
      <c r="O25" s="12">
        <v>3564588</v>
      </c>
      <c r="P25" s="11">
        <v>1.75</v>
      </c>
      <c r="Q25" s="12">
        <v>128705</v>
      </c>
      <c r="R25" s="12">
        <v>58875</v>
      </c>
      <c r="S25" s="12">
        <v>3556705</v>
      </c>
      <c r="T25" s="12">
        <v>3506794</v>
      </c>
      <c r="U25" s="12">
        <v>3374576</v>
      </c>
      <c r="V25" s="12">
        <v>3505713</v>
      </c>
      <c r="W25" s="12">
        <v>182129</v>
      </c>
      <c r="X25" s="12">
        <v>1081</v>
      </c>
      <c r="Y25" s="12">
        <v>450</v>
      </c>
      <c r="Z25" s="12">
        <v>457</v>
      </c>
      <c r="AA25" s="11">
        <v>1.56</v>
      </c>
      <c r="AB25" s="12">
        <v>2807356</v>
      </c>
      <c r="AC25" s="12">
        <v>3074166</v>
      </c>
      <c r="AD25" s="12">
        <v>125000</v>
      </c>
      <c r="AE25" s="12">
        <v>90000</v>
      </c>
      <c r="AF25" s="12">
        <v>346040</v>
      </c>
      <c r="AG25" s="12">
        <v>425000</v>
      </c>
      <c r="AH25" s="11">
        <v>3.25</v>
      </c>
      <c r="AI25" s="11">
        <v>3.9</v>
      </c>
      <c r="AJ25" s="13"/>
    </row>
    <row r="26" spans="1:36" x14ac:dyDescent="0.25">
      <c r="A26" t="str">
        <f>"131601"</f>
        <v>131601</v>
      </c>
      <c r="B26" t="s">
        <v>115</v>
      </c>
      <c r="C26" s="10">
        <v>205055000</v>
      </c>
      <c r="D26" s="10">
        <v>209894000</v>
      </c>
      <c r="E26" s="11">
        <v>2.36</v>
      </c>
      <c r="F26" s="12">
        <v>136465676</v>
      </c>
      <c r="G26" s="12">
        <v>139467921</v>
      </c>
      <c r="H26" s="12"/>
      <c r="I26" s="12"/>
      <c r="J26" s="12"/>
      <c r="K26" s="12"/>
      <c r="L26" s="12"/>
      <c r="M26" s="12"/>
      <c r="N26" s="12">
        <v>136465676</v>
      </c>
      <c r="O26" s="12">
        <v>139467921</v>
      </c>
      <c r="P26" s="11">
        <v>2.2000000000000002</v>
      </c>
      <c r="Q26" s="12">
        <v>6056984</v>
      </c>
      <c r="R26" s="12">
        <v>4961998</v>
      </c>
      <c r="S26" s="12">
        <v>132182256</v>
      </c>
      <c r="T26" s="12">
        <v>134777675</v>
      </c>
      <c r="U26" s="12">
        <v>130408692</v>
      </c>
      <c r="V26" s="12">
        <v>134505923</v>
      </c>
      <c r="W26" s="12">
        <v>1773564</v>
      </c>
      <c r="X26" s="12">
        <v>271752</v>
      </c>
      <c r="Y26" s="12">
        <v>8152</v>
      </c>
      <c r="Z26" s="12">
        <v>7865</v>
      </c>
      <c r="AA26" s="11">
        <v>-3.52</v>
      </c>
      <c r="AB26" s="12">
        <v>7556775</v>
      </c>
      <c r="AC26" s="12">
        <v>7541843</v>
      </c>
      <c r="AD26" s="12">
        <v>5000000</v>
      </c>
      <c r="AE26" s="12">
        <v>5743000</v>
      </c>
      <c r="AF26" s="12">
        <v>7929349</v>
      </c>
      <c r="AG26" s="12">
        <v>8129501</v>
      </c>
      <c r="AH26" s="11">
        <v>3.87</v>
      </c>
      <c r="AI26" s="11">
        <v>3.87</v>
      </c>
      <c r="AJ26" s="13"/>
    </row>
    <row r="27" spans="1:36" x14ac:dyDescent="0.25">
      <c r="A27" t="str">
        <f>"670201"</f>
        <v>670201</v>
      </c>
      <c r="B27" t="s">
        <v>116</v>
      </c>
      <c r="C27" s="10">
        <v>27105000</v>
      </c>
      <c r="D27" s="10">
        <v>27835663</v>
      </c>
      <c r="E27" s="11">
        <v>2.7</v>
      </c>
      <c r="F27" s="12">
        <v>10062132</v>
      </c>
      <c r="G27" s="12">
        <v>10162753</v>
      </c>
      <c r="H27" s="12"/>
      <c r="I27" s="12"/>
      <c r="J27" s="12"/>
      <c r="K27" s="12"/>
      <c r="L27" s="12"/>
      <c r="M27" s="12"/>
      <c r="N27" s="12">
        <v>10062132</v>
      </c>
      <c r="O27" s="12">
        <v>10162753</v>
      </c>
      <c r="P27" s="11">
        <v>1</v>
      </c>
      <c r="Q27" s="12">
        <v>0</v>
      </c>
      <c r="R27" s="12">
        <v>0</v>
      </c>
      <c r="S27" s="12">
        <v>10366075</v>
      </c>
      <c r="T27" s="12">
        <v>10550449</v>
      </c>
      <c r="U27" s="12">
        <v>10062132</v>
      </c>
      <c r="V27" s="12">
        <v>10162753</v>
      </c>
      <c r="W27" s="12">
        <v>303943</v>
      </c>
      <c r="X27" s="12">
        <v>387696</v>
      </c>
      <c r="Y27" s="12">
        <v>1255</v>
      </c>
      <c r="Z27" s="12">
        <v>1263</v>
      </c>
      <c r="AA27" s="11">
        <v>0.64</v>
      </c>
      <c r="AB27" s="12">
        <v>9231127</v>
      </c>
      <c r="AC27" s="12">
        <v>9246127</v>
      </c>
      <c r="AD27" s="12">
        <v>449950</v>
      </c>
      <c r="AE27" s="12">
        <v>540635</v>
      </c>
      <c r="AF27" s="12">
        <v>1084201</v>
      </c>
      <c r="AG27" s="12">
        <v>1113427</v>
      </c>
      <c r="AH27" s="11">
        <v>4</v>
      </c>
      <c r="AI27" s="11">
        <v>4</v>
      </c>
      <c r="AJ27" s="13"/>
    </row>
    <row r="28" spans="1:36" x14ac:dyDescent="0.25">
      <c r="A28" t="str">
        <f>"050100"</f>
        <v>050100</v>
      </c>
      <c r="B28" t="s">
        <v>117</v>
      </c>
      <c r="C28" s="10">
        <v>75272249</v>
      </c>
      <c r="D28" s="10">
        <v>76422256</v>
      </c>
      <c r="E28" s="11">
        <v>1.53</v>
      </c>
      <c r="F28" s="12">
        <v>30789198</v>
      </c>
      <c r="G28" s="12">
        <v>31274768</v>
      </c>
      <c r="H28" s="12"/>
      <c r="I28" s="12"/>
      <c r="J28" s="12"/>
      <c r="K28" s="12"/>
      <c r="L28" s="12"/>
      <c r="M28" s="12"/>
      <c r="N28" s="12">
        <v>30789198</v>
      </c>
      <c r="O28" s="12">
        <v>31274768</v>
      </c>
      <c r="P28" s="11">
        <v>1.58</v>
      </c>
      <c r="Q28" s="12">
        <v>774194</v>
      </c>
      <c r="R28" s="12">
        <v>584325</v>
      </c>
      <c r="S28" s="12">
        <v>30015004</v>
      </c>
      <c r="T28" s="12">
        <v>30690443</v>
      </c>
      <c r="U28" s="12">
        <v>30015004</v>
      </c>
      <c r="V28" s="12">
        <v>30690443</v>
      </c>
      <c r="W28" s="12">
        <v>0</v>
      </c>
      <c r="X28" s="12">
        <v>0</v>
      </c>
      <c r="Y28" s="12">
        <v>4163</v>
      </c>
      <c r="Z28" s="12">
        <v>4133</v>
      </c>
      <c r="AA28" s="11">
        <v>-0.72</v>
      </c>
      <c r="AB28" s="12">
        <v>4407485</v>
      </c>
      <c r="AC28" s="12">
        <v>2817485</v>
      </c>
      <c r="AD28" s="12">
        <v>1590000</v>
      </c>
      <c r="AE28" s="12">
        <v>1320000</v>
      </c>
      <c r="AF28" s="12">
        <v>3010837</v>
      </c>
      <c r="AG28" s="12">
        <v>3056890</v>
      </c>
      <c r="AH28" s="11">
        <v>4</v>
      </c>
      <c r="AI28" s="11">
        <v>4</v>
      </c>
      <c r="AJ28" s="13"/>
    </row>
    <row r="29" spans="1:36" x14ac:dyDescent="0.25">
      <c r="A29" t="str">
        <f>"090201"</f>
        <v>090201</v>
      </c>
      <c r="B29" t="s">
        <v>118</v>
      </c>
      <c r="C29" s="10">
        <v>31999783</v>
      </c>
      <c r="D29" s="10">
        <v>33076079</v>
      </c>
      <c r="E29" s="11">
        <v>3.36</v>
      </c>
      <c r="F29" s="12">
        <v>13492192</v>
      </c>
      <c r="G29" s="12">
        <v>13807192</v>
      </c>
      <c r="H29" s="12"/>
      <c r="I29" s="12"/>
      <c r="J29" s="12"/>
      <c r="K29" s="12"/>
      <c r="L29" s="12"/>
      <c r="M29" s="12"/>
      <c r="N29" s="12">
        <v>13492192</v>
      </c>
      <c r="O29" s="12">
        <v>13807192</v>
      </c>
      <c r="P29" s="11">
        <v>2.33</v>
      </c>
      <c r="Q29" s="12">
        <v>129108</v>
      </c>
      <c r="R29" s="12">
        <v>130813</v>
      </c>
      <c r="S29" s="12">
        <v>13363084</v>
      </c>
      <c r="T29" s="12">
        <v>13681265</v>
      </c>
      <c r="U29" s="12">
        <v>13363084</v>
      </c>
      <c r="V29" s="12">
        <v>13676379</v>
      </c>
      <c r="W29" s="12">
        <v>0</v>
      </c>
      <c r="X29" s="12">
        <v>4886</v>
      </c>
      <c r="Y29" s="12">
        <v>1145</v>
      </c>
      <c r="Z29" s="12">
        <v>1150</v>
      </c>
      <c r="AA29" s="11">
        <v>0.44</v>
      </c>
      <c r="AB29" s="12">
        <v>425000</v>
      </c>
      <c r="AC29" s="12">
        <v>225000</v>
      </c>
      <c r="AD29" s="12">
        <v>800000</v>
      </c>
      <c r="AE29" s="12">
        <v>825000</v>
      </c>
      <c r="AF29" s="12">
        <v>1274644</v>
      </c>
      <c r="AG29" s="12">
        <v>774644</v>
      </c>
      <c r="AH29" s="11">
        <v>3.98</v>
      </c>
      <c r="AI29" s="11">
        <v>2.34</v>
      </c>
      <c r="AJ29" s="13"/>
    </row>
    <row r="30" spans="1:36" x14ac:dyDescent="0.25">
      <c r="A30" t="str">
        <f>"491302"</f>
        <v>491302</v>
      </c>
      <c r="B30" t="s">
        <v>119</v>
      </c>
      <c r="C30" s="10">
        <v>57565350</v>
      </c>
      <c r="D30" s="10">
        <v>58828115</v>
      </c>
      <c r="E30" s="11">
        <v>2.19</v>
      </c>
      <c r="F30" s="12">
        <v>30043971</v>
      </c>
      <c r="G30" s="12">
        <v>30865672</v>
      </c>
      <c r="H30" s="12"/>
      <c r="I30" s="12"/>
      <c r="J30" s="12"/>
      <c r="K30" s="12"/>
      <c r="L30" s="12"/>
      <c r="M30" s="12"/>
      <c r="N30" s="12">
        <v>30043971</v>
      </c>
      <c r="O30" s="12">
        <v>30865672</v>
      </c>
      <c r="P30" s="11">
        <v>2.73</v>
      </c>
      <c r="Q30" s="12">
        <v>664220</v>
      </c>
      <c r="R30" s="12">
        <v>668490</v>
      </c>
      <c r="S30" s="12">
        <v>29379751</v>
      </c>
      <c r="T30" s="12">
        <v>30197182</v>
      </c>
      <c r="U30" s="12">
        <v>29379751</v>
      </c>
      <c r="V30" s="12">
        <v>30197182</v>
      </c>
      <c r="W30" s="12">
        <v>0</v>
      </c>
      <c r="X30" s="12">
        <v>0</v>
      </c>
      <c r="Y30" s="12">
        <v>2700</v>
      </c>
      <c r="Z30" s="12">
        <v>2650</v>
      </c>
      <c r="AA30" s="11">
        <v>-1.85</v>
      </c>
      <c r="AB30" s="12">
        <v>3079493</v>
      </c>
      <c r="AC30" s="12">
        <v>4456442</v>
      </c>
      <c r="AD30" s="12">
        <v>780000</v>
      </c>
      <c r="AE30" s="12">
        <v>780000</v>
      </c>
      <c r="AF30" s="12">
        <v>2302614</v>
      </c>
      <c r="AG30" s="12">
        <v>2352945</v>
      </c>
      <c r="AH30" s="11">
        <v>4</v>
      </c>
      <c r="AI30" s="11">
        <v>4</v>
      </c>
      <c r="AJ30" s="13"/>
    </row>
    <row r="31" spans="1:36" x14ac:dyDescent="0.25">
      <c r="A31" t="str">
        <f>"570201"</f>
        <v>570201</v>
      </c>
      <c r="B31" t="s">
        <v>120</v>
      </c>
      <c r="C31" s="10">
        <v>12640037</v>
      </c>
      <c r="D31" s="10">
        <v>13180969</v>
      </c>
      <c r="E31" s="11">
        <v>4.28</v>
      </c>
      <c r="F31" s="12">
        <v>2503639</v>
      </c>
      <c r="G31" s="12">
        <v>2415879</v>
      </c>
      <c r="H31" s="12"/>
      <c r="I31" s="12"/>
      <c r="J31" s="12"/>
      <c r="K31" s="12"/>
      <c r="L31" s="12"/>
      <c r="M31" s="12"/>
      <c r="N31" s="12">
        <v>2503639</v>
      </c>
      <c r="O31" s="12">
        <v>2415879</v>
      </c>
      <c r="P31" s="11">
        <v>-3.51</v>
      </c>
      <c r="Q31" s="12">
        <v>0</v>
      </c>
      <c r="R31" s="12">
        <v>0</v>
      </c>
      <c r="S31" s="12">
        <v>2556267</v>
      </c>
      <c r="T31" s="12">
        <v>2468022</v>
      </c>
      <c r="U31" s="12">
        <v>2503639</v>
      </c>
      <c r="V31" s="12">
        <v>2415879</v>
      </c>
      <c r="W31" s="12">
        <v>52628</v>
      </c>
      <c r="X31" s="12">
        <v>52143</v>
      </c>
      <c r="Y31" s="12">
        <v>443</v>
      </c>
      <c r="Z31" s="12">
        <v>450</v>
      </c>
      <c r="AA31" s="11">
        <v>1.58</v>
      </c>
      <c r="AB31" s="12">
        <v>2966563</v>
      </c>
      <c r="AC31" s="12">
        <v>2387962</v>
      </c>
      <c r="AD31" s="12">
        <v>350000</v>
      </c>
      <c r="AE31" s="12">
        <v>50000</v>
      </c>
      <c r="AF31" s="12">
        <v>2008077</v>
      </c>
      <c r="AG31" s="12">
        <v>2207246</v>
      </c>
      <c r="AH31" s="11">
        <v>15.89</v>
      </c>
      <c r="AI31" s="11">
        <v>16.75</v>
      </c>
      <c r="AJ31" s="13"/>
    </row>
    <row r="32" spans="1:36" x14ac:dyDescent="0.25">
      <c r="A32" t="str">
        <f>"240101"</f>
        <v>240101</v>
      </c>
      <c r="B32" t="s">
        <v>121</v>
      </c>
      <c r="C32" s="10">
        <v>20730149</v>
      </c>
      <c r="D32" s="10">
        <v>20267541</v>
      </c>
      <c r="E32" s="11">
        <v>-2.23</v>
      </c>
      <c r="F32" s="12">
        <v>9821000</v>
      </c>
      <c r="G32" s="12">
        <v>9821000</v>
      </c>
      <c r="H32" s="12"/>
      <c r="I32" s="12"/>
      <c r="J32" s="12"/>
      <c r="K32" s="12"/>
      <c r="L32" s="12"/>
      <c r="M32" s="12"/>
      <c r="N32" s="12">
        <v>9821000</v>
      </c>
      <c r="O32" s="12">
        <v>9821000</v>
      </c>
      <c r="P32" s="11">
        <v>0</v>
      </c>
      <c r="Q32" s="12">
        <v>0</v>
      </c>
      <c r="R32" s="12">
        <v>0</v>
      </c>
      <c r="S32" s="12">
        <v>9821812</v>
      </c>
      <c r="T32" s="12">
        <v>9823529</v>
      </c>
      <c r="U32" s="12">
        <v>9821000</v>
      </c>
      <c r="V32" s="12">
        <v>9821000</v>
      </c>
      <c r="W32" s="12">
        <v>812</v>
      </c>
      <c r="X32" s="12">
        <v>2529</v>
      </c>
      <c r="Y32" s="12">
        <v>1004</v>
      </c>
      <c r="Z32" s="12">
        <v>1001</v>
      </c>
      <c r="AA32" s="11">
        <v>-0.3</v>
      </c>
      <c r="AB32" s="12">
        <v>7760136</v>
      </c>
      <c r="AC32" s="12">
        <v>7961000</v>
      </c>
      <c r="AD32" s="12">
        <v>527273</v>
      </c>
      <c r="AE32" s="12">
        <v>527000</v>
      </c>
      <c r="AF32" s="12">
        <v>829206</v>
      </c>
      <c r="AG32" s="12">
        <v>810701</v>
      </c>
      <c r="AH32" s="11">
        <v>4</v>
      </c>
      <c r="AI32" s="11">
        <v>4</v>
      </c>
      <c r="AJ32" s="13"/>
    </row>
    <row r="33" spans="1:36" x14ac:dyDescent="0.25">
      <c r="A33" t="str">
        <f>"580101"</f>
        <v>580101</v>
      </c>
      <c r="B33" t="s">
        <v>122</v>
      </c>
      <c r="C33" s="10">
        <v>51670849</v>
      </c>
      <c r="D33" s="10">
        <v>53035604</v>
      </c>
      <c r="E33" s="11">
        <v>2.64</v>
      </c>
      <c r="F33" s="12">
        <v>40517723</v>
      </c>
      <c r="G33" s="12">
        <v>41815264</v>
      </c>
      <c r="H33" s="12"/>
      <c r="I33" s="12"/>
      <c r="J33" s="12"/>
      <c r="K33" s="12"/>
      <c r="L33" s="12"/>
      <c r="M33" s="12"/>
      <c r="N33" s="12">
        <v>40517723</v>
      </c>
      <c r="O33" s="12">
        <v>41815264</v>
      </c>
      <c r="P33" s="11">
        <v>3.2</v>
      </c>
      <c r="Q33" s="12">
        <v>2839168</v>
      </c>
      <c r="R33" s="12">
        <v>3200417</v>
      </c>
      <c r="S33" s="12">
        <v>37678555</v>
      </c>
      <c r="T33" s="12">
        <v>38614847</v>
      </c>
      <c r="U33" s="12">
        <v>37678555</v>
      </c>
      <c r="V33" s="12">
        <v>38614847</v>
      </c>
      <c r="W33" s="12">
        <v>0</v>
      </c>
      <c r="X33" s="12">
        <v>0</v>
      </c>
      <c r="Y33" s="12">
        <v>1590</v>
      </c>
      <c r="Z33" s="12">
        <v>1595</v>
      </c>
      <c r="AA33" s="11">
        <v>0.31</v>
      </c>
      <c r="AB33" s="12">
        <v>4911800</v>
      </c>
      <c r="AC33" s="12">
        <v>4611800</v>
      </c>
      <c r="AD33" s="12">
        <v>1200000</v>
      </c>
      <c r="AE33" s="12">
        <v>1200000</v>
      </c>
      <c r="AF33" s="12">
        <v>1867939</v>
      </c>
      <c r="AG33" s="12">
        <v>2121424</v>
      </c>
      <c r="AH33" s="11">
        <v>3.62</v>
      </c>
      <c r="AI33" s="11">
        <v>4</v>
      </c>
      <c r="AJ33" s="13"/>
    </row>
    <row r="34" spans="1:36" x14ac:dyDescent="0.25">
      <c r="A34" t="str">
        <f>"080201"</f>
        <v>080201</v>
      </c>
      <c r="B34" t="s">
        <v>123</v>
      </c>
      <c r="C34" s="10">
        <v>17618035</v>
      </c>
      <c r="D34" s="10">
        <v>18153575</v>
      </c>
      <c r="E34" s="11">
        <v>3.04</v>
      </c>
      <c r="F34" s="12">
        <v>6174674</v>
      </c>
      <c r="G34" s="12">
        <v>6435722</v>
      </c>
      <c r="H34" s="12"/>
      <c r="I34" s="12"/>
      <c r="J34" s="12"/>
      <c r="K34" s="12"/>
      <c r="L34" s="12"/>
      <c r="M34" s="12"/>
      <c r="N34" s="12">
        <v>6174674</v>
      </c>
      <c r="O34" s="12">
        <v>6435722</v>
      </c>
      <c r="P34" s="11">
        <v>4.2300000000000004</v>
      </c>
      <c r="Q34" s="12">
        <v>10548</v>
      </c>
      <c r="R34" s="12">
        <v>101306</v>
      </c>
      <c r="S34" s="12">
        <v>6164126</v>
      </c>
      <c r="T34" s="12">
        <v>6334416</v>
      </c>
      <c r="U34" s="12">
        <v>6164126</v>
      </c>
      <c r="V34" s="12">
        <v>6334416</v>
      </c>
      <c r="W34" s="12">
        <v>0</v>
      </c>
      <c r="X34" s="12">
        <v>0</v>
      </c>
      <c r="Y34" s="12">
        <v>771</v>
      </c>
      <c r="Z34" s="12">
        <v>791</v>
      </c>
      <c r="AA34" s="11">
        <v>2.59</v>
      </c>
      <c r="AB34" s="12">
        <v>2682974</v>
      </c>
      <c r="AC34" s="12">
        <v>3238977</v>
      </c>
      <c r="AD34" s="12">
        <v>400000</v>
      </c>
      <c r="AE34" s="12">
        <v>466000</v>
      </c>
      <c r="AF34" s="12">
        <v>704447</v>
      </c>
      <c r="AG34" s="12">
        <v>726143</v>
      </c>
      <c r="AH34" s="11">
        <v>4</v>
      </c>
      <c r="AI34" s="11">
        <v>4</v>
      </c>
      <c r="AJ34" s="13"/>
    </row>
    <row r="35" spans="1:36" x14ac:dyDescent="0.25">
      <c r="A35" t="str">
        <f>"280210"</f>
        <v>280210</v>
      </c>
      <c r="B35" t="s">
        <v>124</v>
      </c>
      <c r="C35" s="10">
        <v>128471371</v>
      </c>
      <c r="D35" s="10">
        <v>131020750</v>
      </c>
      <c r="E35" s="11">
        <v>1.98</v>
      </c>
      <c r="F35" s="12">
        <v>91907272</v>
      </c>
      <c r="G35" s="12">
        <v>93263565</v>
      </c>
      <c r="H35" s="12"/>
      <c r="I35" s="12"/>
      <c r="J35" s="12"/>
      <c r="K35" s="12"/>
      <c r="L35" s="12"/>
      <c r="M35" s="12"/>
      <c r="N35" s="12">
        <v>91907272</v>
      </c>
      <c r="O35" s="12">
        <v>93263565</v>
      </c>
      <c r="P35" s="11">
        <v>1.48</v>
      </c>
      <c r="Q35" s="12">
        <v>1387817</v>
      </c>
      <c r="R35" s="12">
        <v>588046</v>
      </c>
      <c r="S35" s="12">
        <v>90519455</v>
      </c>
      <c r="T35" s="12">
        <v>92675519</v>
      </c>
      <c r="U35" s="12">
        <v>90519455</v>
      </c>
      <c r="V35" s="12">
        <v>92675519</v>
      </c>
      <c r="W35" s="12">
        <v>0</v>
      </c>
      <c r="X35" s="12">
        <v>0</v>
      </c>
      <c r="Y35" s="12">
        <v>4626</v>
      </c>
      <c r="Z35" s="12">
        <v>4600</v>
      </c>
      <c r="AA35" s="11">
        <v>-0.56000000000000005</v>
      </c>
      <c r="AB35" s="12">
        <v>22846158</v>
      </c>
      <c r="AC35" s="12">
        <v>16859000</v>
      </c>
      <c r="AD35" s="12">
        <v>2500000</v>
      </c>
      <c r="AE35" s="12">
        <v>2500000</v>
      </c>
      <c r="AF35" s="12">
        <v>7812655</v>
      </c>
      <c r="AG35" s="12">
        <v>7914630</v>
      </c>
      <c r="AH35" s="11">
        <v>6.08</v>
      </c>
      <c r="AI35" s="11">
        <v>6.04</v>
      </c>
      <c r="AJ35" s="13"/>
    </row>
    <row r="36" spans="1:36" x14ac:dyDescent="0.25">
      <c r="A36" t="str">
        <f>"420901"</f>
        <v>420901</v>
      </c>
      <c r="B36" t="s">
        <v>125</v>
      </c>
      <c r="C36" s="10">
        <v>104691624</v>
      </c>
      <c r="D36" s="10">
        <v>107259939</v>
      </c>
      <c r="E36" s="11">
        <v>2.4500000000000002</v>
      </c>
      <c r="F36" s="12">
        <v>54663512</v>
      </c>
      <c r="G36" s="12">
        <v>56379441</v>
      </c>
      <c r="H36" s="12"/>
      <c r="I36" s="12"/>
      <c r="J36" s="12"/>
      <c r="K36" s="12"/>
      <c r="L36" s="12"/>
      <c r="M36" s="12"/>
      <c r="N36" s="12">
        <v>54663512</v>
      </c>
      <c r="O36" s="12">
        <v>56379441</v>
      </c>
      <c r="P36" s="11">
        <v>3.14</v>
      </c>
      <c r="Q36" s="12">
        <v>1103479</v>
      </c>
      <c r="R36" s="12">
        <v>1022966</v>
      </c>
      <c r="S36" s="12">
        <v>53560033</v>
      </c>
      <c r="T36" s="12">
        <v>55356475</v>
      </c>
      <c r="U36" s="12">
        <v>53560033</v>
      </c>
      <c r="V36" s="12">
        <v>55356475</v>
      </c>
      <c r="W36" s="12">
        <v>0</v>
      </c>
      <c r="X36" s="12">
        <v>0</v>
      </c>
      <c r="Y36" s="12">
        <v>5543</v>
      </c>
      <c r="Z36" s="12">
        <v>5591</v>
      </c>
      <c r="AA36" s="11">
        <v>0.87</v>
      </c>
      <c r="AB36" s="12">
        <v>25627910</v>
      </c>
      <c r="AC36" s="12">
        <v>25100000</v>
      </c>
      <c r="AD36" s="12">
        <v>4304365</v>
      </c>
      <c r="AE36" s="12">
        <v>4306587</v>
      </c>
      <c r="AF36" s="12">
        <v>4187665</v>
      </c>
      <c r="AG36" s="12">
        <v>4290398</v>
      </c>
      <c r="AH36" s="11">
        <v>4</v>
      </c>
      <c r="AI36" s="11">
        <v>4</v>
      </c>
      <c r="AJ36" s="13"/>
    </row>
    <row r="37" spans="1:36" x14ac:dyDescent="0.25">
      <c r="A37" t="str">
        <f>"521301"</f>
        <v>521301</v>
      </c>
      <c r="B37" t="s">
        <v>126</v>
      </c>
      <c r="C37" s="10">
        <v>90340742</v>
      </c>
      <c r="D37" s="10">
        <v>91888841</v>
      </c>
      <c r="E37" s="11">
        <v>1.71</v>
      </c>
      <c r="F37" s="12">
        <v>48990896</v>
      </c>
      <c r="G37" s="12">
        <v>50331500</v>
      </c>
      <c r="H37" s="12"/>
      <c r="I37" s="12"/>
      <c r="J37" s="12">
        <v>30000</v>
      </c>
      <c r="K37" s="12">
        <v>35000</v>
      </c>
      <c r="L37" s="12"/>
      <c r="M37" s="12"/>
      <c r="N37" s="12">
        <v>49020896</v>
      </c>
      <c r="O37" s="12">
        <v>50366500</v>
      </c>
      <c r="P37" s="11">
        <v>2.74</v>
      </c>
      <c r="Q37" s="12">
        <v>1594478</v>
      </c>
      <c r="R37" s="12">
        <v>2234809</v>
      </c>
      <c r="S37" s="12">
        <v>48701702</v>
      </c>
      <c r="T37" s="12">
        <v>50212449</v>
      </c>
      <c r="U37" s="12">
        <v>47426418</v>
      </c>
      <c r="V37" s="12">
        <v>48131691</v>
      </c>
      <c r="W37" s="12">
        <v>1275284</v>
      </c>
      <c r="X37" s="12">
        <v>2080758</v>
      </c>
      <c r="Y37" s="12">
        <v>4109</v>
      </c>
      <c r="Z37" s="12">
        <v>4088</v>
      </c>
      <c r="AA37" s="11">
        <v>-0.51</v>
      </c>
      <c r="AB37" s="12">
        <v>11150000</v>
      </c>
      <c r="AC37" s="12">
        <v>12150000</v>
      </c>
      <c r="AD37" s="12">
        <v>1100000</v>
      </c>
      <c r="AE37" s="12">
        <v>1000000</v>
      </c>
      <c r="AF37" s="12">
        <v>3122155</v>
      </c>
      <c r="AG37" s="12">
        <v>3450000</v>
      </c>
      <c r="AH37" s="11">
        <v>3.46</v>
      </c>
      <c r="AI37" s="11">
        <v>3.75</v>
      </c>
      <c r="AJ37" s="13"/>
    </row>
    <row r="38" spans="1:36" x14ac:dyDescent="0.25">
      <c r="A38" s="14" t="str">
        <f>"401301"</f>
        <v>401301</v>
      </c>
      <c r="B38" s="14" t="s">
        <v>127</v>
      </c>
      <c r="C38" s="43">
        <v>17098307</v>
      </c>
      <c r="D38" s="43">
        <v>17057539</v>
      </c>
      <c r="E38" s="13">
        <v>-0.24</v>
      </c>
      <c r="F38" s="17">
        <v>4237073</v>
      </c>
      <c r="G38" s="17">
        <v>6215050</v>
      </c>
      <c r="H38" s="17">
        <v>75000</v>
      </c>
      <c r="I38" s="17">
        <v>75000</v>
      </c>
      <c r="J38" s="17"/>
      <c r="K38" s="17"/>
      <c r="L38" s="17"/>
      <c r="M38" s="17"/>
      <c r="N38" s="17">
        <v>4312073</v>
      </c>
      <c r="O38" s="17">
        <v>6290050</v>
      </c>
      <c r="P38" s="13">
        <v>45.87</v>
      </c>
      <c r="Q38" s="17">
        <v>0</v>
      </c>
      <c r="R38" s="17">
        <v>3548</v>
      </c>
      <c r="S38" s="17">
        <v>4622366</v>
      </c>
      <c r="T38" s="17">
        <v>6881427</v>
      </c>
      <c r="U38" s="17">
        <v>4237073</v>
      </c>
      <c r="V38" s="17">
        <v>6211502</v>
      </c>
      <c r="W38" s="17">
        <v>385293</v>
      </c>
      <c r="X38" s="17">
        <v>669925</v>
      </c>
      <c r="Y38" s="17">
        <v>749</v>
      </c>
      <c r="Z38" s="17">
        <v>738</v>
      </c>
      <c r="AA38" s="13">
        <v>-1.47</v>
      </c>
      <c r="AB38" s="17">
        <v>7508494</v>
      </c>
      <c r="AC38" s="17">
        <v>7568698</v>
      </c>
      <c r="AD38" s="17">
        <v>8043025</v>
      </c>
      <c r="AE38" s="17">
        <v>7148802</v>
      </c>
      <c r="AF38" s="17">
        <v>683929</v>
      </c>
      <c r="AG38" s="17">
        <v>682302</v>
      </c>
      <c r="AH38" s="13">
        <v>4</v>
      </c>
      <c r="AI38" s="13">
        <v>4</v>
      </c>
      <c r="AJ38" s="13"/>
    </row>
    <row r="39" spans="1:36" x14ac:dyDescent="0.25">
      <c r="A39" t="str">
        <f>"180300"</f>
        <v>180300</v>
      </c>
      <c r="B39" t="s">
        <v>128</v>
      </c>
      <c r="C39" s="10">
        <v>49870585</v>
      </c>
      <c r="D39" s="10">
        <v>52189152</v>
      </c>
      <c r="E39" s="11">
        <v>4.6500000000000004</v>
      </c>
      <c r="F39" s="12">
        <v>18501372</v>
      </c>
      <c r="G39" s="12">
        <v>18945404</v>
      </c>
      <c r="H39" s="12"/>
      <c r="I39" s="12"/>
      <c r="J39" s="12"/>
      <c r="K39" s="12"/>
      <c r="L39" s="12"/>
      <c r="M39" s="12"/>
      <c r="N39" s="12">
        <v>18501372</v>
      </c>
      <c r="O39" s="12">
        <v>18945404</v>
      </c>
      <c r="P39" s="11">
        <v>2.4</v>
      </c>
      <c r="Q39" s="12">
        <v>0</v>
      </c>
      <c r="R39" s="12">
        <v>0</v>
      </c>
      <c r="S39" s="12">
        <v>19241485</v>
      </c>
      <c r="T39" s="12">
        <v>19527284</v>
      </c>
      <c r="U39" s="12">
        <v>18501372</v>
      </c>
      <c r="V39" s="12">
        <v>18945404</v>
      </c>
      <c r="W39" s="12">
        <v>740113</v>
      </c>
      <c r="X39" s="12">
        <v>581880</v>
      </c>
      <c r="Y39" s="12">
        <v>2306</v>
      </c>
      <c r="Z39" s="12">
        <v>2383</v>
      </c>
      <c r="AA39" s="11">
        <v>3.34</v>
      </c>
      <c r="AB39" s="12">
        <v>8054270</v>
      </c>
      <c r="AC39" s="12">
        <v>7348479</v>
      </c>
      <c r="AD39" s="12">
        <v>2000000</v>
      </c>
      <c r="AE39" s="12">
        <v>2000000</v>
      </c>
      <c r="AF39" s="12">
        <v>1994734</v>
      </c>
      <c r="AG39" s="12">
        <v>2087566</v>
      </c>
      <c r="AH39" s="11">
        <v>4</v>
      </c>
      <c r="AI39" s="11">
        <v>4</v>
      </c>
      <c r="AJ39" s="13"/>
    </row>
    <row r="40" spans="1:36" x14ac:dyDescent="0.25">
      <c r="A40" t="str">
        <f>"570302"</f>
        <v>570302</v>
      </c>
      <c r="B40" t="s">
        <v>129</v>
      </c>
      <c r="C40" s="10">
        <v>36754859</v>
      </c>
      <c r="D40" s="10">
        <v>38153311</v>
      </c>
      <c r="E40" s="11">
        <v>3.8</v>
      </c>
      <c r="F40" s="12">
        <v>8452512</v>
      </c>
      <c r="G40" s="12">
        <v>8580224</v>
      </c>
      <c r="H40" s="12"/>
      <c r="I40" s="12"/>
      <c r="J40" s="12"/>
      <c r="K40" s="12"/>
      <c r="L40" s="12"/>
      <c r="M40" s="12"/>
      <c r="N40" s="12">
        <v>8452512</v>
      </c>
      <c r="O40" s="12">
        <v>8580224</v>
      </c>
      <c r="P40" s="11">
        <v>1.51</v>
      </c>
      <c r="Q40" s="12">
        <v>603000</v>
      </c>
      <c r="R40" s="12">
        <v>535596</v>
      </c>
      <c r="S40" s="12">
        <v>7849512</v>
      </c>
      <c r="T40" s="12">
        <v>8044628</v>
      </c>
      <c r="U40" s="12">
        <v>7849512</v>
      </c>
      <c r="V40" s="12">
        <v>8044628</v>
      </c>
      <c r="W40" s="12">
        <v>0</v>
      </c>
      <c r="X40" s="12">
        <v>0</v>
      </c>
      <c r="Y40" s="12">
        <v>1590</v>
      </c>
      <c r="Z40" s="12">
        <v>1600</v>
      </c>
      <c r="AA40" s="11">
        <v>0.63</v>
      </c>
      <c r="AB40" s="12">
        <v>343000</v>
      </c>
      <c r="AC40" s="12">
        <v>340000</v>
      </c>
      <c r="AD40" s="12">
        <v>775000</v>
      </c>
      <c r="AE40" s="12">
        <v>625000</v>
      </c>
      <c r="AF40" s="12">
        <v>3344823</v>
      </c>
      <c r="AG40" s="12">
        <v>3000000</v>
      </c>
      <c r="AH40" s="11">
        <v>9.1</v>
      </c>
      <c r="AI40" s="11">
        <v>7.86</v>
      </c>
      <c r="AJ40" s="13"/>
    </row>
    <row r="41" spans="1:36" x14ac:dyDescent="0.25">
      <c r="A41" t="str">
        <f>"580501"</f>
        <v>580501</v>
      </c>
      <c r="B41" t="s">
        <v>130</v>
      </c>
      <c r="C41" s="10">
        <v>151988797</v>
      </c>
      <c r="D41" s="10">
        <v>155847443</v>
      </c>
      <c r="E41" s="11">
        <v>2.54</v>
      </c>
      <c r="F41" s="12">
        <v>104247009</v>
      </c>
      <c r="G41" s="12">
        <v>106695184</v>
      </c>
      <c r="H41" s="12"/>
      <c r="I41" s="12"/>
      <c r="J41" s="12"/>
      <c r="K41" s="12"/>
      <c r="L41" s="12"/>
      <c r="M41" s="12"/>
      <c r="N41" s="12">
        <v>104247009</v>
      </c>
      <c r="O41" s="12">
        <v>106695184</v>
      </c>
      <c r="P41" s="11">
        <v>2.35</v>
      </c>
      <c r="Q41" s="12">
        <v>2736591</v>
      </c>
      <c r="R41" s="12">
        <v>3159924</v>
      </c>
      <c r="S41" s="12">
        <v>101510418</v>
      </c>
      <c r="T41" s="12">
        <v>103535260</v>
      </c>
      <c r="U41" s="12">
        <v>101510418</v>
      </c>
      <c r="V41" s="12">
        <v>103535260</v>
      </c>
      <c r="W41" s="12">
        <v>0</v>
      </c>
      <c r="X41" s="12">
        <v>0</v>
      </c>
      <c r="Y41" s="12">
        <v>6020</v>
      </c>
      <c r="Z41" s="12">
        <v>5900</v>
      </c>
      <c r="AA41" s="11">
        <v>-1.99</v>
      </c>
      <c r="AB41" s="12">
        <v>13933828</v>
      </c>
      <c r="AC41" s="12">
        <v>14000000</v>
      </c>
      <c r="AD41" s="12">
        <v>0</v>
      </c>
      <c r="AE41" s="12">
        <v>0</v>
      </c>
      <c r="AF41" s="12">
        <v>6079552</v>
      </c>
      <c r="AG41" s="12">
        <v>6233898</v>
      </c>
      <c r="AH41" s="11">
        <v>4</v>
      </c>
      <c r="AI41" s="11">
        <v>4</v>
      </c>
      <c r="AJ41" s="13"/>
    </row>
    <row r="42" spans="1:36" x14ac:dyDescent="0.25">
      <c r="A42" t="str">
        <f>"580505"</f>
        <v>580505</v>
      </c>
      <c r="B42" t="s">
        <v>131</v>
      </c>
      <c r="C42" s="10">
        <v>70339132</v>
      </c>
      <c r="D42" s="10">
        <v>71761393</v>
      </c>
      <c r="E42" s="11">
        <v>2.02</v>
      </c>
      <c r="F42" s="12">
        <v>48871075</v>
      </c>
      <c r="G42" s="12">
        <v>50073387</v>
      </c>
      <c r="H42" s="12"/>
      <c r="I42" s="12"/>
      <c r="J42" s="12"/>
      <c r="K42" s="12"/>
      <c r="L42" s="12"/>
      <c r="M42" s="12"/>
      <c r="N42" s="12">
        <v>48871075</v>
      </c>
      <c r="O42" s="12">
        <v>50073387</v>
      </c>
      <c r="P42" s="11">
        <v>2.46</v>
      </c>
      <c r="Q42" s="12">
        <v>919393</v>
      </c>
      <c r="R42" s="12">
        <v>1008336</v>
      </c>
      <c r="S42" s="12">
        <v>47951682</v>
      </c>
      <c r="T42" s="12">
        <v>49065051</v>
      </c>
      <c r="U42" s="12">
        <v>47951682</v>
      </c>
      <c r="V42" s="12">
        <v>49065051</v>
      </c>
      <c r="W42" s="12">
        <v>0</v>
      </c>
      <c r="X42" s="12">
        <v>0</v>
      </c>
      <c r="Y42" s="12">
        <v>2203</v>
      </c>
      <c r="Z42" s="12">
        <v>2180</v>
      </c>
      <c r="AA42" s="11">
        <v>-1.04</v>
      </c>
      <c r="AB42" s="12">
        <v>5914470</v>
      </c>
      <c r="AC42" s="12">
        <v>6263950</v>
      </c>
      <c r="AD42" s="12">
        <v>1867583</v>
      </c>
      <c r="AE42" s="12">
        <v>1867583</v>
      </c>
      <c r="AF42" s="12">
        <v>2813565</v>
      </c>
      <c r="AG42" s="12">
        <v>2870456</v>
      </c>
      <c r="AH42" s="11">
        <v>4</v>
      </c>
      <c r="AI42" s="11">
        <v>4</v>
      </c>
      <c r="AJ42" s="13"/>
    </row>
    <row r="43" spans="1:36" s="14" customFormat="1" x14ac:dyDescent="0.25">
      <c r="A43" t="str">
        <f>"130200"</f>
        <v>130200</v>
      </c>
      <c r="B43" t="s">
        <v>132</v>
      </c>
      <c r="C43" s="10">
        <v>68625000</v>
      </c>
      <c r="D43" s="10">
        <v>70520000</v>
      </c>
      <c r="E43" s="11">
        <v>2.76</v>
      </c>
      <c r="F43" s="12">
        <v>37179812</v>
      </c>
      <c r="G43" s="12">
        <v>38621147</v>
      </c>
      <c r="H43" s="12"/>
      <c r="I43" s="12"/>
      <c r="J43" s="12">
        <v>75000</v>
      </c>
      <c r="K43" s="12">
        <v>75000</v>
      </c>
      <c r="L43" s="12"/>
      <c r="M43" s="12"/>
      <c r="N43" s="12">
        <v>37254812</v>
      </c>
      <c r="O43" s="12">
        <v>38696147</v>
      </c>
      <c r="P43" s="11">
        <v>3.87</v>
      </c>
      <c r="Q43" s="12">
        <v>0</v>
      </c>
      <c r="R43" s="12">
        <v>0</v>
      </c>
      <c r="S43" s="12">
        <v>37254812</v>
      </c>
      <c r="T43" s="12">
        <v>38696147</v>
      </c>
      <c r="U43" s="12">
        <v>37254812</v>
      </c>
      <c r="V43" s="12">
        <v>38696147</v>
      </c>
      <c r="W43" s="12">
        <v>0</v>
      </c>
      <c r="X43" s="12">
        <v>0</v>
      </c>
      <c r="Y43" s="12">
        <v>2881</v>
      </c>
      <c r="Z43" s="12">
        <v>2890</v>
      </c>
      <c r="AA43" s="11">
        <v>0.31</v>
      </c>
      <c r="AB43" s="12">
        <v>4191568</v>
      </c>
      <c r="AC43" s="12">
        <v>3991068</v>
      </c>
      <c r="AD43" s="12">
        <v>3856721</v>
      </c>
      <c r="AE43" s="12">
        <v>3856721</v>
      </c>
      <c r="AF43" s="12">
        <v>4741395</v>
      </c>
      <c r="AG43" s="12">
        <v>4000000</v>
      </c>
      <c r="AH43" s="11">
        <v>6.91</v>
      </c>
      <c r="AI43" s="11">
        <v>5.67</v>
      </c>
      <c r="AJ43" s="13"/>
    </row>
    <row r="44" spans="1:36" x14ac:dyDescent="0.25">
      <c r="A44" t="str">
        <f>"231301"</f>
        <v>231301</v>
      </c>
      <c r="B44" t="s">
        <v>133</v>
      </c>
      <c r="C44" s="10">
        <v>16222319</v>
      </c>
      <c r="D44" s="10">
        <v>16726390</v>
      </c>
      <c r="E44" s="11">
        <v>3.11</v>
      </c>
      <c r="F44" s="12">
        <v>5243878</v>
      </c>
      <c r="G44" s="12">
        <v>5348756</v>
      </c>
      <c r="H44" s="12"/>
      <c r="I44" s="12"/>
      <c r="J44" s="12"/>
      <c r="K44" s="12"/>
      <c r="L44" s="12"/>
      <c r="M44" s="12"/>
      <c r="N44" s="12">
        <v>5243878</v>
      </c>
      <c r="O44" s="12">
        <v>5348756</v>
      </c>
      <c r="P44" s="11">
        <v>2</v>
      </c>
      <c r="Q44" s="12">
        <v>155811</v>
      </c>
      <c r="R44" s="12">
        <v>193497</v>
      </c>
      <c r="S44" s="12">
        <v>5006835</v>
      </c>
      <c r="T44" s="12">
        <v>5212897</v>
      </c>
      <c r="U44" s="12">
        <v>5088067</v>
      </c>
      <c r="V44" s="12">
        <v>5155259</v>
      </c>
      <c r="W44" s="12">
        <v>-81232</v>
      </c>
      <c r="X44" s="12">
        <v>57638</v>
      </c>
      <c r="Y44" s="12">
        <v>854</v>
      </c>
      <c r="Z44" s="12">
        <v>863</v>
      </c>
      <c r="AA44" s="11">
        <v>1.05</v>
      </c>
      <c r="AB44" s="12">
        <v>1082000</v>
      </c>
      <c r="AC44" s="12">
        <v>1399110</v>
      </c>
      <c r="AD44" s="12">
        <v>1000000</v>
      </c>
      <c r="AE44" s="12">
        <v>1000000</v>
      </c>
      <c r="AF44" s="12">
        <v>583800</v>
      </c>
      <c r="AG44" s="12">
        <v>745237</v>
      </c>
      <c r="AH44" s="11">
        <v>3.6</v>
      </c>
      <c r="AI44" s="11">
        <v>4.46</v>
      </c>
      <c r="AJ44" s="13"/>
    </row>
    <row r="45" spans="1:36" x14ac:dyDescent="0.25">
      <c r="A45" s="14" t="str">
        <f>"660102"</f>
        <v>660102</v>
      </c>
      <c r="B45" s="14" t="s">
        <v>134</v>
      </c>
      <c r="C45" s="43">
        <v>129070250</v>
      </c>
      <c r="D45" s="43">
        <v>135279405</v>
      </c>
      <c r="E45" s="13">
        <v>4.8099999999999996</v>
      </c>
      <c r="F45" s="17">
        <v>117587744</v>
      </c>
      <c r="G45" s="17">
        <v>121107096</v>
      </c>
      <c r="H45" s="17"/>
      <c r="I45" s="17"/>
      <c r="J45" s="17"/>
      <c r="K45" s="17"/>
      <c r="L45" s="17"/>
      <c r="M45" s="17"/>
      <c r="N45" s="17">
        <v>117587744</v>
      </c>
      <c r="O45" s="17">
        <v>121107096</v>
      </c>
      <c r="P45" s="13">
        <v>2.99</v>
      </c>
      <c r="Q45" s="17">
        <v>6739803</v>
      </c>
      <c r="R45" s="17">
        <v>6986729</v>
      </c>
      <c r="S45" s="17">
        <v>110847941</v>
      </c>
      <c r="T45" s="17">
        <v>114120367</v>
      </c>
      <c r="U45" s="17">
        <v>110847941</v>
      </c>
      <c r="V45" s="17">
        <v>114120367</v>
      </c>
      <c r="W45" s="17">
        <v>0</v>
      </c>
      <c r="X45" s="17">
        <v>0</v>
      </c>
      <c r="Y45" s="17">
        <v>4178</v>
      </c>
      <c r="Z45" s="17">
        <v>4044</v>
      </c>
      <c r="AA45" s="13">
        <v>-3.21</v>
      </c>
      <c r="AB45" s="17">
        <v>4297800</v>
      </c>
      <c r="AC45" s="17">
        <v>4108285</v>
      </c>
      <c r="AD45" s="17">
        <v>250000</v>
      </c>
      <c r="AE45" s="17">
        <v>2180000</v>
      </c>
      <c r="AF45" s="17">
        <v>5162890</v>
      </c>
      <c r="AG45" s="17">
        <v>5411176</v>
      </c>
      <c r="AH45" s="13">
        <v>4</v>
      </c>
      <c r="AI45" s="13">
        <v>4</v>
      </c>
      <c r="AJ45" s="13"/>
    </row>
    <row r="46" spans="1:36" x14ac:dyDescent="0.25">
      <c r="A46" t="str">
        <f>"090301"</f>
        <v>090301</v>
      </c>
      <c r="B46" t="s">
        <v>135</v>
      </c>
      <c r="C46" s="10">
        <v>41027951</v>
      </c>
      <c r="D46" s="10">
        <v>42512179</v>
      </c>
      <c r="E46" s="11">
        <v>3.62</v>
      </c>
      <c r="F46" s="12">
        <v>20151973</v>
      </c>
      <c r="G46" s="12">
        <v>20745238</v>
      </c>
      <c r="H46" s="12"/>
      <c r="I46" s="12"/>
      <c r="J46" s="12"/>
      <c r="K46" s="12"/>
      <c r="L46" s="12"/>
      <c r="M46" s="12"/>
      <c r="N46" s="12">
        <v>20151973</v>
      </c>
      <c r="O46" s="12">
        <v>20745238</v>
      </c>
      <c r="P46" s="11">
        <v>2.94</v>
      </c>
      <c r="Q46" s="12">
        <v>266432</v>
      </c>
      <c r="R46" s="12">
        <v>314482</v>
      </c>
      <c r="S46" s="12">
        <v>19885541</v>
      </c>
      <c r="T46" s="12">
        <v>20430756</v>
      </c>
      <c r="U46" s="12">
        <v>19885541</v>
      </c>
      <c r="V46" s="12">
        <v>20430756</v>
      </c>
      <c r="W46" s="12">
        <v>0</v>
      </c>
      <c r="X46" s="12">
        <v>0</v>
      </c>
      <c r="Y46" s="12">
        <v>1831</v>
      </c>
      <c r="Z46" s="12">
        <v>1897</v>
      </c>
      <c r="AA46" s="11">
        <v>3.6</v>
      </c>
      <c r="AB46" s="12">
        <v>5895048</v>
      </c>
      <c r="AC46" s="12">
        <v>6068455</v>
      </c>
      <c r="AD46" s="12">
        <v>1200000</v>
      </c>
      <c r="AE46" s="12">
        <v>1200000</v>
      </c>
      <c r="AF46" s="12">
        <v>4369963</v>
      </c>
      <c r="AG46" s="12">
        <v>1700487</v>
      </c>
      <c r="AH46" s="11">
        <v>10.65</v>
      </c>
      <c r="AI46" s="11">
        <v>4</v>
      </c>
      <c r="AJ46" s="13"/>
    </row>
    <row r="47" spans="1:36" x14ac:dyDescent="0.25">
      <c r="A47" t="str">
        <f>"020801"</f>
        <v>020801</v>
      </c>
      <c r="B47" t="s">
        <v>136</v>
      </c>
      <c r="C47" s="10">
        <v>9662611</v>
      </c>
      <c r="D47" s="10">
        <v>10032301</v>
      </c>
      <c r="E47" s="11">
        <v>3.83</v>
      </c>
      <c r="F47" s="12">
        <v>1835801</v>
      </c>
      <c r="G47" s="12">
        <v>1805004</v>
      </c>
      <c r="H47" s="12">
        <v>45240</v>
      </c>
      <c r="I47" s="12">
        <v>47050</v>
      </c>
      <c r="J47" s="12"/>
      <c r="K47" s="12"/>
      <c r="L47" s="12"/>
      <c r="M47" s="12"/>
      <c r="N47" s="12">
        <v>1881041</v>
      </c>
      <c r="O47" s="12">
        <v>1852054</v>
      </c>
      <c r="P47" s="11">
        <v>-1.54</v>
      </c>
      <c r="Q47" s="12">
        <v>132707</v>
      </c>
      <c r="R47" s="12">
        <v>62863</v>
      </c>
      <c r="S47" s="12">
        <v>1703094</v>
      </c>
      <c r="T47" s="12">
        <v>1742141</v>
      </c>
      <c r="U47" s="12">
        <v>1703094</v>
      </c>
      <c r="V47" s="12">
        <v>1742141</v>
      </c>
      <c r="W47" s="12">
        <v>0</v>
      </c>
      <c r="X47" s="12">
        <v>0</v>
      </c>
      <c r="Y47" s="12">
        <v>369</v>
      </c>
      <c r="Z47" s="12">
        <v>363</v>
      </c>
      <c r="AA47" s="11">
        <v>-1.63</v>
      </c>
      <c r="AB47" s="12">
        <v>0</v>
      </c>
      <c r="AC47" s="12">
        <v>0</v>
      </c>
      <c r="AD47" s="12">
        <v>319257</v>
      </c>
      <c r="AE47" s="12">
        <v>146825</v>
      </c>
      <c r="AF47" s="12">
        <v>430484</v>
      </c>
      <c r="AG47" s="12">
        <v>283659</v>
      </c>
      <c r="AH47" s="11">
        <v>4.46</v>
      </c>
      <c r="AI47" s="11">
        <v>2.83</v>
      </c>
      <c r="AJ47" s="13"/>
    </row>
    <row r="48" spans="1:36" x14ac:dyDescent="0.25">
      <c r="A48" t="str">
        <f>"220909"</f>
        <v>220909</v>
      </c>
      <c r="B48" t="s">
        <v>137</v>
      </c>
      <c r="C48" s="10">
        <v>9624664</v>
      </c>
      <c r="D48" s="10">
        <v>10358011</v>
      </c>
      <c r="E48" s="11">
        <v>7.62</v>
      </c>
      <c r="F48" s="12">
        <v>4296967</v>
      </c>
      <c r="G48" s="12">
        <v>4468935</v>
      </c>
      <c r="H48" s="12"/>
      <c r="I48" s="12"/>
      <c r="J48" s="12"/>
      <c r="K48" s="12"/>
      <c r="L48" s="12"/>
      <c r="M48" s="12"/>
      <c r="N48" s="12">
        <v>4296967</v>
      </c>
      <c r="O48" s="12">
        <v>4468935</v>
      </c>
      <c r="P48" s="11">
        <v>4</v>
      </c>
      <c r="Q48" s="12">
        <v>114950</v>
      </c>
      <c r="R48" s="12">
        <v>161784</v>
      </c>
      <c r="S48" s="12">
        <v>4184791</v>
      </c>
      <c r="T48" s="12">
        <v>4469079</v>
      </c>
      <c r="U48" s="12">
        <v>4182017</v>
      </c>
      <c r="V48" s="12">
        <v>4307151</v>
      </c>
      <c r="W48" s="12">
        <v>2774</v>
      </c>
      <c r="X48" s="12">
        <v>161928</v>
      </c>
      <c r="Y48" s="12">
        <v>491</v>
      </c>
      <c r="Z48" s="12">
        <v>482</v>
      </c>
      <c r="AA48" s="11">
        <v>-1.83</v>
      </c>
      <c r="AB48" s="12">
        <v>1387016</v>
      </c>
      <c r="AC48" s="12">
        <v>552569</v>
      </c>
      <c r="AD48" s="12">
        <v>596022</v>
      </c>
      <c r="AE48" s="12">
        <v>600000</v>
      </c>
      <c r="AF48" s="12">
        <v>1462838</v>
      </c>
      <c r="AG48" s="12">
        <v>953694</v>
      </c>
      <c r="AH48" s="11">
        <v>15.2</v>
      </c>
      <c r="AI48" s="11">
        <v>9.2100000000000009</v>
      </c>
      <c r="AJ48" s="13"/>
    </row>
    <row r="49" spans="1:36" x14ac:dyDescent="0.25">
      <c r="A49" t="str">
        <f>"280207"</f>
        <v>280207</v>
      </c>
      <c r="B49" t="s">
        <v>138</v>
      </c>
      <c r="C49" s="10">
        <v>34602655</v>
      </c>
      <c r="D49" s="10">
        <v>35267556</v>
      </c>
      <c r="E49" s="11">
        <v>1.92</v>
      </c>
      <c r="F49" s="12">
        <v>24083092</v>
      </c>
      <c r="G49" s="12">
        <v>24882650</v>
      </c>
      <c r="H49" s="12"/>
      <c r="I49" s="12"/>
      <c r="J49" s="12"/>
      <c r="K49" s="12"/>
      <c r="L49" s="12"/>
      <c r="M49" s="12"/>
      <c r="N49" s="12">
        <v>24083092</v>
      </c>
      <c r="O49" s="12">
        <v>24882650</v>
      </c>
      <c r="P49" s="11">
        <v>3.32</v>
      </c>
      <c r="Q49" s="12">
        <v>606924</v>
      </c>
      <c r="R49" s="12">
        <v>772017</v>
      </c>
      <c r="S49" s="12">
        <v>23514846</v>
      </c>
      <c r="T49" s="12">
        <v>24129838</v>
      </c>
      <c r="U49" s="12">
        <v>23476168</v>
      </c>
      <c r="V49" s="12">
        <v>24110633</v>
      </c>
      <c r="W49" s="12">
        <v>38678</v>
      </c>
      <c r="X49" s="12">
        <v>19205</v>
      </c>
      <c r="Y49" s="12">
        <v>1000</v>
      </c>
      <c r="Z49" s="12">
        <v>1000</v>
      </c>
      <c r="AA49" s="11">
        <v>0</v>
      </c>
      <c r="AB49" s="12">
        <v>5857412</v>
      </c>
      <c r="AC49" s="12">
        <v>6760842</v>
      </c>
      <c r="AD49" s="12">
        <v>3061900</v>
      </c>
      <c r="AE49" s="12">
        <v>2725999</v>
      </c>
      <c r="AF49" s="12">
        <v>1902132</v>
      </c>
      <c r="AG49" s="12">
        <v>1410702</v>
      </c>
      <c r="AH49" s="11">
        <v>5.5</v>
      </c>
      <c r="AI49" s="11">
        <v>4</v>
      </c>
      <c r="AJ49" s="13"/>
    </row>
    <row r="50" spans="1:36" s="14" customFormat="1" x14ac:dyDescent="0.25">
      <c r="A50" t="str">
        <f>"280253"</f>
        <v>280253</v>
      </c>
      <c r="B50" t="s">
        <v>139</v>
      </c>
      <c r="C50" s="10">
        <v>153666863</v>
      </c>
      <c r="D50" s="10">
        <v>159788043</v>
      </c>
      <c r="E50" s="11">
        <v>3.98</v>
      </c>
      <c r="F50" s="12">
        <v>113843856</v>
      </c>
      <c r="G50" s="12">
        <v>116865160</v>
      </c>
      <c r="H50" s="12"/>
      <c r="I50" s="12"/>
      <c r="J50" s="12"/>
      <c r="K50" s="12"/>
      <c r="L50" s="12"/>
      <c r="M50" s="12"/>
      <c r="N50" s="12">
        <v>113843856</v>
      </c>
      <c r="O50" s="12">
        <v>116865160</v>
      </c>
      <c r="P50" s="11">
        <v>2.65</v>
      </c>
      <c r="Q50" s="12">
        <v>2664048</v>
      </c>
      <c r="R50" s="12">
        <v>2483207</v>
      </c>
      <c r="S50" s="12">
        <v>111460587</v>
      </c>
      <c r="T50" s="12">
        <v>114381953</v>
      </c>
      <c r="U50" s="12">
        <v>111179808</v>
      </c>
      <c r="V50" s="12">
        <v>114381953</v>
      </c>
      <c r="W50" s="12">
        <v>280779</v>
      </c>
      <c r="X50" s="12">
        <v>0</v>
      </c>
      <c r="Y50" s="12">
        <v>5363</v>
      </c>
      <c r="Z50" s="12">
        <v>5290</v>
      </c>
      <c r="AA50" s="11">
        <v>-1.36</v>
      </c>
      <c r="AB50" s="12">
        <v>17492798</v>
      </c>
      <c r="AC50" s="12">
        <v>14560420</v>
      </c>
      <c r="AD50" s="12">
        <v>6023347</v>
      </c>
      <c r="AE50" s="12">
        <v>6469769</v>
      </c>
      <c r="AF50" s="12">
        <v>6146674</v>
      </c>
      <c r="AG50" s="12">
        <v>6383473</v>
      </c>
      <c r="AH50" s="11">
        <v>4</v>
      </c>
      <c r="AI50" s="11">
        <v>3.99</v>
      </c>
      <c r="AJ50" s="13"/>
    </row>
    <row r="51" spans="1:36" x14ac:dyDescent="0.25">
      <c r="A51" t="str">
        <f>"061001"</f>
        <v>061001</v>
      </c>
      <c r="B51" t="s">
        <v>140</v>
      </c>
      <c r="C51" s="10">
        <v>15024875</v>
      </c>
      <c r="D51" s="10">
        <v>15469340</v>
      </c>
      <c r="E51" s="11">
        <v>2.96</v>
      </c>
      <c r="F51" s="12">
        <v>8655260</v>
      </c>
      <c r="G51" s="12">
        <v>8760191</v>
      </c>
      <c r="H51" s="12"/>
      <c r="I51" s="12"/>
      <c r="J51" s="12"/>
      <c r="K51" s="12"/>
      <c r="L51" s="12"/>
      <c r="M51" s="12"/>
      <c r="N51" s="12">
        <v>8655260</v>
      </c>
      <c r="O51" s="12">
        <v>8760191</v>
      </c>
      <c r="P51" s="11">
        <v>1.21</v>
      </c>
      <c r="Q51" s="12">
        <v>723484</v>
      </c>
      <c r="R51" s="12">
        <v>637996</v>
      </c>
      <c r="S51" s="12">
        <v>7931776</v>
      </c>
      <c r="T51" s="12">
        <v>8122195</v>
      </c>
      <c r="U51" s="12">
        <v>7931776</v>
      </c>
      <c r="V51" s="12">
        <v>8122195</v>
      </c>
      <c r="W51" s="12">
        <v>0</v>
      </c>
      <c r="X51" s="12">
        <v>0</v>
      </c>
      <c r="Y51" s="12">
        <v>717</v>
      </c>
      <c r="Z51" s="12">
        <v>717</v>
      </c>
      <c r="AA51" s="11">
        <v>0</v>
      </c>
      <c r="AB51" s="12">
        <v>890835</v>
      </c>
      <c r="AC51" s="12">
        <v>900000</v>
      </c>
      <c r="AD51" s="12">
        <v>636755</v>
      </c>
      <c r="AE51" s="12">
        <v>400000</v>
      </c>
      <c r="AF51" s="12">
        <v>624748</v>
      </c>
      <c r="AG51" s="12">
        <v>641000</v>
      </c>
      <c r="AH51" s="11">
        <v>4.16</v>
      </c>
      <c r="AI51" s="11">
        <v>4.1399999999999997</v>
      </c>
      <c r="AJ51" s="13"/>
    </row>
    <row r="52" spans="1:36" x14ac:dyDescent="0.25">
      <c r="A52" t="str">
        <f>"490101"</f>
        <v>490101</v>
      </c>
      <c r="B52" t="s">
        <v>141</v>
      </c>
      <c r="C52" s="10">
        <v>20127758</v>
      </c>
      <c r="D52" s="10">
        <v>20569913</v>
      </c>
      <c r="E52" s="11">
        <v>2.2000000000000002</v>
      </c>
      <c r="F52" s="12">
        <v>9119099</v>
      </c>
      <c r="G52" s="12">
        <v>9331076</v>
      </c>
      <c r="H52" s="12"/>
      <c r="I52" s="12"/>
      <c r="J52" s="12"/>
      <c r="K52" s="12"/>
      <c r="L52" s="12"/>
      <c r="M52" s="12"/>
      <c r="N52" s="12">
        <v>9119099</v>
      </c>
      <c r="O52" s="12">
        <v>9331076</v>
      </c>
      <c r="P52" s="11">
        <v>2.3199999999999998</v>
      </c>
      <c r="Q52" s="12">
        <v>74083</v>
      </c>
      <c r="R52" s="12">
        <v>0</v>
      </c>
      <c r="S52" s="12">
        <v>9128099</v>
      </c>
      <c r="T52" s="12">
        <v>9352117</v>
      </c>
      <c r="U52" s="12">
        <v>9045016</v>
      </c>
      <c r="V52" s="12">
        <v>9331076</v>
      </c>
      <c r="W52" s="12">
        <v>83083</v>
      </c>
      <c r="X52" s="12">
        <v>21041</v>
      </c>
      <c r="Y52" s="12">
        <v>775</v>
      </c>
      <c r="Z52" s="12">
        <v>752</v>
      </c>
      <c r="AA52" s="11">
        <v>-2.97</v>
      </c>
      <c r="AB52" s="12">
        <v>4276052</v>
      </c>
      <c r="AC52" s="12">
        <v>3725646</v>
      </c>
      <c r="AD52" s="12">
        <v>450000</v>
      </c>
      <c r="AE52" s="12">
        <v>450000</v>
      </c>
      <c r="AF52" s="12">
        <v>371549</v>
      </c>
      <c r="AG52" s="12">
        <v>775375</v>
      </c>
      <c r="AH52" s="11">
        <v>1.85</v>
      </c>
      <c r="AI52" s="11">
        <v>3.77</v>
      </c>
      <c r="AJ52" s="13"/>
    </row>
    <row r="53" spans="1:36" x14ac:dyDescent="0.25">
      <c r="A53" t="str">
        <f>"010201"</f>
        <v>010201</v>
      </c>
      <c r="B53" t="s">
        <v>142</v>
      </c>
      <c r="C53" s="10">
        <v>22657493</v>
      </c>
      <c r="D53" s="10">
        <v>23255186</v>
      </c>
      <c r="E53" s="11">
        <v>2.64</v>
      </c>
      <c r="F53" s="12">
        <v>10945924</v>
      </c>
      <c r="G53" s="12">
        <v>11055383</v>
      </c>
      <c r="H53" s="12"/>
      <c r="I53" s="12"/>
      <c r="J53" s="12"/>
      <c r="K53" s="12"/>
      <c r="L53" s="12"/>
      <c r="M53" s="12"/>
      <c r="N53" s="12">
        <v>10945924</v>
      </c>
      <c r="O53" s="12">
        <v>11055383</v>
      </c>
      <c r="P53" s="11">
        <v>1</v>
      </c>
      <c r="Q53" s="12">
        <v>295531</v>
      </c>
      <c r="R53" s="12">
        <v>211576</v>
      </c>
      <c r="S53" s="12">
        <v>10930147</v>
      </c>
      <c r="T53" s="12">
        <v>10895779</v>
      </c>
      <c r="U53" s="12">
        <v>10650393</v>
      </c>
      <c r="V53" s="12">
        <v>10843807</v>
      </c>
      <c r="W53" s="12">
        <v>279754</v>
      </c>
      <c r="X53" s="12">
        <v>51972</v>
      </c>
      <c r="Y53" s="12">
        <v>811</v>
      </c>
      <c r="Z53" s="12">
        <v>813</v>
      </c>
      <c r="AA53" s="11">
        <v>0.25</v>
      </c>
      <c r="AB53" s="12">
        <v>4012506</v>
      </c>
      <c r="AC53" s="12">
        <v>3781506</v>
      </c>
      <c r="AD53" s="12">
        <v>1300000</v>
      </c>
      <c r="AE53" s="12">
        <v>1300000</v>
      </c>
      <c r="AF53" s="12">
        <v>903974</v>
      </c>
      <c r="AG53" s="12">
        <v>906300</v>
      </c>
      <c r="AH53" s="11">
        <v>3.99</v>
      </c>
      <c r="AI53" s="11">
        <v>3.9</v>
      </c>
      <c r="AJ53" s="13"/>
    </row>
    <row r="54" spans="1:36" x14ac:dyDescent="0.25">
      <c r="A54" t="str">
        <f>"010306"</f>
        <v>010306</v>
      </c>
      <c r="B54" t="s">
        <v>143</v>
      </c>
      <c r="C54" s="10">
        <v>97123000</v>
      </c>
      <c r="D54" s="10">
        <v>98790000</v>
      </c>
      <c r="E54" s="11">
        <v>1.72</v>
      </c>
      <c r="F54" s="12">
        <v>64267000</v>
      </c>
      <c r="G54" s="12">
        <v>65810000</v>
      </c>
      <c r="H54" s="12"/>
      <c r="I54" s="12"/>
      <c r="J54" s="12"/>
      <c r="K54" s="12"/>
      <c r="L54" s="12"/>
      <c r="M54" s="12"/>
      <c r="N54" s="12">
        <v>64267000</v>
      </c>
      <c r="O54" s="12">
        <v>65810000</v>
      </c>
      <c r="P54" s="11">
        <v>2.4</v>
      </c>
      <c r="Q54" s="12">
        <v>4074040</v>
      </c>
      <c r="R54" s="12">
        <v>4874967</v>
      </c>
      <c r="S54" s="12">
        <v>60759153</v>
      </c>
      <c r="T54" s="12">
        <v>60935033</v>
      </c>
      <c r="U54" s="12">
        <v>60192960</v>
      </c>
      <c r="V54" s="12">
        <v>60935033</v>
      </c>
      <c r="W54" s="12">
        <v>566193</v>
      </c>
      <c r="X54" s="12">
        <v>0</v>
      </c>
      <c r="Y54" s="12">
        <v>4500</v>
      </c>
      <c r="Z54" s="12">
        <v>4425</v>
      </c>
      <c r="AA54" s="11">
        <v>-1.67</v>
      </c>
      <c r="AB54" s="12">
        <v>13244747</v>
      </c>
      <c r="AC54" s="12">
        <v>15338370</v>
      </c>
      <c r="AD54" s="12">
        <v>257462</v>
      </c>
      <c r="AE54" s="12">
        <v>200630</v>
      </c>
      <c r="AF54" s="12">
        <v>3736774</v>
      </c>
      <c r="AG54" s="12">
        <v>3900000</v>
      </c>
      <c r="AH54" s="11">
        <v>3.85</v>
      </c>
      <c r="AI54" s="11">
        <v>3.95</v>
      </c>
      <c r="AJ54" s="13"/>
    </row>
    <row r="55" spans="1:36" x14ac:dyDescent="0.25">
      <c r="A55" t="str">
        <f>"280521"</f>
        <v>280521</v>
      </c>
      <c r="B55" t="s">
        <v>144</v>
      </c>
      <c r="C55" s="10">
        <v>83569427</v>
      </c>
      <c r="D55" s="10">
        <v>85229857</v>
      </c>
      <c r="E55" s="11">
        <v>1.99</v>
      </c>
      <c r="F55" s="12">
        <v>61927055</v>
      </c>
      <c r="G55" s="12">
        <v>63722940</v>
      </c>
      <c r="H55" s="12"/>
      <c r="I55" s="12"/>
      <c r="J55" s="12"/>
      <c r="K55" s="12"/>
      <c r="L55" s="12"/>
      <c r="M55" s="12"/>
      <c r="N55" s="12">
        <v>61927055</v>
      </c>
      <c r="O55" s="12">
        <v>63722940</v>
      </c>
      <c r="P55" s="11">
        <v>2.9</v>
      </c>
      <c r="Q55" s="12">
        <v>624108</v>
      </c>
      <c r="R55" s="12">
        <v>884784</v>
      </c>
      <c r="S55" s="12">
        <v>61302947</v>
      </c>
      <c r="T55" s="12">
        <v>63491716</v>
      </c>
      <c r="U55" s="12">
        <v>61302947</v>
      </c>
      <c r="V55" s="12">
        <v>62838156</v>
      </c>
      <c r="W55" s="12">
        <v>0</v>
      </c>
      <c r="X55" s="12">
        <v>653560</v>
      </c>
      <c r="Y55" s="12">
        <v>2924</v>
      </c>
      <c r="Z55" s="12">
        <v>2999</v>
      </c>
      <c r="AA55" s="11">
        <v>2.56</v>
      </c>
      <c r="AB55" s="12">
        <v>14718086</v>
      </c>
      <c r="AC55" s="12">
        <v>11040358</v>
      </c>
      <c r="AD55" s="12">
        <v>500000</v>
      </c>
      <c r="AE55" s="12">
        <v>500000</v>
      </c>
      <c r="AF55" s="12">
        <v>3342777</v>
      </c>
      <c r="AG55" s="12">
        <v>3409194</v>
      </c>
      <c r="AH55" s="11">
        <v>4</v>
      </c>
      <c r="AI55" s="11">
        <v>4</v>
      </c>
      <c r="AJ55" s="13"/>
    </row>
    <row r="56" spans="1:36" x14ac:dyDescent="0.25">
      <c r="A56" t="str">
        <f>"030200"</f>
        <v>030200</v>
      </c>
      <c r="B56" t="s">
        <v>145</v>
      </c>
      <c r="C56" s="10">
        <v>115859659</v>
      </c>
      <c r="D56" s="10">
        <v>117123644</v>
      </c>
      <c r="E56" s="11">
        <v>1.0900000000000001</v>
      </c>
      <c r="F56" s="12">
        <v>41977988</v>
      </c>
      <c r="G56" s="12">
        <v>41357729</v>
      </c>
      <c r="H56" s="12"/>
      <c r="I56" s="12"/>
      <c r="J56" s="12"/>
      <c r="K56" s="12"/>
      <c r="L56" s="12"/>
      <c r="M56" s="12"/>
      <c r="N56" s="12">
        <v>41977988</v>
      </c>
      <c r="O56" s="12">
        <v>41357729</v>
      </c>
      <c r="P56" s="11">
        <v>-1.48</v>
      </c>
      <c r="Q56" s="12">
        <v>1425850</v>
      </c>
      <c r="R56" s="12">
        <v>0</v>
      </c>
      <c r="S56" s="12">
        <v>40556900</v>
      </c>
      <c r="T56" s="12">
        <v>41357729</v>
      </c>
      <c r="U56" s="12">
        <v>40552138</v>
      </c>
      <c r="V56" s="12">
        <v>41357729</v>
      </c>
      <c r="W56" s="12">
        <v>4762</v>
      </c>
      <c r="X56" s="12">
        <v>0</v>
      </c>
      <c r="Y56" s="12">
        <v>5331</v>
      </c>
      <c r="Z56" s="12">
        <v>5331</v>
      </c>
      <c r="AA56" s="11">
        <v>0</v>
      </c>
      <c r="AB56" s="12">
        <v>13557708</v>
      </c>
      <c r="AC56" s="12">
        <v>10295975</v>
      </c>
      <c r="AD56" s="12">
        <v>2450000</v>
      </c>
      <c r="AE56" s="12">
        <v>2700000</v>
      </c>
      <c r="AF56" s="12">
        <v>4307743</v>
      </c>
      <c r="AG56" s="12">
        <v>4446192</v>
      </c>
      <c r="AH56" s="11">
        <v>3.72</v>
      </c>
      <c r="AI56" s="11">
        <v>3.8</v>
      </c>
      <c r="AJ56" s="13"/>
    </row>
    <row r="57" spans="1:36" x14ac:dyDescent="0.25">
      <c r="A57" t="str">
        <f>"661905"</f>
        <v>661905</v>
      </c>
      <c r="B57" t="s">
        <v>146</v>
      </c>
      <c r="C57" s="10">
        <v>43915067</v>
      </c>
      <c r="D57" s="10">
        <v>45190924</v>
      </c>
      <c r="E57" s="11">
        <v>2.91</v>
      </c>
      <c r="F57" s="12">
        <v>37875647</v>
      </c>
      <c r="G57" s="12">
        <v>38872545</v>
      </c>
      <c r="H57" s="12"/>
      <c r="I57" s="12"/>
      <c r="J57" s="12"/>
      <c r="K57" s="12"/>
      <c r="L57" s="12"/>
      <c r="M57" s="12"/>
      <c r="N57" s="12">
        <v>37875647</v>
      </c>
      <c r="O57" s="12">
        <v>38872545</v>
      </c>
      <c r="P57" s="11">
        <v>2.63</v>
      </c>
      <c r="Q57" s="12">
        <v>1528761</v>
      </c>
      <c r="R57" s="12">
        <v>1536016</v>
      </c>
      <c r="S57" s="12">
        <v>36346897</v>
      </c>
      <c r="T57" s="12">
        <v>37336529</v>
      </c>
      <c r="U57" s="12">
        <v>36346886</v>
      </c>
      <c r="V57" s="12">
        <v>37336529</v>
      </c>
      <c r="W57" s="12">
        <v>11</v>
      </c>
      <c r="X57" s="12">
        <v>0</v>
      </c>
      <c r="Y57" s="12">
        <v>1441</v>
      </c>
      <c r="Z57" s="12">
        <v>1420</v>
      </c>
      <c r="AA57" s="11">
        <v>-1.46</v>
      </c>
      <c r="AB57" s="12">
        <v>1613915</v>
      </c>
      <c r="AC57" s="12">
        <v>951613</v>
      </c>
      <c r="AD57" s="12">
        <v>1568841</v>
      </c>
      <c r="AE57" s="12">
        <v>1642746</v>
      </c>
      <c r="AF57" s="12">
        <v>1554023</v>
      </c>
      <c r="AG57" s="12">
        <v>1756243</v>
      </c>
      <c r="AH57" s="11">
        <v>3.54</v>
      </c>
      <c r="AI57" s="11">
        <v>3.89</v>
      </c>
      <c r="AJ57" s="13"/>
    </row>
    <row r="58" spans="1:36" x14ac:dyDescent="0.25">
      <c r="A58" t="str">
        <f>"022902"</f>
        <v>022902</v>
      </c>
      <c r="B58" t="s">
        <v>147</v>
      </c>
      <c r="C58" s="10">
        <v>19409710</v>
      </c>
      <c r="D58" s="10">
        <v>20857978</v>
      </c>
      <c r="E58" s="11">
        <v>7.46</v>
      </c>
      <c r="F58" s="12">
        <v>2714763</v>
      </c>
      <c r="G58" s="12">
        <v>2714763</v>
      </c>
      <c r="H58" s="12"/>
      <c r="I58" s="12"/>
      <c r="J58" s="12"/>
      <c r="K58" s="12"/>
      <c r="L58" s="12"/>
      <c r="M58" s="12"/>
      <c r="N58" s="12">
        <v>2714763</v>
      </c>
      <c r="O58" s="12">
        <v>2714763</v>
      </c>
      <c r="P58" s="11">
        <v>0</v>
      </c>
      <c r="Q58" s="12">
        <v>0</v>
      </c>
      <c r="R58" s="12">
        <v>0</v>
      </c>
      <c r="S58" s="12">
        <v>2767112</v>
      </c>
      <c r="T58" s="12">
        <v>2804502</v>
      </c>
      <c r="U58" s="12">
        <v>2714763</v>
      </c>
      <c r="V58" s="12">
        <v>2714763</v>
      </c>
      <c r="W58" s="12">
        <v>52349</v>
      </c>
      <c r="X58" s="12">
        <v>89739</v>
      </c>
      <c r="Y58" s="12">
        <v>800</v>
      </c>
      <c r="Z58" s="12">
        <v>800</v>
      </c>
      <c r="AA58" s="11">
        <v>0</v>
      </c>
      <c r="AB58" s="12">
        <v>8045326</v>
      </c>
      <c r="AC58" s="12">
        <v>7490645</v>
      </c>
      <c r="AD58" s="12">
        <v>500000</v>
      </c>
      <c r="AE58" s="12">
        <v>500000</v>
      </c>
      <c r="AF58" s="12">
        <v>1358680</v>
      </c>
      <c r="AG58" s="12">
        <v>1355769</v>
      </c>
      <c r="AH58" s="11">
        <v>7</v>
      </c>
      <c r="AI58" s="11">
        <v>6.5</v>
      </c>
      <c r="AJ58" s="13"/>
    </row>
    <row r="59" spans="1:36" x14ac:dyDescent="0.25">
      <c r="A59" t="str">
        <f>"630101"</f>
        <v>630101</v>
      </c>
      <c r="B59" t="s">
        <v>148</v>
      </c>
      <c r="C59" s="10">
        <v>9239998</v>
      </c>
      <c r="D59" s="10">
        <v>9423401</v>
      </c>
      <c r="E59" s="11">
        <v>1.98</v>
      </c>
      <c r="F59" s="12">
        <v>7417590</v>
      </c>
      <c r="G59" s="12">
        <v>7552415</v>
      </c>
      <c r="H59" s="12"/>
      <c r="I59" s="12"/>
      <c r="J59" s="12"/>
      <c r="K59" s="12"/>
      <c r="L59" s="12"/>
      <c r="M59" s="12"/>
      <c r="N59" s="12">
        <v>7417590</v>
      </c>
      <c r="O59" s="12">
        <v>7552415</v>
      </c>
      <c r="P59" s="11">
        <v>1.82</v>
      </c>
      <c r="Q59" s="12">
        <v>241832</v>
      </c>
      <c r="R59" s="12">
        <v>250063</v>
      </c>
      <c r="S59" s="12">
        <v>7175758</v>
      </c>
      <c r="T59" s="12">
        <v>7357859</v>
      </c>
      <c r="U59" s="12">
        <v>7175758</v>
      </c>
      <c r="V59" s="12">
        <v>7302352</v>
      </c>
      <c r="W59" s="12">
        <v>0</v>
      </c>
      <c r="X59" s="12">
        <v>55507</v>
      </c>
      <c r="Y59" s="12">
        <v>192</v>
      </c>
      <c r="Z59" s="12">
        <v>198</v>
      </c>
      <c r="AA59" s="11">
        <v>3.13</v>
      </c>
      <c r="AB59" s="12">
        <v>646789</v>
      </c>
      <c r="AC59" s="12">
        <v>859789</v>
      </c>
      <c r="AD59" s="12">
        <v>766977</v>
      </c>
      <c r="AE59" s="12">
        <v>750000</v>
      </c>
      <c r="AF59" s="12">
        <v>2482499</v>
      </c>
      <c r="AG59" s="12">
        <v>376985</v>
      </c>
      <c r="AH59" s="11">
        <v>26.87</v>
      </c>
      <c r="AI59" s="11">
        <v>4</v>
      </c>
      <c r="AJ59" s="13"/>
    </row>
    <row r="60" spans="1:36" x14ac:dyDescent="0.25">
      <c r="A60" t="str">
        <f>"570401"</f>
        <v>570401</v>
      </c>
      <c r="B60" t="s">
        <v>149</v>
      </c>
      <c r="C60" s="10">
        <v>9114746</v>
      </c>
      <c r="D60" s="10">
        <v>9236351</v>
      </c>
      <c r="E60" s="11">
        <v>1.33</v>
      </c>
      <c r="F60" s="12">
        <v>2342037</v>
      </c>
      <c r="G60" s="12">
        <v>2342037</v>
      </c>
      <c r="H60" s="12"/>
      <c r="I60" s="12"/>
      <c r="J60" s="12"/>
      <c r="K60" s="12"/>
      <c r="L60" s="12"/>
      <c r="M60" s="12"/>
      <c r="N60" s="12">
        <v>2342037</v>
      </c>
      <c r="O60" s="12">
        <v>2342037</v>
      </c>
      <c r="P60" s="11">
        <v>0</v>
      </c>
      <c r="Q60" s="12">
        <v>0</v>
      </c>
      <c r="R60" s="12">
        <v>0</v>
      </c>
      <c r="S60" s="12">
        <v>2342037</v>
      </c>
      <c r="T60" s="12">
        <v>2404644</v>
      </c>
      <c r="U60" s="12">
        <v>2342037</v>
      </c>
      <c r="V60" s="12">
        <v>2342037</v>
      </c>
      <c r="W60" s="12">
        <v>0</v>
      </c>
      <c r="X60" s="12">
        <v>62607</v>
      </c>
      <c r="Y60" s="12">
        <v>286</v>
      </c>
      <c r="Z60" s="12">
        <v>286</v>
      </c>
      <c r="AA60" s="11">
        <v>0</v>
      </c>
      <c r="AB60" s="12">
        <v>1681037</v>
      </c>
      <c r="AC60" s="12">
        <v>1917235</v>
      </c>
      <c r="AD60" s="12">
        <v>450000</v>
      </c>
      <c r="AE60" s="12">
        <v>390000</v>
      </c>
      <c r="AF60" s="12">
        <v>853319</v>
      </c>
      <c r="AG60" s="12">
        <v>369454</v>
      </c>
      <c r="AH60" s="11">
        <v>9.36</v>
      </c>
      <c r="AI60" s="11">
        <v>4</v>
      </c>
      <c r="AJ60" s="13"/>
    </row>
    <row r="61" spans="1:36" x14ac:dyDescent="0.25">
      <c r="A61" t="str">
        <f>"510101"</f>
        <v>510101</v>
      </c>
      <c r="B61" t="s">
        <v>150</v>
      </c>
      <c r="C61" s="10">
        <v>23341047</v>
      </c>
      <c r="D61" s="10">
        <v>24028858</v>
      </c>
      <c r="E61" s="11">
        <v>2.95</v>
      </c>
      <c r="F61" s="12">
        <v>5015417</v>
      </c>
      <c r="G61" s="12">
        <v>5181780</v>
      </c>
      <c r="H61" s="12"/>
      <c r="I61" s="12"/>
      <c r="J61" s="12"/>
      <c r="K61" s="12"/>
      <c r="L61" s="12"/>
      <c r="M61" s="12"/>
      <c r="N61" s="12">
        <v>5015417</v>
      </c>
      <c r="O61" s="12">
        <v>5181780</v>
      </c>
      <c r="P61" s="11">
        <v>3.32</v>
      </c>
      <c r="Q61" s="12">
        <v>47087</v>
      </c>
      <c r="R61" s="12">
        <v>104241</v>
      </c>
      <c r="S61" s="12">
        <v>4968330</v>
      </c>
      <c r="T61" s="12">
        <v>5077539</v>
      </c>
      <c r="U61" s="12">
        <v>4968330</v>
      </c>
      <c r="V61" s="12">
        <v>5077539</v>
      </c>
      <c r="W61" s="12">
        <v>0</v>
      </c>
      <c r="X61" s="12">
        <v>0</v>
      </c>
      <c r="Y61" s="12">
        <v>1000</v>
      </c>
      <c r="Z61" s="12">
        <v>1050</v>
      </c>
      <c r="AA61" s="11">
        <v>5</v>
      </c>
      <c r="AB61" s="12">
        <v>3570536</v>
      </c>
      <c r="AC61" s="12">
        <v>4301551</v>
      </c>
      <c r="AD61" s="12">
        <v>500000</v>
      </c>
      <c r="AE61" s="12">
        <v>500000</v>
      </c>
      <c r="AF61" s="12">
        <v>2773203</v>
      </c>
      <c r="AG61" s="12">
        <v>2073690</v>
      </c>
      <c r="AH61" s="11">
        <v>11.88</v>
      </c>
      <c r="AI61" s="11">
        <v>8.6300000000000008</v>
      </c>
      <c r="AJ61" s="13"/>
    </row>
    <row r="62" spans="1:36" x14ac:dyDescent="0.25">
      <c r="A62" t="str">
        <f>"580512"</f>
        <v>580512</v>
      </c>
      <c r="B62" t="s">
        <v>151</v>
      </c>
      <c r="C62" s="10">
        <v>393553824</v>
      </c>
      <c r="D62" s="10">
        <v>406789163</v>
      </c>
      <c r="E62" s="11">
        <v>3.36</v>
      </c>
      <c r="F62" s="12">
        <v>103601818</v>
      </c>
      <c r="G62" s="12">
        <v>107737688</v>
      </c>
      <c r="H62" s="12"/>
      <c r="I62" s="12"/>
      <c r="J62" s="12"/>
      <c r="K62" s="12"/>
      <c r="L62" s="12"/>
      <c r="M62" s="12"/>
      <c r="N62" s="12">
        <v>103601818</v>
      </c>
      <c r="O62" s="12">
        <v>107737688</v>
      </c>
      <c r="P62" s="11">
        <v>3.99</v>
      </c>
      <c r="Q62" s="12">
        <v>0</v>
      </c>
      <c r="R62" s="12">
        <v>0</v>
      </c>
      <c r="S62" s="12">
        <v>103601818</v>
      </c>
      <c r="T62" s="12">
        <v>107737688</v>
      </c>
      <c r="U62" s="12">
        <v>103601818</v>
      </c>
      <c r="V62" s="12">
        <v>107737688</v>
      </c>
      <c r="W62" s="12">
        <v>0</v>
      </c>
      <c r="X62" s="12">
        <v>0</v>
      </c>
      <c r="Y62" s="12">
        <v>19791</v>
      </c>
      <c r="Z62" s="12">
        <v>19900</v>
      </c>
      <c r="AA62" s="11">
        <v>0.55000000000000004</v>
      </c>
      <c r="AB62" s="12">
        <v>41425231</v>
      </c>
      <c r="AC62" s="12">
        <v>40152429</v>
      </c>
      <c r="AD62" s="12">
        <v>30310274</v>
      </c>
      <c r="AE62" s="12">
        <v>30499546</v>
      </c>
      <c r="AF62" s="12">
        <v>15657452</v>
      </c>
      <c r="AG62" s="12">
        <v>16085218</v>
      </c>
      <c r="AH62" s="11">
        <v>3.98</v>
      </c>
      <c r="AI62" s="11">
        <v>3.95</v>
      </c>
      <c r="AJ62" s="13"/>
    </row>
    <row r="63" spans="1:36" x14ac:dyDescent="0.25">
      <c r="A63" t="str">
        <f>"480601"</f>
        <v>480601</v>
      </c>
      <c r="B63" t="s">
        <v>152</v>
      </c>
      <c r="C63" s="10">
        <v>95439381</v>
      </c>
      <c r="D63" s="10">
        <v>99022493</v>
      </c>
      <c r="E63" s="11">
        <v>3.75</v>
      </c>
      <c r="F63" s="12">
        <v>72502849</v>
      </c>
      <c r="G63" s="12">
        <v>74111529</v>
      </c>
      <c r="H63" s="12"/>
      <c r="I63" s="12"/>
      <c r="J63" s="12"/>
      <c r="K63" s="12"/>
      <c r="L63" s="12"/>
      <c r="M63" s="12"/>
      <c r="N63" s="12">
        <v>72502849</v>
      </c>
      <c r="O63" s="12">
        <v>74111529</v>
      </c>
      <c r="P63" s="11">
        <v>2.2200000000000002</v>
      </c>
      <c r="Q63" s="12">
        <v>2799945</v>
      </c>
      <c r="R63" s="12">
        <v>2973144</v>
      </c>
      <c r="S63" s="12">
        <v>69702904</v>
      </c>
      <c r="T63" s="12">
        <v>71138385</v>
      </c>
      <c r="U63" s="12">
        <v>69702904</v>
      </c>
      <c r="V63" s="12">
        <v>71138385</v>
      </c>
      <c r="W63" s="12">
        <v>0</v>
      </c>
      <c r="X63" s="12">
        <v>0</v>
      </c>
      <c r="Y63" s="12">
        <v>3124</v>
      </c>
      <c r="Z63" s="12">
        <v>3062</v>
      </c>
      <c r="AA63" s="11">
        <v>-1.98</v>
      </c>
      <c r="AB63" s="12">
        <v>4855369</v>
      </c>
      <c r="AC63" s="12">
        <v>3089445</v>
      </c>
      <c r="AD63" s="12">
        <v>2681080</v>
      </c>
      <c r="AE63" s="12">
        <v>3641080</v>
      </c>
      <c r="AF63" s="12">
        <v>3816576</v>
      </c>
      <c r="AG63" s="12">
        <v>3422500</v>
      </c>
      <c r="AH63" s="11">
        <v>4</v>
      </c>
      <c r="AI63" s="11">
        <v>3.46</v>
      </c>
      <c r="AJ63" s="13"/>
    </row>
    <row r="64" spans="1:36" x14ac:dyDescent="0.25">
      <c r="A64" t="str">
        <f>"661402"</f>
        <v>661402</v>
      </c>
      <c r="B64" t="s">
        <v>153</v>
      </c>
      <c r="C64" s="10">
        <v>51466151</v>
      </c>
      <c r="D64" s="10">
        <v>52196413</v>
      </c>
      <c r="E64" s="11">
        <v>1.42</v>
      </c>
      <c r="F64" s="12">
        <v>40138000</v>
      </c>
      <c r="G64" s="12">
        <v>40925000</v>
      </c>
      <c r="H64" s="12"/>
      <c r="I64" s="12"/>
      <c r="J64" s="12"/>
      <c r="K64" s="12"/>
      <c r="L64" s="12"/>
      <c r="M64" s="12"/>
      <c r="N64" s="12">
        <v>40138000</v>
      </c>
      <c r="O64" s="12">
        <v>40925000</v>
      </c>
      <c r="P64" s="11">
        <v>1.96</v>
      </c>
      <c r="Q64" s="12">
        <v>2636214</v>
      </c>
      <c r="R64" s="12">
        <v>2674466</v>
      </c>
      <c r="S64" s="12">
        <v>40347388</v>
      </c>
      <c r="T64" s="12">
        <v>40926288</v>
      </c>
      <c r="U64" s="12">
        <v>37501786</v>
      </c>
      <c r="V64" s="12">
        <v>38250534</v>
      </c>
      <c r="W64" s="12">
        <v>2845602</v>
      </c>
      <c r="X64" s="12">
        <v>2675754</v>
      </c>
      <c r="Y64" s="12">
        <v>1447</v>
      </c>
      <c r="Z64" s="12">
        <v>1457</v>
      </c>
      <c r="AA64" s="11">
        <v>0.69</v>
      </c>
      <c r="AB64" s="12">
        <v>3266025</v>
      </c>
      <c r="AC64" s="12">
        <v>3614976</v>
      </c>
      <c r="AD64" s="12">
        <v>1427000</v>
      </c>
      <c r="AE64" s="12">
        <v>825000</v>
      </c>
      <c r="AF64" s="12">
        <v>2028279</v>
      </c>
      <c r="AG64" s="12">
        <v>2085000</v>
      </c>
      <c r="AH64" s="11">
        <v>3.94</v>
      </c>
      <c r="AI64" s="11">
        <v>3.99</v>
      </c>
      <c r="AJ64" s="13"/>
    </row>
    <row r="65" spans="1:36" x14ac:dyDescent="0.25">
      <c r="A65" t="str">
        <f>"580909"</f>
        <v>580909</v>
      </c>
      <c r="B65" t="s">
        <v>154</v>
      </c>
      <c r="C65" s="10">
        <v>14356463</v>
      </c>
      <c r="D65" s="10">
        <v>16297465</v>
      </c>
      <c r="E65" s="11">
        <v>13.52</v>
      </c>
      <c r="F65" s="12">
        <v>12623558</v>
      </c>
      <c r="G65" s="12">
        <v>14355231</v>
      </c>
      <c r="H65" s="12"/>
      <c r="I65" s="12"/>
      <c r="J65" s="12"/>
      <c r="K65" s="12"/>
      <c r="L65" s="12"/>
      <c r="M65" s="12"/>
      <c r="N65" s="12">
        <v>12623558</v>
      </c>
      <c r="O65" s="12">
        <v>14355231</v>
      </c>
      <c r="P65" s="11">
        <v>13.72</v>
      </c>
      <c r="Q65" s="12">
        <v>387237</v>
      </c>
      <c r="R65" s="12">
        <v>1385602</v>
      </c>
      <c r="S65" s="12">
        <v>12236321</v>
      </c>
      <c r="T65" s="12">
        <v>12969629</v>
      </c>
      <c r="U65" s="12">
        <v>12236321</v>
      </c>
      <c r="V65" s="12">
        <v>12969629</v>
      </c>
      <c r="W65" s="12">
        <v>0</v>
      </c>
      <c r="X65" s="12">
        <v>0</v>
      </c>
      <c r="Y65" s="12">
        <v>212</v>
      </c>
      <c r="Z65" s="12">
        <v>219</v>
      </c>
      <c r="AA65" s="11">
        <v>3.3</v>
      </c>
      <c r="AB65" s="12">
        <v>2826848</v>
      </c>
      <c r="AC65" s="12">
        <v>2608112</v>
      </c>
      <c r="AD65" s="12">
        <v>400000</v>
      </c>
      <c r="AE65" s="12">
        <v>400000</v>
      </c>
      <c r="AF65" s="12">
        <v>574267</v>
      </c>
      <c r="AG65" s="12">
        <v>574267</v>
      </c>
      <c r="AH65" s="11">
        <v>4</v>
      </c>
      <c r="AI65" s="11">
        <v>3.52</v>
      </c>
      <c r="AJ65" s="13"/>
    </row>
    <row r="66" spans="1:36" x14ac:dyDescent="0.25">
      <c r="A66" t="str">
        <f>"260101"</f>
        <v>260101</v>
      </c>
      <c r="B66" t="s">
        <v>155</v>
      </c>
      <c r="C66" s="10">
        <v>76082951</v>
      </c>
      <c r="D66" s="10">
        <v>78330553</v>
      </c>
      <c r="E66" s="11">
        <v>2.95</v>
      </c>
      <c r="F66" s="12">
        <v>51069907</v>
      </c>
      <c r="G66" s="12">
        <v>52275299</v>
      </c>
      <c r="H66" s="12"/>
      <c r="I66" s="12"/>
      <c r="J66" s="12"/>
      <c r="K66" s="12"/>
      <c r="L66" s="12"/>
      <c r="M66" s="12"/>
      <c r="N66" s="12">
        <v>51069907</v>
      </c>
      <c r="O66" s="12">
        <v>52275299</v>
      </c>
      <c r="P66" s="11">
        <v>2.36</v>
      </c>
      <c r="Q66" s="12">
        <v>0</v>
      </c>
      <c r="R66" s="12">
        <v>0</v>
      </c>
      <c r="S66" s="12">
        <v>51069908</v>
      </c>
      <c r="T66" s="12">
        <v>52275299</v>
      </c>
      <c r="U66" s="12">
        <v>51069907</v>
      </c>
      <c r="V66" s="12">
        <v>52275299</v>
      </c>
      <c r="W66" s="12">
        <v>1</v>
      </c>
      <c r="X66" s="12">
        <v>0</v>
      </c>
      <c r="Y66" s="12">
        <v>3543</v>
      </c>
      <c r="Z66" s="12">
        <v>3567</v>
      </c>
      <c r="AA66" s="11">
        <v>0.68</v>
      </c>
      <c r="AB66" s="12">
        <v>17183464</v>
      </c>
      <c r="AC66" s="12">
        <v>15798573</v>
      </c>
      <c r="AD66" s="12">
        <v>2600000</v>
      </c>
      <c r="AE66" s="12">
        <v>2600000</v>
      </c>
      <c r="AF66" s="12">
        <v>3043318</v>
      </c>
      <c r="AG66" s="12">
        <v>3133222</v>
      </c>
      <c r="AH66" s="11">
        <v>4</v>
      </c>
      <c r="AI66" s="11">
        <v>4</v>
      </c>
      <c r="AJ66" s="13"/>
    </row>
    <row r="67" spans="1:36" x14ac:dyDescent="0.25">
      <c r="A67" t="str">
        <f>"171102"</f>
        <v>171102</v>
      </c>
      <c r="B67" t="s">
        <v>156</v>
      </c>
      <c r="C67" s="10">
        <v>34697486</v>
      </c>
      <c r="D67" s="10">
        <v>36647500</v>
      </c>
      <c r="E67" s="11">
        <v>5.62</v>
      </c>
      <c r="F67" s="12">
        <v>14492948</v>
      </c>
      <c r="G67" s="12">
        <v>15058031</v>
      </c>
      <c r="H67" s="12"/>
      <c r="I67" s="12"/>
      <c r="J67" s="12"/>
      <c r="K67" s="12"/>
      <c r="L67" s="12"/>
      <c r="M67" s="12"/>
      <c r="N67" s="12">
        <v>14492948</v>
      </c>
      <c r="O67" s="12">
        <v>15058031</v>
      </c>
      <c r="P67" s="11">
        <v>3.9</v>
      </c>
      <c r="Q67" s="12">
        <v>331818</v>
      </c>
      <c r="R67" s="12">
        <v>788727</v>
      </c>
      <c r="S67" s="12">
        <v>14161130</v>
      </c>
      <c r="T67" s="12">
        <v>14623225</v>
      </c>
      <c r="U67" s="12">
        <v>14161130</v>
      </c>
      <c r="V67" s="12">
        <v>14269304</v>
      </c>
      <c r="W67" s="12">
        <v>0</v>
      </c>
      <c r="X67" s="12">
        <v>353921</v>
      </c>
      <c r="Y67" s="12">
        <v>1699</v>
      </c>
      <c r="Z67" s="12">
        <v>1794</v>
      </c>
      <c r="AA67" s="11">
        <v>5.59</v>
      </c>
      <c r="AB67" s="12">
        <v>1088030</v>
      </c>
      <c r="AC67" s="12">
        <v>1142632</v>
      </c>
      <c r="AD67" s="12">
        <v>1522496</v>
      </c>
      <c r="AE67" s="12">
        <v>1520000</v>
      </c>
      <c r="AF67" s="12">
        <v>1259912</v>
      </c>
      <c r="AG67" s="12">
        <v>1285197</v>
      </c>
      <c r="AH67" s="11">
        <v>3.63</v>
      </c>
      <c r="AI67" s="11">
        <v>3.51</v>
      </c>
      <c r="AJ67" s="13"/>
    </row>
    <row r="68" spans="1:36" x14ac:dyDescent="0.25">
      <c r="A68" t="str">
        <f>"261801"</f>
        <v>261801</v>
      </c>
      <c r="B68" t="s">
        <v>157</v>
      </c>
      <c r="C68" s="10">
        <v>78847223</v>
      </c>
      <c r="D68" s="10">
        <v>80248343</v>
      </c>
      <c r="E68" s="11">
        <v>1.78</v>
      </c>
      <c r="F68" s="12">
        <v>30786840</v>
      </c>
      <c r="G68" s="12">
        <v>31587298</v>
      </c>
      <c r="H68" s="12"/>
      <c r="I68" s="12"/>
      <c r="J68" s="12"/>
      <c r="K68" s="12"/>
      <c r="L68" s="12"/>
      <c r="M68" s="12"/>
      <c r="N68" s="12">
        <v>30786840</v>
      </c>
      <c r="O68" s="12">
        <v>31587298</v>
      </c>
      <c r="P68" s="11">
        <v>2.6</v>
      </c>
      <c r="Q68" s="12">
        <v>664097</v>
      </c>
      <c r="R68" s="12">
        <v>701216</v>
      </c>
      <c r="S68" s="12">
        <v>30315600</v>
      </c>
      <c r="T68" s="12">
        <v>30901852</v>
      </c>
      <c r="U68" s="12">
        <v>30122743</v>
      </c>
      <c r="V68" s="12">
        <v>30886082</v>
      </c>
      <c r="W68" s="12">
        <v>192857</v>
      </c>
      <c r="X68" s="12">
        <v>15770</v>
      </c>
      <c r="Y68" s="12">
        <v>3237</v>
      </c>
      <c r="Z68" s="12">
        <v>3195</v>
      </c>
      <c r="AA68" s="11">
        <v>-1.3</v>
      </c>
      <c r="AB68" s="12">
        <v>23406554</v>
      </c>
      <c r="AC68" s="12">
        <v>22206554</v>
      </c>
      <c r="AD68" s="12">
        <v>1875709</v>
      </c>
      <c r="AE68" s="12">
        <v>1927252</v>
      </c>
      <c r="AF68" s="12">
        <v>3153889</v>
      </c>
      <c r="AG68" s="12">
        <v>3209934</v>
      </c>
      <c r="AH68" s="11">
        <v>4</v>
      </c>
      <c r="AI68" s="11">
        <v>4</v>
      </c>
      <c r="AJ68" s="13"/>
    </row>
    <row r="69" spans="1:36" x14ac:dyDescent="0.25">
      <c r="A69" t="str">
        <f>"062301"</f>
        <v>062301</v>
      </c>
      <c r="B69" t="s">
        <v>158</v>
      </c>
      <c r="C69" s="10">
        <v>17836171</v>
      </c>
      <c r="D69" s="10">
        <v>18439528</v>
      </c>
      <c r="E69" s="11">
        <v>3.38</v>
      </c>
      <c r="F69" s="12">
        <v>4649917</v>
      </c>
      <c r="G69" s="12">
        <v>4742915</v>
      </c>
      <c r="H69" s="12"/>
      <c r="I69" s="12"/>
      <c r="J69" s="12"/>
      <c r="K69" s="12"/>
      <c r="L69" s="12"/>
      <c r="M69" s="12"/>
      <c r="N69" s="12">
        <v>4649917</v>
      </c>
      <c r="O69" s="12">
        <v>4742915</v>
      </c>
      <c r="P69" s="11">
        <v>2</v>
      </c>
      <c r="Q69" s="12">
        <v>367432</v>
      </c>
      <c r="R69" s="12">
        <v>382128</v>
      </c>
      <c r="S69" s="12">
        <v>4282485</v>
      </c>
      <c r="T69" s="12">
        <v>4360787</v>
      </c>
      <c r="U69" s="12">
        <v>4282485</v>
      </c>
      <c r="V69" s="12">
        <v>4360787</v>
      </c>
      <c r="W69" s="12">
        <v>0</v>
      </c>
      <c r="X69" s="12">
        <v>0</v>
      </c>
      <c r="Y69" s="12">
        <v>598</v>
      </c>
      <c r="Z69" s="12">
        <v>575</v>
      </c>
      <c r="AA69" s="11">
        <v>-3.85</v>
      </c>
      <c r="AB69" s="12">
        <v>2018587</v>
      </c>
      <c r="AC69" s="12">
        <v>2019087</v>
      </c>
      <c r="AD69" s="12">
        <v>635574</v>
      </c>
      <c r="AE69" s="12">
        <v>684007</v>
      </c>
      <c r="AF69" s="12">
        <v>1648756</v>
      </c>
      <c r="AG69" s="12">
        <v>1054249</v>
      </c>
      <c r="AH69" s="11">
        <v>9.24</v>
      </c>
      <c r="AI69" s="11">
        <v>5.72</v>
      </c>
      <c r="AJ69" s="13"/>
    </row>
    <row r="70" spans="1:36" x14ac:dyDescent="0.25">
      <c r="A70" t="str">
        <f>"660303"</f>
        <v>660303</v>
      </c>
      <c r="B70" t="s">
        <v>159</v>
      </c>
      <c r="C70" s="10">
        <v>47128004</v>
      </c>
      <c r="D70" s="10">
        <v>48222978</v>
      </c>
      <c r="E70" s="11">
        <v>2.3199999999999998</v>
      </c>
      <c r="F70" s="12">
        <v>41528004</v>
      </c>
      <c r="G70" s="12">
        <v>42347978</v>
      </c>
      <c r="H70" s="12"/>
      <c r="I70" s="12"/>
      <c r="J70" s="12"/>
      <c r="K70" s="12"/>
      <c r="L70" s="12"/>
      <c r="M70" s="12"/>
      <c r="N70" s="12">
        <v>41528004</v>
      </c>
      <c r="O70" s="12">
        <v>42347978</v>
      </c>
      <c r="P70" s="11">
        <v>1.97</v>
      </c>
      <c r="Q70" s="12">
        <v>0</v>
      </c>
      <c r="R70" s="12">
        <v>0</v>
      </c>
      <c r="S70" s="12">
        <v>41540144</v>
      </c>
      <c r="T70" s="12">
        <v>42623694</v>
      </c>
      <c r="U70" s="12">
        <v>41528004</v>
      </c>
      <c r="V70" s="12">
        <v>42347978</v>
      </c>
      <c r="W70" s="12">
        <v>12140</v>
      </c>
      <c r="X70" s="12">
        <v>275716</v>
      </c>
      <c r="Y70" s="12">
        <v>1660</v>
      </c>
      <c r="Z70" s="12">
        <v>1628</v>
      </c>
      <c r="AA70" s="11">
        <v>-1.93</v>
      </c>
      <c r="AB70" s="12">
        <v>4707583</v>
      </c>
      <c r="AC70" s="12">
        <v>4766250</v>
      </c>
      <c r="AD70" s="12">
        <v>711478</v>
      </c>
      <c r="AE70" s="12">
        <v>500000</v>
      </c>
      <c r="AF70" s="12">
        <v>1885118</v>
      </c>
      <c r="AG70" s="12">
        <v>1885118</v>
      </c>
      <c r="AH70" s="11">
        <v>4</v>
      </c>
      <c r="AI70" s="11">
        <v>3.91</v>
      </c>
      <c r="AJ70" s="13"/>
    </row>
    <row r="71" spans="1:36" x14ac:dyDescent="0.25">
      <c r="A71" t="str">
        <f>"250109"</f>
        <v>250109</v>
      </c>
      <c r="B71" t="s">
        <v>160</v>
      </c>
      <c r="C71" s="10">
        <v>6154765</v>
      </c>
      <c r="D71" s="10">
        <v>6353308</v>
      </c>
      <c r="E71" s="11">
        <v>3.23</v>
      </c>
      <c r="F71" s="12">
        <v>1473000</v>
      </c>
      <c r="G71" s="12">
        <v>1529000</v>
      </c>
      <c r="H71" s="12"/>
      <c r="I71" s="12"/>
      <c r="J71" s="12"/>
      <c r="K71" s="12"/>
      <c r="L71" s="12"/>
      <c r="M71" s="12"/>
      <c r="N71" s="12">
        <v>1473000</v>
      </c>
      <c r="O71" s="12">
        <v>1529000</v>
      </c>
      <c r="P71" s="11">
        <v>3.8</v>
      </c>
      <c r="Q71" s="12">
        <v>53185</v>
      </c>
      <c r="R71" s="12">
        <v>62184</v>
      </c>
      <c r="S71" s="12">
        <v>1419841</v>
      </c>
      <c r="T71" s="12">
        <v>1466842</v>
      </c>
      <c r="U71" s="12">
        <v>1419815</v>
      </c>
      <c r="V71" s="12">
        <v>1466816</v>
      </c>
      <c r="W71" s="12">
        <v>26</v>
      </c>
      <c r="X71" s="12">
        <v>26</v>
      </c>
      <c r="Y71" s="12">
        <v>235</v>
      </c>
      <c r="Z71" s="12">
        <v>235</v>
      </c>
      <c r="AA71" s="11">
        <v>0</v>
      </c>
      <c r="AB71" s="12">
        <v>198560</v>
      </c>
      <c r="AC71" s="12">
        <v>198560</v>
      </c>
      <c r="AD71" s="12">
        <v>590000</v>
      </c>
      <c r="AE71" s="12">
        <v>601866</v>
      </c>
      <c r="AF71" s="12">
        <v>247795</v>
      </c>
      <c r="AG71" s="12">
        <v>270724</v>
      </c>
      <c r="AH71" s="11">
        <v>4.03</v>
      </c>
      <c r="AI71" s="11">
        <v>4.26</v>
      </c>
      <c r="AJ71" s="13"/>
    </row>
    <row r="72" spans="1:36" x14ac:dyDescent="0.25">
      <c r="A72" t="str">
        <f>"580203"</f>
        <v>580203</v>
      </c>
      <c r="B72" t="s">
        <v>161</v>
      </c>
      <c r="C72" s="10">
        <v>90051337</v>
      </c>
      <c r="D72" s="10">
        <v>91947730</v>
      </c>
      <c r="E72" s="11">
        <v>2.11</v>
      </c>
      <c r="F72" s="12">
        <v>55031337</v>
      </c>
      <c r="G72" s="12">
        <v>56220730</v>
      </c>
      <c r="H72" s="12"/>
      <c r="I72" s="12"/>
      <c r="J72" s="12"/>
      <c r="K72" s="12"/>
      <c r="L72" s="12"/>
      <c r="M72" s="12"/>
      <c r="N72" s="12">
        <v>55031337</v>
      </c>
      <c r="O72" s="12">
        <v>56220730</v>
      </c>
      <c r="P72" s="11">
        <v>2.16</v>
      </c>
      <c r="Q72" s="12">
        <v>1778207</v>
      </c>
      <c r="R72" s="12">
        <v>1734148</v>
      </c>
      <c r="S72" s="12">
        <v>53255688</v>
      </c>
      <c r="T72" s="12">
        <v>54486583</v>
      </c>
      <c r="U72" s="12">
        <v>53253130</v>
      </c>
      <c r="V72" s="12">
        <v>54486582</v>
      </c>
      <c r="W72" s="12">
        <v>2558</v>
      </c>
      <c r="X72" s="12">
        <v>1</v>
      </c>
      <c r="Y72" s="12">
        <v>3797</v>
      </c>
      <c r="Z72" s="12">
        <v>3773</v>
      </c>
      <c r="AA72" s="11">
        <v>-0.63</v>
      </c>
      <c r="AB72" s="12">
        <v>18413313</v>
      </c>
      <c r="AC72" s="12">
        <v>17535251</v>
      </c>
      <c r="AD72" s="12">
        <v>3412973</v>
      </c>
      <c r="AE72" s="12">
        <v>3300000</v>
      </c>
      <c r="AF72" s="12">
        <v>3586311</v>
      </c>
      <c r="AG72" s="12">
        <v>3584859</v>
      </c>
      <c r="AH72" s="11">
        <v>3.98</v>
      </c>
      <c r="AI72" s="11">
        <v>3.9</v>
      </c>
      <c r="AJ72" s="13"/>
    </row>
    <row r="73" spans="1:36" x14ac:dyDescent="0.25">
      <c r="A73" t="str">
        <f>"490202"</f>
        <v>490202</v>
      </c>
      <c r="B73" t="s">
        <v>162</v>
      </c>
      <c r="C73" s="10">
        <v>23587405</v>
      </c>
      <c r="D73" s="10">
        <v>24577667</v>
      </c>
      <c r="E73" s="11">
        <v>4.2</v>
      </c>
      <c r="F73" s="12">
        <v>12296460</v>
      </c>
      <c r="G73" s="12">
        <v>12643220</v>
      </c>
      <c r="H73" s="12" t="s">
        <v>95</v>
      </c>
      <c r="I73" s="12" t="s">
        <v>95</v>
      </c>
      <c r="J73" s="12" t="s">
        <v>95</v>
      </c>
      <c r="K73" s="12" t="s">
        <v>95</v>
      </c>
      <c r="L73" s="12" t="s">
        <v>95</v>
      </c>
      <c r="M73" s="12" t="s">
        <v>95</v>
      </c>
      <c r="N73" s="12">
        <v>12296460</v>
      </c>
      <c r="O73" s="12">
        <v>12643220</v>
      </c>
      <c r="P73" s="11">
        <v>2.82</v>
      </c>
      <c r="Q73" s="12">
        <v>0</v>
      </c>
      <c r="R73" s="12">
        <v>0</v>
      </c>
      <c r="S73" s="12">
        <v>12408382</v>
      </c>
      <c r="T73" s="12">
        <v>12992956</v>
      </c>
      <c r="U73" s="12">
        <v>12296460</v>
      </c>
      <c r="V73" s="12">
        <v>12643220</v>
      </c>
      <c r="W73" s="12">
        <v>111922</v>
      </c>
      <c r="X73" s="12">
        <v>349736</v>
      </c>
      <c r="Y73" s="12">
        <v>1198</v>
      </c>
      <c r="Z73" s="12">
        <v>1204</v>
      </c>
      <c r="AA73" s="11">
        <v>0.5</v>
      </c>
      <c r="AB73" s="12">
        <v>3646100</v>
      </c>
      <c r="AC73" s="12">
        <v>3162243</v>
      </c>
      <c r="AD73" s="12">
        <v>821378</v>
      </c>
      <c r="AE73" s="12">
        <v>650000</v>
      </c>
      <c r="AF73" s="12">
        <v>923717</v>
      </c>
      <c r="AG73" s="12">
        <v>983107</v>
      </c>
      <c r="AH73" s="11">
        <v>3.92</v>
      </c>
      <c r="AI73" s="11">
        <v>4</v>
      </c>
      <c r="AJ73" s="13"/>
    </row>
    <row r="74" spans="1:36" x14ac:dyDescent="0.25">
      <c r="A74" t="str">
        <f>"161601"</f>
        <v>161601</v>
      </c>
      <c r="B74" t="s">
        <v>163</v>
      </c>
      <c r="C74" s="10">
        <v>18243732</v>
      </c>
      <c r="D74" s="10">
        <v>19242855</v>
      </c>
      <c r="E74" s="11">
        <v>5.48</v>
      </c>
      <c r="F74" s="12">
        <v>2960306</v>
      </c>
      <c r="G74" s="12">
        <v>3037442</v>
      </c>
      <c r="H74" s="12"/>
      <c r="I74" s="12"/>
      <c r="J74" s="12"/>
      <c r="K74" s="12"/>
      <c r="L74" s="12"/>
      <c r="M74" s="12"/>
      <c r="N74" s="12">
        <v>2960306</v>
      </c>
      <c r="O74" s="12">
        <v>3037442</v>
      </c>
      <c r="P74" s="11">
        <v>2.61</v>
      </c>
      <c r="Q74" s="12">
        <v>0</v>
      </c>
      <c r="R74" s="12">
        <v>0</v>
      </c>
      <c r="S74" s="12">
        <v>2964070</v>
      </c>
      <c r="T74" s="12">
        <v>3037442</v>
      </c>
      <c r="U74" s="12">
        <v>2960306</v>
      </c>
      <c r="V74" s="12">
        <v>3037442</v>
      </c>
      <c r="W74" s="12">
        <v>3764</v>
      </c>
      <c r="X74" s="12">
        <v>0</v>
      </c>
      <c r="Y74" s="12">
        <v>780</v>
      </c>
      <c r="Z74" s="12">
        <v>778</v>
      </c>
      <c r="AA74" s="11">
        <v>-0.26</v>
      </c>
      <c r="AB74" s="12">
        <v>1443009</v>
      </c>
      <c r="AC74" s="12">
        <v>1395941</v>
      </c>
      <c r="AD74" s="12">
        <v>523340</v>
      </c>
      <c r="AE74" s="12">
        <v>523340</v>
      </c>
      <c r="AF74" s="12">
        <v>1930239</v>
      </c>
      <c r="AG74" s="12">
        <v>1327352</v>
      </c>
      <c r="AH74" s="11">
        <v>10.58</v>
      </c>
      <c r="AI74" s="11">
        <v>6.9</v>
      </c>
      <c r="AJ74" s="13"/>
    </row>
    <row r="75" spans="1:36" x14ac:dyDescent="0.25">
      <c r="A75" t="str">
        <f>"520101"</f>
        <v>520101</v>
      </c>
      <c r="B75" t="s">
        <v>164</v>
      </c>
      <c r="C75" s="10">
        <v>65492019</v>
      </c>
      <c r="D75" s="10">
        <v>68082518</v>
      </c>
      <c r="E75" s="11">
        <v>3.96</v>
      </c>
      <c r="F75" s="12">
        <v>38882000</v>
      </c>
      <c r="G75" s="12">
        <v>40009573</v>
      </c>
      <c r="H75" s="12"/>
      <c r="I75" s="12"/>
      <c r="J75" s="12"/>
      <c r="K75" s="12"/>
      <c r="L75" s="12"/>
      <c r="M75" s="12"/>
      <c r="N75" s="12">
        <v>38882000</v>
      </c>
      <c r="O75" s="12">
        <v>40009573</v>
      </c>
      <c r="P75" s="11">
        <v>2.9</v>
      </c>
      <c r="Q75" s="12">
        <v>1078473</v>
      </c>
      <c r="R75" s="12">
        <v>1116972</v>
      </c>
      <c r="S75" s="12">
        <v>37899645</v>
      </c>
      <c r="T75" s="12">
        <v>38924476</v>
      </c>
      <c r="U75" s="12">
        <v>37803527</v>
      </c>
      <c r="V75" s="12">
        <v>38892601</v>
      </c>
      <c r="W75" s="12">
        <v>96118</v>
      </c>
      <c r="X75" s="12">
        <v>31875</v>
      </c>
      <c r="Y75" s="12">
        <v>3102</v>
      </c>
      <c r="Z75" s="12">
        <v>3096</v>
      </c>
      <c r="AA75" s="11">
        <v>-0.19</v>
      </c>
      <c r="AB75" s="12">
        <v>6062477</v>
      </c>
      <c r="AC75" s="12">
        <v>6050000</v>
      </c>
      <c r="AD75" s="12">
        <v>2290000</v>
      </c>
      <c r="AE75" s="12">
        <v>2010860</v>
      </c>
      <c r="AF75" s="12">
        <v>2573013</v>
      </c>
      <c r="AG75" s="12">
        <v>2720000</v>
      </c>
      <c r="AH75" s="11">
        <v>3.93</v>
      </c>
      <c r="AI75" s="11">
        <v>4</v>
      </c>
      <c r="AJ75" s="13"/>
    </row>
    <row r="76" spans="1:36" x14ac:dyDescent="0.25">
      <c r="A76" t="str">
        <f>"661201"</f>
        <v>661201</v>
      </c>
      <c r="B76" t="s">
        <v>165</v>
      </c>
      <c r="C76" s="10">
        <v>90590230</v>
      </c>
      <c r="D76" s="10">
        <v>92347680</v>
      </c>
      <c r="E76" s="11">
        <v>1.94</v>
      </c>
      <c r="F76" s="12">
        <v>78562474</v>
      </c>
      <c r="G76" s="12">
        <v>81249073</v>
      </c>
      <c r="H76" s="12"/>
      <c r="I76" s="12"/>
      <c r="J76" s="12"/>
      <c r="K76" s="12"/>
      <c r="L76" s="12"/>
      <c r="M76" s="12"/>
      <c r="N76" s="12">
        <v>78562474</v>
      </c>
      <c r="O76" s="12">
        <v>81249073</v>
      </c>
      <c r="P76" s="11">
        <v>3.42</v>
      </c>
      <c r="Q76" s="12">
        <v>6169915</v>
      </c>
      <c r="R76" s="12">
        <v>6062915</v>
      </c>
      <c r="S76" s="12">
        <v>72431048</v>
      </c>
      <c r="T76" s="12">
        <v>76106385</v>
      </c>
      <c r="U76" s="12">
        <v>72392559</v>
      </c>
      <c r="V76" s="12">
        <v>75186158</v>
      </c>
      <c r="W76" s="12">
        <v>38489</v>
      </c>
      <c r="X76" s="12">
        <v>920227</v>
      </c>
      <c r="Y76" s="12">
        <v>2352</v>
      </c>
      <c r="Z76" s="12">
        <v>2319</v>
      </c>
      <c r="AA76" s="11">
        <v>-1.4</v>
      </c>
      <c r="AB76" s="12">
        <v>20348527</v>
      </c>
      <c r="AC76" s="12">
        <v>19761370</v>
      </c>
      <c r="AD76" s="12">
        <v>3009353</v>
      </c>
      <c r="AE76" s="12">
        <v>3009353</v>
      </c>
      <c r="AF76" s="12">
        <v>3623609</v>
      </c>
      <c r="AG76" s="12">
        <v>3693907</v>
      </c>
      <c r="AH76" s="11">
        <v>4</v>
      </c>
      <c r="AI76" s="11">
        <v>4</v>
      </c>
      <c r="AJ76" s="13"/>
    </row>
    <row r="77" spans="1:36" x14ac:dyDescent="0.25">
      <c r="A77" t="str">
        <f>"180701"</f>
        <v>180701</v>
      </c>
      <c r="B77" t="s">
        <v>166</v>
      </c>
      <c r="C77" s="10">
        <v>22797497</v>
      </c>
      <c r="D77" s="10">
        <v>22998010</v>
      </c>
      <c r="E77" s="11">
        <v>0.88</v>
      </c>
      <c r="F77" s="12">
        <v>8529841</v>
      </c>
      <c r="G77" s="12">
        <v>8599072</v>
      </c>
      <c r="H77" s="12"/>
      <c r="I77" s="12"/>
      <c r="J77" s="12"/>
      <c r="K77" s="12"/>
      <c r="L77" s="12"/>
      <c r="M77" s="12"/>
      <c r="N77" s="12">
        <v>8529841</v>
      </c>
      <c r="O77" s="12">
        <v>8599072</v>
      </c>
      <c r="P77" s="11">
        <v>0.81</v>
      </c>
      <c r="Q77" s="12">
        <v>356633</v>
      </c>
      <c r="R77" s="12">
        <v>35338</v>
      </c>
      <c r="S77" s="12">
        <v>8173208</v>
      </c>
      <c r="T77" s="12">
        <v>8563734</v>
      </c>
      <c r="U77" s="12">
        <v>8173208</v>
      </c>
      <c r="V77" s="12">
        <v>8563734</v>
      </c>
      <c r="W77" s="12">
        <v>0</v>
      </c>
      <c r="X77" s="12">
        <v>0</v>
      </c>
      <c r="Y77" s="12">
        <v>971</v>
      </c>
      <c r="Z77" s="12">
        <v>976</v>
      </c>
      <c r="AA77" s="11">
        <v>0.51</v>
      </c>
      <c r="AB77" s="12">
        <v>4315589</v>
      </c>
      <c r="AC77" s="12">
        <v>4493209</v>
      </c>
      <c r="AD77" s="12">
        <v>150000</v>
      </c>
      <c r="AE77" s="12">
        <v>300000</v>
      </c>
      <c r="AF77" s="12">
        <v>857540</v>
      </c>
      <c r="AG77" s="12">
        <v>919920</v>
      </c>
      <c r="AH77" s="11">
        <v>3.76</v>
      </c>
      <c r="AI77" s="11">
        <v>4</v>
      </c>
      <c r="AJ77" s="13"/>
    </row>
    <row r="78" spans="1:36" x14ac:dyDescent="0.25">
      <c r="A78" t="str">
        <f>"190301"</f>
        <v>190301</v>
      </c>
      <c r="B78" t="s">
        <v>167</v>
      </c>
      <c r="C78" s="10">
        <v>30103377</v>
      </c>
      <c r="D78" s="10">
        <v>31147145</v>
      </c>
      <c r="E78" s="11">
        <v>3.47</v>
      </c>
      <c r="F78" s="12">
        <v>13484703</v>
      </c>
      <c r="G78" s="12">
        <v>13747655</v>
      </c>
      <c r="H78" s="12"/>
      <c r="I78" s="12"/>
      <c r="J78" s="12"/>
      <c r="K78" s="12"/>
      <c r="L78" s="12"/>
      <c r="M78" s="12"/>
      <c r="N78" s="12">
        <v>13484703</v>
      </c>
      <c r="O78" s="12">
        <v>13747655</v>
      </c>
      <c r="P78" s="11">
        <v>1.95</v>
      </c>
      <c r="Q78" s="12">
        <v>403004</v>
      </c>
      <c r="R78" s="12">
        <v>490449</v>
      </c>
      <c r="S78" s="12">
        <v>13081699</v>
      </c>
      <c r="T78" s="12">
        <v>13402526</v>
      </c>
      <c r="U78" s="12">
        <v>13081699</v>
      </c>
      <c r="V78" s="12">
        <v>13257206</v>
      </c>
      <c r="W78" s="12">
        <v>0</v>
      </c>
      <c r="X78" s="12">
        <v>145320</v>
      </c>
      <c r="Y78" s="12">
        <v>1225</v>
      </c>
      <c r="Z78" s="12">
        <v>1214</v>
      </c>
      <c r="AA78" s="11">
        <v>-0.9</v>
      </c>
      <c r="AB78" s="12">
        <v>4169555</v>
      </c>
      <c r="AC78" s="12">
        <v>3919355</v>
      </c>
      <c r="AD78" s="12">
        <v>2540819</v>
      </c>
      <c r="AE78" s="12">
        <v>2550000</v>
      </c>
      <c r="AF78" s="12">
        <v>1816171</v>
      </c>
      <c r="AG78" s="12">
        <v>1245886</v>
      </c>
      <c r="AH78" s="11">
        <v>6.03</v>
      </c>
      <c r="AI78" s="11">
        <v>4</v>
      </c>
      <c r="AJ78" s="13"/>
    </row>
    <row r="79" spans="1:36" x14ac:dyDescent="0.25">
      <c r="A79" s="16" t="str">
        <f>"240201"</f>
        <v>240201</v>
      </c>
      <c r="B79" s="16" t="s">
        <v>168</v>
      </c>
      <c r="C79" s="18">
        <v>17708790</v>
      </c>
      <c r="D79" s="18">
        <v>18131118</v>
      </c>
      <c r="E79" s="15">
        <v>2.38</v>
      </c>
      <c r="F79" s="19">
        <v>6897777</v>
      </c>
      <c r="G79" s="19">
        <v>7035043</v>
      </c>
      <c r="H79" s="19"/>
      <c r="I79" s="19"/>
      <c r="J79" s="19"/>
      <c r="K79" s="19"/>
      <c r="L79" s="19"/>
      <c r="M79" s="19"/>
      <c r="N79" s="19">
        <v>6897777</v>
      </c>
      <c r="O79" s="19">
        <v>7035043</v>
      </c>
      <c r="P79" s="15">
        <v>1.99</v>
      </c>
      <c r="Q79" s="19">
        <v>165630</v>
      </c>
      <c r="R79" s="19">
        <v>112408</v>
      </c>
      <c r="S79" s="19">
        <v>6751099</v>
      </c>
      <c r="T79" s="19">
        <v>6923324</v>
      </c>
      <c r="U79" s="19">
        <v>6732147</v>
      </c>
      <c r="V79" s="19">
        <v>6922635</v>
      </c>
      <c r="W79" s="19">
        <v>18952</v>
      </c>
      <c r="X79" s="19">
        <v>689</v>
      </c>
      <c r="Y79" s="19">
        <v>804</v>
      </c>
      <c r="Z79" s="19">
        <v>829</v>
      </c>
      <c r="AA79" s="15">
        <v>3.11</v>
      </c>
      <c r="AB79" s="19">
        <v>2021237</v>
      </c>
      <c r="AC79" s="19">
        <v>2421237</v>
      </c>
      <c r="AD79" s="19">
        <v>535056</v>
      </c>
      <c r="AE79" s="19">
        <v>565000</v>
      </c>
      <c r="AF79" s="19">
        <v>703728</v>
      </c>
      <c r="AG79" s="19">
        <v>725000</v>
      </c>
      <c r="AH79" s="15">
        <v>3.97</v>
      </c>
      <c r="AI79" s="15">
        <v>4</v>
      </c>
      <c r="AJ79" s="13"/>
    </row>
    <row r="80" spans="1:36" x14ac:dyDescent="0.25">
      <c r="A80" t="str">
        <f>"641610"</f>
        <v>641610</v>
      </c>
      <c r="B80" t="s">
        <v>169</v>
      </c>
      <c r="C80" s="10">
        <v>20793845</v>
      </c>
      <c r="D80" s="10">
        <v>21635718</v>
      </c>
      <c r="E80" s="11">
        <v>4.05</v>
      </c>
      <c r="F80" s="12">
        <v>8676588</v>
      </c>
      <c r="G80" s="12">
        <v>8755418</v>
      </c>
      <c r="H80" s="12"/>
      <c r="I80" s="12"/>
      <c r="J80" s="12"/>
      <c r="K80" s="12"/>
      <c r="L80" s="12"/>
      <c r="M80" s="12"/>
      <c r="N80" s="12">
        <v>8676588</v>
      </c>
      <c r="O80" s="12">
        <v>8755418</v>
      </c>
      <c r="P80" s="11">
        <v>0.91</v>
      </c>
      <c r="Q80" s="12">
        <v>696120</v>
      </c>
      <c r="R80" s="12">
        <v>575870</v>
      </c>
      <c r="S80" s="12">
        <v>7980468</v>
      </c>
      <c r="T80" s="12">
        <v>8179549</v>
      </c>
      <c r="U80" s="12">
        <v>7980468</v>
      </c>
      <c r="V80" s="12">
        <v>8179548</v>
      </c>
      <c r="W80" s="12">
        <v>0</v>
      </c>
      <c r="X80" s="12">
        <v>1</v>
      </c>
      <c r="Y80" s="12">
        <v>888</v>
      </c>
      <c r="Z80" s="12">
        <v>886</v>
      </c>
      <c r="AA80" s="11">
        <v>-0.23</v>
      </c>
      <c r="AB80" s="12">
        <v>909644</v>
      </c>
      <c r="AC80" s="12">
        <v>1009644</v>
      </c>
      <c r="AD80" s="12">
        <v>600000</v>
      </c>
      <c r="AE80" s="12">
        <v>500000</v>
      </c>
      <c r="AF80" s="12">
        <v>822864</v>
      </c>
      <c r="AG80" s="12">
        <v>862522</v>
      </c>
      <c r="AH80" s="11">
        <v>3.96</v>
      </c>
      <c r="AI80" s="11">
        <v>3.99</v>
      </c>
      <c r="AJ80" s="13"/>
    </row>
    <row r="81" spans="1:36" x14ac:dyDescent="0.25">
      <c r="A81" t="str">
        <f>"410601"</f>
        <v>410601</v>
      </c>
      <c r="B81" t="s">
        <v>170</v>
      </c>
      <c r="C81" s="10">
        <v>51981145</v>
      </c>
      <c r="D81" s="10">
        <v>52221288</v>
      </c>
      <c r="E81" s="11">
        <v>0.46</v>
      </c>
      <c r="F81" s="12">
        <v>10488456</v>
      </c>
      <c r="G81" s="12">
        <v>10698225</v>
      </c>
      <c r="H81" s="12"/>
      <c r="I81" s="12"/>
      <c r="J81" s="12"/>
      <c r="K81" s="12"/>
      <c r="L81" s="12"/>
      <c r="M81" s="12"/>
      <c r="N81" s="12">
        <v>10488456</v>
      </c>
      <c r="O81" s="12">
        <v>10698225</v>
      </c>
      <c r="P81" s="11">
        <v>2</v>
      </c>
      <c r="Q81" s="12">
        <v>372593</v>
      </c>
      <c r="R81" s="12">
        <v>372030</v>
      </c>
      <c r="S81" s="12">
        <v>10115863</v>
      </c>
      <c r="T81" s="12">
        <v>10397347</v>
      </c>
      <c r="U81" s="12">
        <v>10115863</v>
      </c>
      <c r="V81" s="12">
        <v>10326195</v>
      </c>
      <c r="W81" s="12">
        <v>0</v>
      </c>
      <c r="X81" s="12">
        <v>71152</v>
      </c>
      <c r="Y81" s="12">
        <v>2064</v>
      </c>
      <c r="Z81" s="12">
        <v>2044</v>
      </c>
      <c r="AA81" s="11">
        <v>-0.97</v>
      </c>
      <c r="AB81" s="12">
        <v>3673665</v>
      </c>
      <c r="AC81" s="12">
        <v>3016976</v>
      </c>
      <c r="AD81" s="12">
        <v>1121289</v>
      </c>
      <c r="AE81" s="12">
        <v>1334625</v>
      </c>
      <c r="AF81" s="12">
        <v>2332821</v>
      </c>
      <c r="AG81" s="12">
        <v>1888851</v>
      </c>
      <c r="AH81" s="11">
        <v>4.49</v>
      </c>
      <c r="AI81" s="11">
        <v>3.62</v>
      </c>
      <c r="AJ81" s="13"/>
    </row>
    <row r="82" spans="1:36" x14ac:dyDescent="0.25">
      <c r="A82" t="str">
        <f>"570603"</f>
        <v>570603</v>
      </c>
      <c r="B82" t="s">
        <v>171</v>
      </c>
      <c r="C82" s="10">
        <v>22036998</v>
      </c>
      <c r="D82" s="10">
        <v>22239488</v>
      </c>
      <c r="E82" s="11">
        <v>0.92</v>
      </c>
      <c r="F82" s="12">
        <v>4910414</v>
      </c>
      <c r="G82" s="12">
        <v>4984470</v>
      </c>
      <c r="H82" s="12"/>
      <c r="I82" s="12"/>
      <c r="J82" s="12"/>
      <c r="K82" s="12"/>
      <c r="L82" s="12"/>
      <c r="M82" s="12"/>
      <c r="N82" s="12">
        <v>4910414</v>
      </c>
      <c r="O82" s="12">
        <v>4984470</v>
      </c>
      <c r="P82" s="11">
        <v>1.51</v>
      </c>
      <c r="Q82" s="12">
        <v>0</v>
      </c>
      <c r="R82" s="12">
        <v>0</v>
      </c>
      <c r="S82" s="12">
        <v>4910414</v>
      </c>
      <c r="T82" s="12">
        <v>4984470</v>
      </c>
      <c r="U82" s="12">
        <v>4910414</v>
      </c>
      <c r="V82" s="12">
        <v>4984470</v>
      </c>
      <c r="W82" s="12">
        <v>0</v>
      </c>
      <c r="X82" s="12">
        <v>0</v>
      </c>
      <c r="Y82" s="12">
        <v>846</v>
      </c>
      <c r="Z82" s="12">
        <v>837</v>
      </c>
      <c r="AA82" s="11">
        <v>-1.06</v>
      </c>
      <c r="AB82" s="12">
        <v>982653</v>
      </c>
      <c r="AC82" s="12">
        <v>1681559</v>
      </c>
      <c r="AD82" s="12">
        <v>325000</v>
      </c>
      <c r="AE82" s="12">
        <v>61724</v>
      </c>
      <c r="AF82" s="12">
        <v>1322857</v>
      </c>
      <c r="AG82" s="12">
        <v>889580</v>
      </c>
      <c r="AH82" s="11">
        <v>6</v>
      </c>
      <c r="AI82" s="11">
        <v>4</v>
      </c>
      <c r="AJ82" s="13"/>
    </row>
    <row r="83" spans="1:36" x14ac:dyDescent="0.25">
      <c r="A83" t="str">
        <f>"270301"</f>
        <v>270301</v>
      </c>
      <c r="B83" t="s">
        <v>172</v>
      </c>
      <c r="C83" s="10">
        <v>21885850</v>
      </c>
      <c r="D83" s="10">
        <v>22780035</v>
      </c>
      <c r="E83" s="11">
        <v>4.09</v>
      </c>
      <c r="F83" s="12">
        <v>6982081</v>
      </c>
      <c r="G83" s="12">
        <v>7121723</v>
      </c>
      <c r="H83" s="12"/>
      <c r="I83" s="12"/>
      <c r="J83" s="12"/>
      <c r="K83" s="12"/>
      <c r="L83" s="12"/>
      <c r="M83" s="12"/>
      <c r="N83" s="12">
        <v>6982081</v>
      </c>
      <c r="O83" s="12">
        <v>7121723</v>
      </c>
      <c r="P83" s="11">
        <v>2</v>
      </c>
      <c r="Q83" s="12">
        <v>0</v>
      </c>
      <c r="R83" s="12">
        <v>0</v>
      </c>
      <c r="S83" s="12">
        <v>6982081</v>
      </c>
      <c r="T83" s="12">
        <v>7121723</v>
      </c>
      <c r="U83" s="12">
        <v>6982081</v>
      </c>
      <c r="V83" s="12">
        <v>7121723</v>
      </c>
      <c r="W83" s="12">
        <v>0</v>
      </c>
      <c r="X83" s="12">
        <v>0</v>
      </c>
      <c r="Y83" s="12">
        <v>946</v>
      </c>
      <c r="Z83" s="12">
        <v>946</v>
      </c>
      <c r="AA83" s="11">
        <v>0</v>
      </c>
      <c r="AB83" s="12">
        <v>2790378</v>
      </c>
      <c r="AC83" s="12">
        <v>1613461</v>
      </c>
      <c r="AD83" s="12">
        <v>1123537</v>
      </c>
      <c r="AE83" s="12">
        <v>798537</v>
      </c>
      <c r="AF83" s="12">
        <v>1410188</v>
      </c>
      <c r="AG83" s="12">
        <v>1535188</v>
      </c>
      <c r="AH83" s="11">
        <v>6.44</v>
      </c>
      <c r="AI83" s="11">
        <v>6.74</v>
      </c>
      <c r="AJ83" s="13"/>
    </row>
    <row r="84" spans="1:36" x14ac:dyDescent="0.25">
      <c r="A84" t="str">
        <f>"430300"</f>
        <v>430300</v>
      </c>
      <c r="B84" t="s">
        <v>173</v>
      </c>
      <c r="C84" s="10">
        <v>73926409</v>
      </c>
      <c r="D84" s="10">
        <v>75996123</v>
      </c>
      <c r="E84" s="11">
        <v>2.8</v>
      </c>
      <c r="F84" s="12">
        <v>44330359</v>
      </c>
      <c r="G84" s="12">
        <v>45434119</v>
      </c>
      <c r="H84" s="12"/>
      <c r="I84" s="12"/>
      <c r="J84" s="12"/>
      <c r="K84" s="12"/>
      <c r="L84" s="12"/>
      <c r="M84" s="12"/>
      <c r="N84" s="12">
        <v>44330359</v>
      </c>
      <c r="O84" s="12">
        <v>45434119</v>
      </c>
      <c r="P84" s="11">
        <v>2.4900000000000002</v>
      </c>
      <c r="Q84" s="12">
        <v>1400150</v>
      </c>
      <c r="R84" s="12">
        <v>1399315</v>
      </c>
      <c r="S84" s="12">
        <v>43339990</v>
      </c>
      <c r="T84" s="12">
        <v>44291728</v>
      </c>
      <c r="U84" s="12">
        <v>42930209</v>
      </c>
      <c r="V84" s="12">
        <v>44034804</v>
      </c>
      <c r="W84" s="12">
        <v>409781</v>
      </c>
      <c r="X84" s="12">
        <v>256924</v>
      </c>
      <c r="Y84" s="12">
        <v>3587</v>
      </c>
      <c r="Z84" s="12">
        <v>3570</v>
      </c>
      <c r="AA84" s="11">
        <v>-0.47</v>
      </c>
      <c r="AB84" s="12">
        <v>18052652</v>
      </c>
      <c r="AC84" s="12">
        <v>19856952</v>
      </c>
      <c r="AD84" s="12">
        <v>1910341</v>
      </c>
      <c r="AE84" s="12">
        <v>2050000</v>
      </c>
      <c r="AF84" s="12">
        <v>2957056</v>
      </c>
      <c r="AG84" s="12">
        <v>3039845</v>
      </c>
      <c r="AH84" s="11">
        <v>4</v>
      </c>
      <c r="AI84" s="11">
        <v>4</v>
      </c>
      <c r="AJ84" s="13"/>
    </row>
    <row r="85" spans="1:36" x14ac:dyDescent="0.25">
      <c r="A85" t="str">
        <f>"021102"</f>
        <v>021102</v>
      </c>
      <c r="B85" t="s">
        <v>174</v>
      </c>
      <c r="C85" s="10">
        <v>7231120</v>
      </c>
      <c r="D85" s="10">
        <v>7266861</v>
      </c>
      <c r="E85" s="11">
        <v>0.49</v>
      </c>
      <c r="F85" s="12">
        <v>1966007</v>
      </c>
      <c r="G85" s="12">
        <v>2011968</v>
      </c>
      <c r="H85" s="12"/>
      <c r="I85" s="12"/>
      <c r="J85" s="12"/>
      <c r="K85" s="12"/>
      <c r="L85" s="12"/>
      <c r="M85" s="12"/>
      <c r="N85" s="12">
        <v>1966007</v>
      </c>
      <c r="O85" s="12">
        <v>2011968</v>
      </c>
      <c r="P85" s="11">
        <v>2.34</v>
      </c>
      <c r="Q85" s="12">
        <v>0</v>
      </c>
      <c r="R85" s="12">
        <v>0</v>
      </c>
      <c r="S85" s="12">
        <v>1966007</v>
      </c>
      <c r="T85" s="12">
        <v>2011968</v>
      </c>
      <c r="U85" s="12">
        <v>1966007</v>
      </c>
      <c r="V85" s="12">
        <v>2011968</v>
      </c>
      <c r="W85" s="12">
        <v>0</v>
      </c>
      <c r="X85" s="12">
        <v>0</v>
      </c>
      <c r="Y85" s="12">
        <v>220</v>
      </c>
      <c r="Z85" s="12">
        <v>220</v>
      </c>
      <c r="AA85" s="11">
        <v>0</v>
      </c>
      <c r="AB85" s="12">
        <v>3093259</v>
      </c>
      <c r="AC85" s="12">
        <v>3254459</v>
      </c>
      <c r="AD85" s="12">
        <v>398540</v>
      </c>
      <c r="AE85" s="12">
        <v>359000</v>
      </c>
      <c r="AF85" s="12">
        <v>466275</v>
      </c>
      <c r="AG85" s="12">
        <v>363343</v>
      </c>
      <c r="AH85" s="11">
        <v>6.45</v>
      </c>
      <c r="AI85" s="11">
        <v>5</v>
      </c>
      <c r="AJ85" s="13"/>
    </row>
    <row r="86" spans="1:36" x14ac:dyDescent="0.25">
      <c r="A86" t="str">
        <f>"250901"</f>
        <v>250901</v>
      </c>
      <c r="B86" t="s">
        <v>175</v>
      </c>
      <c r="C86" s="10">
        <v>29506361</v>
      </c>
      <c r="D86" s="10">
        <v>30251183</v>
      </c>
      <c r="E86" s="11">
        <v>2.52</v>
      </c>
      <c r="F86" s="12">
        <v>11740000</v>
      </c>
      <c r="G86" s="12">
        <v>11951060</v>
      </c>
      <c r="H86" s="12"/>
      <c r="I86" s="12"/>
      <c r="J86" s="12"/>
      <c r="K86" s="12"/>
      <c r="L86" s="12"/>
      <c r="M86" s="12"/>
      <c r="N86" s="12">
        <v>11740000</v>
      </c>
      <c r="O86" s="12">
        <v>11951060</v>
      </c>
      <c r="P86" s="11">
        <v>1.8</v>
      </c>
      <c r="Q86" s="12">
        <v>193054</v>
      </c>
      <c r="R86" s="12">
        <v>211060</v>
      </c>
      <c r="S86" s="12">
        <v>11546946</v>
      </c>
      <c r="T86" s="12">
        <v>11740000</v>
      </c>
      <c r="U86" s="12">
        <v>11546946</v>
      </c>
      <c r="V86" s="12">
        <v>11740000</v>
      </c>
      <c r="W86" s="12">
        <v>0</v>
      </c>
      <c r="X86" s="12">
        <v>0</v>
      </c>
      <c r="Y86" s="12">
        <v>1540</v>
      </c>
      <c r="Z86" s="12">
        <v>1500</v>
      </c>
      <c r="AA86" s="11">
        <v>-2.6</v>
      </c>
      <c r="AB86" s="12">
        <v>7779913</v>
      </c>
      <c r="AC86" s="12">
        <v>7785586</v>
      </c>
      <c r="AD86" s="12">
        <v>1000000</v>
      </c>
      <c r="AE86" s="12">
        <v>1000000</v>
      </c>
      <c r="AF86" s="12">
        <v>1180254</v>
      </c>
      <c r="AG86" s="12">
        <v>1210047</v>
      </c>
      <c r="AH86" s="11">
        <v>4</v>
      </c>
      <c r="AI86" s="11">
        <v>4</v>
      </c>
      <c r="AJ86" s="13"/>
    </row>
    <row r="87" spans="1:36" x14ac:dyDescent="0.25">
      <c r="A87" t="str">
        <f>"600301"</f>
        <v>600301</v>
      </c>
      <c r="B87" t="s">
        <v>176</v>
      </c>
      <c r="C87" s="10">
        <v>18756815</v>
      </c>
      <c r="D87" s="10">
        <v>18713925</v>
      </c>
      <c r="E87" s="11">
        <v>-0.23</v>
      </c>
      <c r="F87" s="12">
        <v>5554417</v>
      </c>
      <c r="G87" s="12">
        <v>5667821</v>
      </c>
      <c r="H87" s="12"/>
      <c r="I87" s="12"/>
      <c r="J87" s="12"/>
      <c r="K87" s="12"/>
      <c r="L87" s="12"/>
      <c r="M87" s="12"/>
      <c r="N87" s="12">
        <v>5554417</v>
      </c>
      <c r="O87" s="12">
        <v>5667821</v>
      </c>
      <c r="P87" s="11">
        <v>2.04</v>
      </c>
      <c r="Q87" s="12">
        <v>100428</v>
      </c>
      <c r="R87" s="12">
        <v>80957</v>
      </c>
      <c r="S87" s="12">
        <v>5464077</v>
      </c>
      <c r="T87" s="12">
        <v>5586864</v>
      </c>
      <c r="U87" s="12">
        <v>5453989</v>
      </c>
      <c r="V87" s="12">
        <v>5586864</v>
      </c>
      <c r="W87" s="12">
        <v>10088</v>
      </c>
      <c r="X87" s="12">
        <v>0</v>
      </c>
      <c r="Y87" s="12">
        <v>730</v>
      </c>
      <c r="Z87" s="12">
        <v>730</v>
      </c>
      <c r="AA87" s="11">
        <v>0</v>
      </c>
      <c r="AB87" s="12">
        <v>2044675</v>
      </c>
      <c r="AC87" s="12">
        <v>2544675</v>
      </c>
      <c r="AD87" s="12">
        <v>492596</v>
      </c>
      <c r="AE87" s="12">
        <v>762000</v>
      </c>
      <c r="AF87" s="12">
        <v>1564978</v>
      </c>
      <c r="AG87" s="12">
        <v>748557</v>
      </c>
      <c r="AH87" s="11">
        <v>8.34</v>
      </c>
      <c r="AI87" s="11">
        <v>4</v>
      </c>
      <c r="AJ87" s="13"/>
    </row>
    <row r="88" spans="1:36" x14ac:dyDescent="0.25">
      <c r="A88" t="str">
        <f>"571502"</f>
        <v>571502</v>
      </c>
      <c r="B88" t="s">
        <v>177</v>
      </c>
      <c r="C88" s="10">
        <v>23306620</v>
      </c>
      <c r="D88" s="10">
        <v>23562636</v>
      </c>
      <c r="E88" s="11">
        <v>1.1000000000000001</v>
      </c>
      <c r="F88" s="12">
        <v>5321677</v>
      </c>
      <c r="G88" s="12">
        <v>5426672</v>
      </c>
      <c r="H88" s="12"/>
      <c r="I88" s="12"/>
      <c r="J88" s="12"/>
      <c r="K88" s="12"/>
      <c r="L88" s="12"/>
      <c r="M88" s="12"/>
      <c r="N88" s="12">
        <v>5321677</v>
      </c>
      <c r="O88" s="12">
        <v>5426672</v>
      </c>
      <c r="P88" s="11">
        <v>1.97</v>
      </c>
      <c r="Q88" s="12">
        <v>0</v>
      </c>
      <c r="R88" s="12">
        <v>0</v>
      </c>
      <c r="S88" s="12">
        <v>5321677</v>
      </c>
      <c r="T88" s="12">
        <v>5426672</v>
      </c>
      <c r="U88" s="12">
        <v>5321677</v>
      </c>
      <c r="V88" s="12">
        <v>5426672</v>
      </c>
      <c r="W88" s="12">
        <v>0</v>
      </c>
      <c r="X88" s="12">
        <v>0</v>
      </c>
      <c r="Y88" s="12">
        <v>956</v>
      </c>
      <c r="Z88" s="12">
        <v>960</v>
      </c>
      <c r="AA88" s="11">
        <v>0.42</v>
      </c>
      <c r="AB88" s="12">
        <v>5563544</v>
      </c>
      <c r="AC88" s="12">
        <v>5563544</v>
      </c>
      <c r="AD88" s="12">
        <v>1049780</v>
      </c>
      <c r="AE88" s="12">
        <v>1049780</v>
      </c>
      <c r="AF88" s="12">
        <v>4472240</v>
      </c>
      <c r="AG88" s="12">
        <v>4072240</v>
      </c>
      <c r="AH88" s="11">
        <v>19.190000000000001</v>
      </c>
      <c r="AI88" s="11">
        <v>17.28</v>
      </c>
      <c r="AJ88" s="13"/>
    </row>
    <row r="89" spans="1:36" x14ac:dyDescent="0.25">
      <c r="A89" t="str">
        <f>"510201"</f>
        <v>510201</v>
      </c>
      <c r="B89" t="s">
        <v>178</v>
      </c>
      <c r="C89" s="10">
        <v>29149719</v>
      </c>
      <c r="D89" s="10">
        <v>30945031</v>
      </c>
      <c r="E89" s="11">
        <v>6.16</v>
      </c>
      <c r="F89" s="12">
        <v>9428260</v>
      </c>
      <c r="G89" s="12">
        <v>9680162</v>
      </c>
      <c r="H89" s="12"/>
      <c r="I89" s="12"/>
      <c r="J89" s="12"/>
      <c r="K89" s="12"/>
      <c r="L89" s="12"/>
      <c r="M89" s="12"/>
      <c r="N89" s="12">
        <v>9428260</v>
      </c>
      <c r="O89" s="12">
        <v>9680162</v>
      </c>
      <c r="P89" s="11">
        <v>2.67</v>
      </c>
      <c r="Q89" s="12">
        <v>306844</v>
      </c>
      <c r="R89" s="12">
        <v>321666</v>
      </c>
      <c r="S89" s="12">
        <v>9121416</v>
      </c>
      <c r="T89" s="12">
        <v>9358496</v>
      </c>
      <c r="U89" s="12">
        <v>9121416</v>
      </c>
      <c r="V89" s="12">
        <v>9358496</v>
      </c>
      <c r="W89" s="12">
        <v>0</v>
      </c>
      <c r="X89" s="12">
        <v>0</v>
      </c>
      <c r="Y89" s="12">
        <v>1220</v>
      </c>
      <c r="Z89" s="12">
        <v>1250</v>
      </c>
      <c r="AA89" s="11">
        <v>2.46</v>
      </c>
      <c r="AB89" s="12">
        <v>740930</v>
      </c>
      <c r="AC89" s="12">
        <v>634578</v>
      </c>
      <c r="AD89" s="12">
        <v>1574625</v>
      </c>
      <c r="AE89" s="12">
        <v>2147801</v>
      </c>
      <c r="AF89" s="12">
        <v>1710930</v>
      </c>
      <c r="AG89" s="12">
        <v>712000</v>
      </c>
      <c r="AH89" s="11">
        <v>5.87</v>
      </c>
      <c r="AI89" s="11">
        <v>2.2999999999999998</v>
      </c>
      <c r="AJ89" s="13"/>
    </row>
    <row r="90" spans="1:36" x14ac:dyDescent="0.25">
      <c r="A90" t="str">
        <f>"280411"</f>
        <v>280411</v>
      </c>
      <c r="B90" t="s">
        <v>179</v>
      </c>
      <c r="C90" s="10">
        <v>49279492</v>
      </c>
      <c r="D90" s="10">
        <v>49440424</v>
      </c>
      <c r="E90" s="11">
        <v>0.33</v>
      </c>
      <c r="F90" s="12">
        <v>41690546</v>
      </c>
      <c r="G90" s="12">
        <v>42519900</v>
      </c>
      <c r="H90" s="12"/>
      <c r="I90" s="12"/>
      <c r="J90" s="12"/>
      <c r="K90" s="12"/>
      <c r="L90" s="12"/>
      <c r="M90" s="12"/>
      <c r="N90" s="12">
        <v>41690546</v>
      </c>
      <c r="O90" s="12">
        <v>42519900</v>
      </c>
      <c r="P90" s="11">
        <v>1.99</v>
      </c>
      <c r="Q90" s="12">
        <v>388769</v>
      </c>
      <c r="R90" s="12">
        <v>530137</v>
      </c>
      <c r="S90" s="12">
        <v>41356605</v>
      </c>
      <c r="T90" s="12">
        <v>42295618</v>
      </c>
      <c r="U90" s="12">
        <v>41301777</v>
      </c>
      <c r="V90" s="12">
        <v>41989763</v>
      </c>
      <c r="W90" s="12">
        <v>54828</v>
      </c>
      <c r="X90" s="12">
        <v>305855</v>
      </c>
      <c r="Y90" s="12">
        <v>1369</v>
      </c>
      <c r="Z90" s="12">
        <v>1353</v>
      </c>
      <c r="AA90" s="11">
        <v>-1.17</v>
      </c>
      <c r="AB90" s="12">
        <v>8096654</v>
      </c>
      <c r="AC90" s="12">
        <v>7845000</v>
      </c>
      <c r="AD90" s="12">
        <v>300000</v>
      </c>
      <c r="AE90" s="12">
        <v>300000</v>
      </c>
      <c r="AF90" s="12">
        <v>1971180</v>
      </c>
      <c r="AG90" s="12">
        <v>1977617</v>
      </c>
      <c r="AH90" s="11">
        <v>4</v>
      </c>
      <c r="AI90" s="11">
        <v>4</v>
      </c>
      <c r="AJ90" s="13"/>
    </row>
    <row r="91" spans="1:36" x14ac:dyDescent="0.25">
      <c r="A91" t="str">
        <f>"480102"</f>
        <v>480102</v>
      </c>
      <c r="B91" t="s">
        <v>180</v>
      </c>
      <c r="C91" s="10">
        <v>123115443</v>
      </c>
      <c r="D91" s="10">
        <v>125596489</v>
      </c>
      <c r="E91" s="11">
        <v>2.02</v>
      </c>
      <c r="F91" s="12">
        <v>91918443</v>
      </c>
      <c r="G91" s="12">
        <v>93674489</v>
      </c>
      <c r="H91" s="12"/>
      <c r="I91" s="12"/>
      <c r="J91" s="12"/>
      <c r="K91" s="12"/>
      <c r="L91" s="12"/>
      <c r="M91" s="12"/>
      <c r="N91" s="12">
        <v>91918443</v>
      </c>
      <c r="O91" s="12">
        <v>93674489</v>
      </c>
      <c r="P91" s="11">
        <v>1.91</v>
      </c>
      <c r="Q91" s="12">
        <v>1938824</v>
      </c>
      <c r="R91" s="12">
        <v>1823256</v>
      </c>
      <c r="S91" s="12">
        <v>90171244</v>
      </c>
      <c r="T91" s="12">
        <v>91857691</v>
      </c>
      <c r="U91" s="12">
        <v>89979619</v>
      </c>
      <c r="V91" s="12">
        <v>91851233</v>
      </c>
      <c r="W91" s="12">
        <v>191625</v>
      </c>
      <c r="X91" s="12">
        <v>6458</v>
      </c>
      <c r="Y91" s="12">
        <v>4182</v>
      </c>
      <c r="Z91" s="12">
        <v>4115</v>
      </c>
      <c r="AA91" s="11">
        <v>-1.6</v>
      </c>
      <c r="AB91" s="12">
        <v>6031001</v>
      </c>
      <c r="AC91" s="12">
        <v>5571688</v>
      </c>
      <c r="AD91" s="12">
        <v>3039064</v>
      </c>
      <c r="AE91" s="12">
        <v>2225000</v>
      </c>
      <c r="AF91" s="12">
        <v>4924618</v>
      </c>
      <c r="AG91" s="12">
        <v>5023859</v>
      </c>
      <c r="AH91" s="11">
        <v>4</v>
      </c>
      <c r="AI91" s="11">
        <v>4</v>
      </c>
      <c r="AJ91" s="13"/>
    </row>
    <row r="92" spans="1:36" x14ac:dyDescent="0.25">
      <c r="A92" t="str">
        <f>"222201"</f>
        <v>222201</v>
      </c>
      <c r="B92" t="s">
        <v>181</v>
      </c>
      <c r="C92" s="10">
        <v>62437739</v>
      </c>
      <c r="D92" s="10">
        <v>64199630</v>
      </c>
      <c r="E92" s="11">
        <v>2.82</v>
      </c>
      <c r="F92" s="12">
        <v>6591154</v>
      </c>
      <c r="G92" s="12">
        <v>6591154</v>
      </c>
      <c r="H92" s="12"/>
      <c r="I92" s="12"/>
      <c r="J92" s="12"/>
      <c r="K92" s="12"/>
      <c r="L92" s="12"/>
      <c r="M92" s="12"/>
      <c r="N92" s="12">
        <v>6591154</v>
      </c>
      <c r="O92" s="12">
        <v>6591154</v>
      </c>
      <c r="P92" s="11">
        <v>0</v>
      </c>
      <c r="Q92" s="12">
        <v>1440541</v>
      </c>
      <c r="R92" s="12">
        <v>1408770</v>
      </c>
      <c r="S92" s="12">
        <v>5719769</v>
      </c>
      <c r="T92" s="12">
        <v>5184879</v>
      </c>
      <c r="U92" s="12">
        <v>5150613</v>
      </c>
      <c r="V92" s="12">
        <v>5182384</v>
      </c>
      <c r="W92" s="12">
        <v>569156</v>
      </c>
      <c r="X92" s="12">
        <v>2495</v>
      </c>
      <c r="Y92" s="12">
        <v>3600</v>
      </c>
      <c r="Z92" s="12">
        <v>3600</v>
      </c>
      <c r="AA92" s="11">
        <v>0</v>
      </c>
      <c r="AB92" s="12">
        <v>10656235</v>
      </c>
      <c r="AC92" s="12">
        <v>10456234</v>
      </c>
      <c r="AD92" s="12">
        <v>6440643</v>
      </c>
      <c r="AE92" s="12">
        <v>6121697</v>
      </c>
      <c r="AF92" s="12">
        <v>6161843</v>
      </c>
      <c r="AG92" s="12">
        <v>8812880</v>
      </c>
      <c r="AH92" s="11">
        <v>9.8699999999999992</v>
      </c>
      <c r="AI92" s="11">
        <v>13.73</v>
      </c>
      <c r="AJ92" s="13"/>
    </row>
    <row r="93" spans="1:36" x14ac:dyDescent="0.25">
      <c r="A93" t="str">
        <f>"060401"</f>
        <v>060401</v>
      </c>
      <c r="B93" t="s">
        <v>182</v>
      </c>
      <c r="C93" s="10">
        <v>21110257</v>
      </c>
      <c r="D93" s="10">
        <v>22273891</v>
      </c>
      <c r="E93" s="11">
        <v>5.51</v>
      </c>
      <c r="F93" s="12">
        <v>5044220</v>
      </c>
      <c r="G93" s="12">
        <v>5168992</v>
      </c>
      <c r="H93" s="12"/>
      <c r="I93" s="12"/>
      <c r="J93" s="12"/>
      <c r="K93" s="12"/>
      <c r="L93" s="12"/>
      <c r="M93" s="12"/>
      <c r="N93" s="12">
        <v>5044220</v>
      </c>
      <c r="O93" s="12">
        <v>5168992</v>
      </c>
      <c r="P93" s="11">
        <v>2.4700000000000002</v>
      </c>
      <c r="Q93" s="12">
        <v>136284</v>
      </c>
      <c r="R93" s="12">
        <v>138715</v>
      </c>
      <c r="S93" s="12">
        <v>5094662</v>
      </c>
      <c r="T93" s="12">
        <v>5030277</v>
      </c>
      <c r="U93" s="12">
        <v>4907936</v>
      </c>
      <c r="V93" s="12">
        <v>5030277</v>
      </c>
      <c r="W93" s="12">
        <v>186726</v>
      </c>
      <c r="X93" s="12">
        <v>0</v>
      </c>
      <c r="Y93" s="12">
        <v>828</v>
      </c>
      <c r="Z93" s="12">
        <v>819</v>
      </c>
      <c r="AA93" s="11">
        <v>-1.0900000000000001</v>
      </c>
      <c r="AB93" s="12">
        <v>3908210</v>
      </c>
      <c r="AC93" s="12">
        <v>3912486</v>
      </c>
      <c r="AD93" s="12">
        <v>51375</v>
      </c>
      <c r="AE93" s="12">
        <v>900000</v>
      </c>
      <c r="AF93" s="12">
        <v>1796051</v>
      </c>
      <c r="AG93" s="12">
        <v>877905</v>
      </c>
      <c r="AH93" s="11">
        <v>8.51</v>
      </c>
      <c r="AI93" s="11">
        <v>3.94</v>
      </c>
      <c r="AJ93" s="13"/>
    </row>
    <row r="94" spans="1:36" x14ac:dyDescent="0.25">
      <c r="A94" t="str">
        <f>"050401"</f>
        <v>050401</v>
      </c>
      <c r="B94" t="s">
        <v>183</v>
      </c>
      <c r="C94" s="10">
        <v>20817405</v>
      </c>
      <c r="D94" s="10">
        <v>21360267</v>
      </c>
      <c r="E94" s="11">
        <v>2.61</v>
      </c>
      <c r="F94" s="12">
        <v>5759854</v>
      </c>
      <c r="G94" s="12">
        <v>5889206</v>
      </c>
      <c r="H94" s="12">
        <v>50000</v>
      </c>
      <c r="I94" s="12">
        <v>50000</v>
      </c>
      <c r="J94" s="12"/>
      <c r="K94" s="12"/>
      <c r="L94" s="12"/>
      <c r="M94" s="12"/>
      <c r="N94" s="12">
        <v>5809854</v>
      </c>
      <c r="O94" s="12">
        <v>5939206</v>
      </c>
      <c r="P94" s="11">
        <v>2.23</v>
      </c>
      <c r="Q94" s="12">
        <v>259696</v>
      </c>
      <c r="R94" s="12">
        <v>244266</v>
      </c>
      <c r="S94" s="12">
        <v>5571924</v>
      </c>
      <c r="T94" s="12">
        <v>5694940</v>
      </c>
      <c r="U94" s="12">
        <v>5500158</v>
      </c>
      <c r="V94" s="12">
        <v>5644940</v>
      </c>
      <c r="W94" s="12">
        <v>71766</v>
      </c>
      <c r="X94" s="12">
        <v>50000</v>
      </c>
      <c r="Y94" s="12">
        <v>958</v>
      </c>
      <c r="Z94" s="12">
        <v>987</v>
      </c>
      <c r="AA94" s="11">
        <v>3.03</v>
      </c>
      <c r="AB94" s="12">
        <v>2957838</v>
      </c>
      <c r="AC94" s="12">
        <v>3282838</v>
      </c>
      <c r="AD94" s="12">
        <v>323308</v>
      </c>
      <c r="AE94" s="12">
        <v>323308</v>
      </c>
      <c r="AF94" s="12">
        <v>800461</v>
      </c>
      <c r="AG94" s="12">
        <v>800461</v>
      </c>
      <c r="AH94" s="11">
        <v>3.85</v>
      </c>
      <c r="AI94" s="11">
        <v>3.75</v>
      </c>
      <c r="AJ94" s="13"/>
    </row>
    <row r="95" spans="1:36" x14ac:dyDescent="0.25">
      <c r="A95" t="str">
        <f>"190401"</f>
        <v>190401</v>
      </c>
      <c r="B95" t="s">
        <v>184</v>
      </c>
      <c r="C95" s="10">
        <v>39950000</v>
      </c>
      <c r="D95" s="10">
        <v>41793028</v>
      </c>
      <c r="E95" s="11">
        <v>4.6100000000000003</v>
      </c>
      <c r="F95" s="12">
        <v>17746948</v>
      </c>
      <c r="G95" s="12">
        <v>18284797</v>
      </c>
      <c r="H95" s="12"/>
      <c r="I95" s="12"/>
      <c r="J95" s="12"/>
      <c r="K95" s="12"/>
      <c r="L95" s="12"/>
      <c r="M95" s="12"/>
      <c r="N95" s="12">
        <v>17746948</v>
      </c>
      <c r="O95" s="12">
        <v>18284797</v>
      </c>
      <c r="P95" s="11">
        <v>3.03</v>
      </c>
      <c r="Q95" s="12">
        <v>0</v>
      </c>
      <c r="R95" s="12">
        <v>394165</v>
      </c>
      <c r="S95" s="12">
        <v>18103896</v>
      </c>
      <c r="T95" s="12">
        <v>18037431</v>
      </c>
      <c r="U95" s="12">
        <v>17746948</v>
      </c>
      <c r="V95" s="12">
        <v>17890632</v>
      </c>
      <c r="W95" s="12">
        <v>356948</v>
      </c>
      <c r="X95" s="12">
        <v>146799</v>
      </c>
      <c r="Y95" s="12">
        <v>1550</v>
      </c>
      <c r="Z95" s="12">
        <v>1483</v>
      </c>
      <c r="AA95" s="11">
        <v>-4.32</v>
      </c>
      <c r="AB95" s="12">
        <v>3532099</v>
      </c>
      <c r="AC95" s="12">
        <v>3920320</v>
      </c>
      <c r="AD95" s="12">
        <v>352212</v>
      </c>
      <c r="AE95" s="12">
        <v>948280</v>
      </c>
      <c r="AF95" s="12">
        <v>7236000</v>
      </c>
      <c r="AG95" s="12">
        <v>6537720</v>
      </c>
      <c r="AH95" s="11">
        <v>18.11</v>
      </c>
      <c r="AI95" s="11">
        <v>15.64</v>
      </c>
      <c r="AJ95" s="13"/>
    </row>
    <row r="96" spans="1:36" x14ac:dyDescent="0.25">
      <c r="A96" t="str">
        <f>"042302"</f>
        <v>042302</v>
      </c>
      <c r="B96" t="s">
        <v>185</v>
      </c>
      <c r="C96" s="10">
        <v>26023248</v>
      </c>
      <c r="D96" s="10">
        <v>25619294</v>
      </c>
      <c r="E96" s="11">
        <v>-1.55</v>
      </c>
      <c r="F96" s="12">
        <v>5199729</v>
      </c>
      <c r="G96" s="12">
        <v>4998705</v>
      </c>
      <c r="H96" s="12">
        <v>25000</v>
      </c>
      <c r="I96" s="12">
        <v>50000</v>
      </c>
      <c r="J96" s="12"/>
      <c r="K96" s="12"/>
      <c r="L96" s="12"/>
      <c r="M96" s="12"/>
      <c r="N96" s="12">
        <v>5224729</v>
      </c>
      <c r="O96" s="12">
        <v>5048705</v>
      </c>
      <c r="P96" s="11">
        <v>-3.37</v>
      </c>
      <c r="Q96" s="12">
        <v>39185</v>
      </c>
      <c r="R96" s="12">
        <v>78218</v>
      </c>
      <c r="S96" s="12">
        <v>5181701</v>
      </c>
      <c r="T96" s="12">
        <v>5314748</v>
      </c>
      <c r="U96" s="12">
        <v>5160544</v>
      </c>
      <c r="V96" s="12">
        <v>4920487</v>
      </c>
      <c r="W96" s="12">
        <v>21157</v>
      </c>
      <c r="X96" s="12">
        <v>394261</v>
      </c>
      <c r="Y96" s="12">
        <v>991</v>
      </c>
      <c r="Z96" s="12">
        <v>966</v>
      </c>
      <c r="AA96" s="11">
        <v>-2.52</v>
      </c>
      <c r="AB96" s="12">
        <v>1726649</v>
      </c>
      <c r="AC96" s="12">
        <v>1732649</v>
      </c>
      <c r="AD96" s="12">
        <v>500000</v>
      </c>
      <c r="AE96" s="12">
        <v>200000</v>
      </c>
      <c r="AF96" s="12">
        <v>5839362</v>
      </c>
      <c r="AG96" s="12">
        <v>7400000</v>
      </c>
      <c r="AH96" s="11">
        <v>22.44</v>
      </c>
      <c r="AI96" s="11">
        <v>28.88</v>
      </c>
      <c r="AJ96" s="13"/>
    </row>
    <row r="97" spans="1:36" x14ac:dyDescent="0.25">
      <c r="A97" t="str">
        <f>"250201"</f>
        <v>250201</v>
      </c>
      <c r="B97" t="s">
        <v>186</v>
      </c>
      <c r="C97" s="10">
        <v>28426155</v>
      </c>
      <c r="D97" s="10">
        <v>29654629</v>
      </c>
      <c r="E97" s="11">
        <v>4.32</v>
      </c>
      <c r="F97" s="12">
        <v>18025164</v>
      </c>
      <c r="G97" s="12">
        <v>18385667</v>
      </c>
      <c r="H97" s="12"/>
      <c r="I97" s="12"/>
      <c r="J97" s="12"/>
      <c r="K97" s="12"/>
      <c r="L97" s="12"/>
      <c r="M97" s="12"/>
      <c r="N97" s="12">
        <v>18025164</v>
      </c>
      <c r="O97" s="12">
        <v>18385667</v>
      </c>
      <c r="P97" s="11">
        <v>2</v>
      </c>
      <c r="Q97" s="12">
        <v>889755</v>
      </c>
      <c r="R97" s="12">
        <v>228941</v>
      </c>
      <c r="S97" s="12">
        <v>17174847</v>
      </c>
      <c r="T97" s="12">
        <v>17598905</v>
      </c>
      <c r="U97" s="12">
        <v>17135409</v>
      </c>
      <c r="V97" s="12">
        <v>18156726</v>
      </c>
      <c r="W97" s="12">
        <v>39438</v>
      </c>
      <c r="X97" s="12">
        <v>-557821</v>
      </c>
      <c r="Y97" s="12">
        <v>1454</v>
      </c>
      <c r="Z97" s="12">
        <v>1432</v>
      </c>
      <c r="AA97" s="11">
        <v>-1.51</v>
      </c>
      <c r="AB97" s="12">
        <v>2339598</v>
      </c>
      <c r="AC97" s="12">
        <v>3126051</v>
      </c>
      <c r="AD97" s="12">
        <v>617394</v>
      </c>
      <c r="AE97" s="12">
        <v>250000</v>
      </c>
      <c r="AF97" s="12">
        <v>1103260</v>
      </c>
      <c r="AG97" s="12">
        <v>1186185</v>
      </c>
      <c r="AH97" s="11">
        <v>3.88</v>
      </c>
      <c r="AI97" s="11">
        <v>4</v>
      </c>
      <c r="AJ97" s="13"/>
    </row>
    <row r="98" spans="1:36" x14ac:dyDescent="0.25">
      <c r="A98" t="str">
        <f>"580233"</f>
        <v>580233</v>
      </c>
      <c r="B98" t="s">
        <v>187</v>
      </c>
      <c r="C98" s="10">
        <v>42127133</v>
      </c>
      <c r="D98" s="10">
        <v>43100129</v>
      </c>
      <c r="E98" s="11">
        <v>2.31</v>
      </c>
      <c r="F98" s="12">
        <v>22653881</v>
      </c>
      <c r="G98" s="12">
        <v>23235914</v>
      </c>
      <c r="H98" s="12"/>
      <c r="I98" s="12"/>
      <c r="J98" s="12"/>
      <c r="K98" s="12"/>
      <c r="L98" s="12"/>
      <c r="M98" s="12"/>
      <c r="N98" s="12">
        <v>22653881</v>
      </c>
      <c r="O98" s="12">
        <v>23235914</v>
      </c>
      <c r="P98" s="11">
        <v>2.57</v>
      </c>
      <c r="Q98" s="12">
        <v>913770</v>
      </c>
      <c r="R98" s="12">
        <v>936223</v>
      </c>
      <c r="S98" s="12">
        <v>21740111</v>
      </c>
      <c r="T98" s="12">
        <v>22299691</v>
      </c>
      <c r="U98" s="12">
        <v>21740111</v>
      </c>
      <c r="V98" s="12">
        <v>22299691</v>
      </c>
      <c r="W98" s="12">
        <v>0</v>
      </c>
      <c r="X98" s="12">
        <v>0</v>
      </c>
      <c r="Y98" s="12">
        <v>1581</v>
      </c>
      <c r="Z98" s="12">
        <v>1539</v>
      </c>
      <c r="AA98" s="11">
        <v>-2.66</v>
      </c>
      <c r="AB98" s="12">
        <v>3453168</v>
      </c>
      <c r="AC98" s="12">
        <v>3637700</v>
      </c>
      <c r="AD98" s="12">
        <v>1321852</v>
      </c>
      <c r="AE98" s="12">
        <v>1229852</v>
      </c>
      <c r="AF98" s="12">
        <v>1685085</v>
      </c>
      <c r="AG98" s="12">
        <v>1724005</v>
      </c>
      <c r="AH98" s="11">
        <v>4</v>
      </c>
      <c r="AI98" s="11">
        <v>4</v>
      </c>
      <c r="AJ98" s="13"/>
    </row>
    <row r="99" spans="1:36" x14ac:dyDescent="0.25">
      <c r="A99" t="str">
        <f>"580513"</f>
        <v>580513</v>
      </c>
      <c r="B99" t="s">
        <v>188</v>
      </c>
      <c r="C99" s="10">
        <v>203623675</v>
      </c>
      <c r="D99" s="10">
        <v>210833025</v>
      </c>
      <c r="E99" s="11">
        <v>3.54</v>
      </c>
      <c r="F99" s="12">
        <v>90494353</v>
      </c>
      <c r="G99" s="12">
        <v>92025934</v>
      </c>
      <c r="H99" s="12"/>
      <c r="I99" s="12"/>
      <c r="J99" s="12"/>
      <c r="K99" s="12"/>
      <c r="L99" s="12"/>
      <c r="M99" s="12"/>
      <c r="N99" s="12">
        <v>90494353</v>
      </c>
      <c r="O99" s="12">
        <v>92025934</v>
      </c>
      <c r="P99" s="11">
        <v>1.69</v>
      </c>
      <c r="Q99" s="12">
        <v>1018753</v>
      </c>
      <c r="R99" s="12">
        <v>1836793</v>
      </c>
      <c r="S99" s="12">
        <v>89475601</v>
      </c>
      <c r="T99" s="12">
        <v>91452877</v>
      </c>
      <c r="U99" s="12">
        <v>89475600</v>
      </c>
      <c r="V99" s="12">
        <v>90189141</v>
      </c>
      <c r="W99" s="12">
        <v>1</v>
      </c>
      <c r="X99" s="12">
        <v>1263736</v>
      </c>
      <c r="Y99" s="12">
        <v>7666</v>
      </c>
      <c r="Z99" s="12">
        <v>7591</v>
      </c>
      <c r="AA99" s="11">
        <v>-0.98</v>
      </c>
      <c r="AB99" s="12">
        <v>21232727</v>
      </c>
      <c r="AC99" s="12">
        <v>18919923</v>
      </c>
      <c r="AD99" s="12">
        <v>2050000</v>
      </c>
      <c r="AE99" s="12">
        <v>0</v>
      </c>
      <c r="AF99" s="12">
        <v>7321664</v>
      </c>
      <c r="AG99" s="12">
        <v>8433321</v>
      </c>
      <c r="AH99" s="11">
        <v>3.6</v>
      </c>
      <c r="AI99" s="11">
        <v>4</v>
      </c>
      <c r="AJ99" s="13"/>
    </row>
    <row r="100" spans="1:36" x14ac:dyDescent="0.25">
      <c r="A100" t="str">
        <f>"460801"</f>
        <v>460801</v>
      </c>
      <c r="B100" t="s">
        <v>189</v>
      </c>
      <c r="C100" s="10">
        <v>75041313</v>
      </c>
      <c r="D100" s="10">
        <v>75049635</v>
      </c>
      <c r="E100" s="11">
        <v>0.01</v>
      </c>
      <c r="F100" s="12">
        <v>27504896</v>
      </c>
      <c r="G100" s="12">
        <v>28066912</v>
      </c>
      <c r="H100" s="12"/>
      <c r="I100" s="12"/>
      <c r="J100" s="12"/>
      <c r="K100" s="12"/>
      <c r="L100" s="12"/>
      <c r="M100" s="12"/>
      <c r="N100" s="12">
        <v>27504896</v>
      </c>
      <c r="O100" s="12">
        <v>28066912</v>
      </c>
      <c r="P100" s="11">
        <v>2.04</v>
      </c>
      <c r="Q100" s="12">
        <v>691763</v>
      </c>
      <c r="R100" s="12">
        <v>487415</v>
      </c>
      <c r="S100" s="12">
        <v>26813133</v>
      </c>
      <c r="T100" s="12">
        <v>27579497</v>
      </c>
      <c r="U100" s="12">
        <v>26813133</v>
      </c>
      <c r="V100" s="12">
        <v>27579497</v>
      </c>
      <c r="W100" s="12">
        <v>0</v>
      </c>
      <c r="X100" s="12">
        <v>0</v>
      </c>
      <c r="Y100" s="12">
        <v>3789</v>
      </c>
      <c r="Z100" s="12">
        <v>3763</v>
      </c>
      <c r="AA100" s="11">
        <v>-0.69</v>
      </c>
      <c r="AB100" s="12">
        <v>3297976</v>
      </c>
      <c r="AC100" s="12">
        <v>3297976</v>
      </c>
      <c r="AD100" s="12">
        <v>1000000</v>
      </c>
      <c r="AE100" s="12">
        <v>1000000</v>
      </c>
      <c r="AF100" s="12">
        <v>3001652</v>
      </c>
      <c r="AG100" s="12">
        <v>2501652</v>
      </c>
      <c r="AH100" s="11">
        <v>4</v>
      </c>
      <c r="AI100" s="11">
        <v>3.33</v>
      </c>
      <c r="AJ100" s="13"/>
    </row>
    <row r="101" spans="1:36" x14ac:dyDescent="0.25">
      <c r="A101" t="str">
        <f>"212101"</f>
        <v>212101</v>
      </c>
      <c r="B101" t="s">
        <v>190</v>
      </c>
      <c r="C101" s="10">
        <v>44975000</v>
      </c>
      <c r="D101" s="10">
        <v>47500000</v>
      </c>
      <c r="E101" s="11">
        <v>5.61</v>
      </c>
      <c r="F101" s="12">
        <v>8436000</v>
      </c>
      <c r="G101" s="12">
        <v>8600000</v>
      </c>
      <c r="H101" s="12"/>
      <c r="I101" s="12"/>
      <c r="J101" s="12"/>
      <c r="K101" s="12"/>
      <c r="L101" s="12"/>
      <c r="M101" s="12"/>
      <c r="N101" s="12">
        <v>8436000</v>
      </c>
      <c r="O101" s="12">
        <v>8600000</v>
      </c>
      <c r="P101" s="11">
        <v>1.94</v>
      </c>
      <c r="Q101" s="12">
        <v>0</v>
      </c>
      <c r="R101" s="12">
        <v>0</v>
      </c>
      <c r="S101" s="12">
        <v>8941421</v>
      </c>
      <c r="T101" s="12">
        <v>9032555</v>
      </c>
      <c r="U101" s="12">
        <v>8436000</v>
      </c>
      <c r="V101" s="12">
        <v>8600000</v>
      </c>
      <c r="W101" s="12">
        <v>505421</v>
      </c>
      <c r="X101" s="12">
        <v>432555</v>
      </c>
      <c r="Y101" s="12">
        <v>2300</v>
      </c>
      <c r="Z101" s="12">
        <v>2300</v>
      </c>
      <c r="AA101" s="11">
        <v>0</v>
      </c>
      <c r="AB101" s="12">
        <v>1792567</v>
      </c>
      <c r="AC101" s="12">
        <v>1793000</v>
      </c>
      <c r="AD101" s="12">
        <v>0</v>
      </c>
      <c r="AE101" s="12">
        <v>0</v>
      </c>
      <c r="AF101" s="12">
        <v>1920805</v>
      </c>
      <c r="AG101" s="12">
        <v>1900000</v>
      </c>
      <c r="AH101" s="11">
        <v>4.2699999999999996</v>
      </c>
      <c r="AI101" s="11">
        <v>4</v>
      </c>
      <c r="AJ101" s="13"/>
    </row>
    <row r="102" spans="1:36" x14ac:dyDescent="0.25">
      <c r="A102" t="str">
        <f>"661004"</f>
        <v>661004</v>
      </c>
      <c r="B102" t="s">
        <v>191</v>
      </c>
      <c r="C102" s="10">
        <v>119571688</v>
      </c>
      <c r="D102" s="10">
        <v>122559988</v>
      </c>
      <c r="E102" s="11">
        <v>2.5</v>
      </c>
      <c r="F102" s="12">
        <v>106726146</v>
      </c>
      <c r="G102" s="12">
        <v>109002541</v>
      </c>
      <c r="H102" s="12"/>
      <c r="I102" s="12"/>
      <c r="J102" s="12"/>
      <c r="K102" s="12"/>
      <c r="L102" s="12"/>
      <c r="M102" s="12"/>
      <c r="N102" s="12">
        <v>106726146</v>
      </c>
      <c r="O102" s="12">
        <v>109002541</v>
      </c>
      <c r="P102" s="11">
        <v>2.13</v>
      </c>
      <c r="Q102" s="12">
        <v>3898700</v>
      </c>
      <c r="R102" s="12">
        <v>4223621</v>
      </c>
      <c r="S102" s="12">
        <v>103028016</v>
      </c>
      <c r="T102" s="12">
        <v>106342728</v>
      </c>
      <c r="U102" s="12">
        <v>102827446</v>
      </c>
      <c r="V102" s="12">
        <v>104778920</v>
      </c>
      <c r="W102" s="12">
        <v>200570</v>
      </c>
      <c r="X102" s="12">
        <v>1563808</v>
      </c>
      <c r="Y102" s="12">
        <v>3838</v>
      </c>
      <c r="Z102" s="12">
        <v>3870</v>
      </c>
      <c r="AA102" s="11">
        <v>0.83</v>
      </c>
      <c r="AB102" s="12">
        <v>10618745</v>
      </c>
      <c r="AC102" s="12">
        <v>10367542</v>
      </c>
      <c r="AD102" s="12">
        <v>7251576</v>
      </c>
      <c r="AE102" s="12">
        <v>6355818</v>
      </c>
      <c r="AF102" s="12">
        <v>4782867</v>
      </c>
      <c r="AG102" s="12">
        <v>4481582</v>
      </c>
      <c r="AH102" s="11">
        <v>4</v>
      </c>
      <c r="AI102" s="11">
        <v>3.66</v>
      </c>
      <c r="AJ102" s="13"/>
    </row>
    <row r="103" spans="1:36" x14ac:dyDescent="0.25">
      <c r="A103" t="str">
        <f>"120401"</f>
        <v>120401</v>
      </c>
      <c r="B103" t="s">
        <v>192</v>
      </c>
      <c r="C103" s="10">
        <v>9415341</v>
      </c>
      <c r="D103" s="10">
        <v>9525911</v>
      </c>
      <c r="E103" s="11">
        <v>1.17</v>
      </c>
      <c r="F103" s="12">
        <v>3170688</v>
      </c>
      <c r="G103" s="12">
        <v>3224590</v>
      </c>
      <c r="H103" s="12"/>
      <c r="I103" s="12"/>
      <c r="J103" s="12"/>
      <c r="K103" s="12"/>
      <c r="L103" s="12"/>
      <c r="M103" s="12"/>
      <c r="N103" s="12">
        <v>3170688</v>
      </c>
      <c r="O103" s="12">
        <v>3224590</v>
      </c>
      <c r="P103" s="11">
        <v>1.7</v>
      </c>
      <c r="Q103" s="12">
        <v>99806</v>
      </c>
      <c r="R103" s="12">
        <v>108265</v>
      </c>
      <c r="S103" s="12">
        <v>3170688</v>
      </c>
      <c r="T103" s="12">
        <v>3116325</v>
      </c>
      <c r="U103" s="12">
        <v>3070882</v>
      </c>
      <c r="V103" s="12">
        <v>3116325</v>
      </c>
      <c r="W103" s="12">
        <v>99806</v>
      </c>
      <c r="X103" s="12">
        <v>0</v>
      </c>
      <c r="Y103" s="12">
        <v>367</v>
      </c>
      <c r="Z103" s="12">
        <v>367</v>
      </c>
      <c r="AA103" s="11">
        <v>0</v>
      </c>
      <c r="AB103" s="12">
        <v>922133</v>
      </c>
      <c r="AC103" s="12">
        <v>924045</v>
      </c>
      <c r="AD103" s="12">
        <v>342129</v>
      </c>
      <c r="AE103" s="12">
        <v>298180</v>
      </c>
      <c r="AF103" s="12">
        <v>1880177</v>
      </c>
      <c r="AG103" s="12">
        <v>1860200</v>
      </c>
      <c r="AH103" s="11">
        <v>19.97</v>
      </c>
      <c r="AI103" s="11">
        <v>19.53</v>
      </c>
      <c r="AJ103" s="13"/>
    </row>
    <row r="104" spans="1:36" x14ac:dyDescent="0.25">
      <c r="A104" t="str">
        <f>"160801"</f>
        <v>160801</v>
      </c>
      <c r="B104" t="s">
        <v>193</v>
      </c>
      <c r="C104" s="10">
        <v>13520879</v>
      </c>
      <c r="D104" s="10">
        <v>12982999</v>
      </c>
      <c r="E104" s="11">
        <v>-3.98</v>
      </c>
      <c r="F104" s="12">
        <v>2902173</v>
      </c>
      <c r="G104" s="12">
        <v>2943395</v>
      </c>
      <c r="H104" s="12"/>
      <c r="I104" s="12"/>
      <c r="J104" s="12"/>
      <c r="K104" s="12"/>
      <c r="L104" s="12"/>
      <c r="M104" s="12"/>
      <c r="N104" s="12">
        <v>2902173</v>
      </c>
      <c r="O104" s="12">
        <v>2943395</v>
      </c>
      <c r="P104" s="11">
        <v>1.42</v>
      </c>
      <c r="Q104" s="12">
        <v>209671</v>
      </c>
      <c r="R104" s="12">
        <v>170300</v>
      </c>
      <c r="S104" s="12">
        <v>2697151</v>
      </c>
      <c r="T104" s="12">
        <v>2742496</v>
      </c>
      <c r="U104" s="12">
        <v>2692502</v>
      </c>
      <c r="V104" s="12">
        <v>2773095</v>
      </c>
      <c r="W104" s="12">
        <v>4649</v>
      </c>
      <c r="X104" s="12">
        <v>-30599</v>
      </c>
      <c r="Y104" s="12">
        <v>515</v>
      </c>
      <c r="Z104" s="12">
        <v>520</v>
      </c>
      <c r="AA104" s="11">
        <v>0.97</v>
      </c>
      <c r="AB104" s="12">
        <v>252189</v>
      </c>
      <c r="AC104" s="12">
        <v>251796</v>
      </c>
      <c r="AD104" s="12">
        <v>1515958</v>
      </c>
      <c r="AE104" s="12">
        <v>575000</v>
      </c>
      <c r="AF104" s="12">
        <v>1036274</v>
      </c>
      <c r="AG104" s="12">
        <v>950628</v>
      </c>
      <c r="AH104" s="11">
        <v>7.66</v>
      </c>
      <c r="AI104" s="11">
        <v>7.32</v>
      </c>
      <c r="AJ104" s="13"/>
    </row>
    <row r="105" spans="1:36" x14ac:dyDescent="0.25">
      <c r="A105" t="str">
        <f>"101001"</f>
        <v>101001</v>
      </c>
      <c r="B105" t="s">
        <v>194</v>
      </c>
      <c r="C105" s="10">
        <v>30836975</v>
      </c>
      <c r="D105" s="10">
        <v>31936305</v>
      </c>
      <c r="E105" s="11">
        <v>3.56</v>
      </c>
      <c r="F105" s="12">
        <v>21653460</v>
      </c>
      <c r="G105" s="12">
        <v>22192631</v>
      </c>
      <c r="H105" s="12"/>
      <c r="I105" s="12"/>
      <c r="J105" s="12"/>
      <c r="K105" s="12"/>
      <c r="L105" s="12"/>
      <c r="M105" s="12"/>
      <c r="N105" s="12">
        <v>21653460</v>
      </c>
      <c r="O105" s="12">
        <v>22192631</v>
      </c>
      <c r="P105" s="11">
        <v>2.4900000000000002</v>
      </c>
      <c r="Q105" s="12">
        <v>837253</v>
      </c>
      <c r="R105" s="12">
        <v>829405</v>
      </c>
      <c r="S105" s="12">
        <v>20858140</v>
      </c>
      <c r="T105" s="12">
        <v>21391493</v>
      </c>
      <c r="U105" s="12">
        <v>20816207</v>
      </c>
      <c r="V105" s="12">
        <v>21363226</v>
      </c>
      <c r="W105" s="12">
        <v>41933</v>
      </c>
      <c r="X105" s="12">
        <v>28267</v>
      </c>
      <c r="Y105" s="12">
        <v>1067</v>
      </c>
      <c r="Z105" s="12">
        <v>1038</v>
      </c>
      <c r="AA105" s="11">
        <v>-2.72</v>
      </c>
      <c r="AB105" s="12">
        <v>11434178</v>
      </c>
      <c r="AC105" s="12">
        <v>12075451</v>
      </c>
      <c r="AD105" s="12">
        <v>1571738</v>
      </c>
      <c r="AE105" s="12">
        <v>1571738</v>
      </c>
      <c r="AF105" s="12">
        <v>1233481</v>
      </c>
      <c r="AG105" s="12">
        <v>1277452</v>
      </c>
      <c r="AH105" s="11">
        <v>4</v>
      </c>
      <c r="AI105" s="11">
        <v>4</v>
      </c>
      <c r="AJ105" s="13"/>
    </row>
    <row r="106" spans="1:36" x14ac:dyDescent="0.25">
      <c r="A106" t="str">
        <f>"060503"</f>
        <v>060503</v>
      </c>
      <c r="B106" t="s">
        <v>195</v>
      </c>
      <c r="C106" s="10">
        <v>22902956</v>
      </c>
      <c r="D106" s="10">
        <v>23092112</v>
      </c>
      <c r="E106" s="11">
        <v>0.83</v>
      </c>
      <c r="F106" s="12">
        <v>11495319</v>
      </c>
      <c r="G106" s="12">
        <v>11780380</v>
      </c>
      <c r="H106" s="12"/>
      <c r="I106" s="12"/>
      <c r="J106" s="12"/>
      <c r="K106" s="12"/>
      <c r="L106" s="12"/>
      <c r="M106" s="12"/>
      <c r="N106" s="12">
        <v>11495319</v>
      </c>
      <c r="O106" s="12">
        <v>11780380</v>
      </c>
      <c r="P106" s="11">
        <v>2.48</v>
      </c>
      <c r="Q106" s="12">
        <v>0</v>
      </c>
      <c r="R106" s="12">
        <v>0</v>
      </c>
      <c r="S106" s="12">
        <v>11495319</v>
      </c>
      <c r="T106" s="12">
        <v>11780380</v>
      </c>
      <c r="U106" s="12">
        <v>11495319</v>
      </c>
      <c r="V106" s="12">
        <v>11780380</v>
      </c>
      <c r="W106" s="12">
        <v>0</v>
      </c>
      <c r="X106" s="12">
        <v>0</v>
      </c>
      <c r="Y106" s="12">
        <v>841</v>
      </c>
      <c r="Z106" s="12">
        <v>824</v>
      </c>
      <c r="AA106" s="11">
        <v>-2.02</v>
      </c>
      <c r="AB106" s="12">
        <v>2476000</v>
      </c>
      <c r="AC106" s="12">
        <v>3156596</v>
      </c>
      <c r="AD106" s="12">
        <v>1000000</v>
      </c>
      <c r="AE106" s="12">
        <v>1000000</v>
      </c>
      <c r="AF106" s="12">
        <v>1479713</v>
      </c>
      <c r="AG106" s="12">
        <v>923684</v>
      </c>
      <c r="AH106" s="11">
        <v>6.46</v>
      </c>
      <c r="AI106" s="11">
        <v>4</v>
      </c>
      <c r="AJ106" s="13"/>
    </row>
    <row r="107" spans="1:36" x14ac:dyDescent="0.25">
      <c r="A107" t="str">
        <f>"090601"</f>
        <v>090601</v>
      </c>
      <c r="B107" t="s">
        <v>196</v>
      </c>
      <c r="C107" s="10">
        <v>10882578</v>
      </c>
      <c r="D107" s="10">
        <v>10728470</v>
      </c>
      <c r="E107" s="11">
        <v>-1.42</v>
      </c>
      <c r="F107" s="12">
        <v>4658111</v>
      </c>
      <c r="G107" s="12">
        <v>4813713</v>
      </c>
      <c r="H107" s="12">
        <v>37500</v>
      </c>
      <c r="I107" s="12">
        <v>37500</v>
      </c>
      <c r="J107" s="12"/>
      <c r="K107" s="12"/>
      <c r="L107" s="12"/>
      <c r="M107" s="12"/>
      <c r="N107" s="12">
        <v>4695611</v>
      </c>
      <c r="O107" s="12">
        <v>4851213</v>
      </c>
      <c r="P107" s="11">
        <v>3.31</v>
      </c>
      <c r="Q107" s="12">
        <v>252698</v>
      </c>
      <c r="R107" s="12">
        <v>54556</v>
      </c>
      <c r="S107" s="12">
        <v>4531624</v>
      </c>
      <c r="T107" s="12">
        <v>4522245</v>
      </c>
      <c r="U107" s="12">
        <v>4405413</v>
      </c>
      <c r="V107" s="12">
        <v>4759157</v>
      </c>
      <c r="W107" s="12">
        <v>126211</v>
      </c>
      <c r="X107" s="12">
        <v>-236912</v>
      </c>
      <c r="Y107" s="12">
        <v>458</v>
      </c>
      <c r="Z107" s="12">
        <v>449</v>
      </c>
      <c r="AA107" s="11">
        <v>-1.97</v>
      </c>
      <c r="AB107" s="12">
        <v>795532</v>
      </c>
      <c r="AC107" s="12">
        <v>795532</v>
      </c>
      <c r="AD107" s="12">
        <v>600000</v>
      </c>
      <c r="AE107" s="12">
        <v>702500</v>
      </c>
      <c r="AF107" s="12">
        <v>1641895</v>
      </c>
      <c r="AG107" s="12">
        <v>939395</v>
      </c>
      <c r="AH107" s="11">
        <v>15.09</v>
      </c>
      <c r="AI107" s="11">
        <v>8.76</v>
      </c>
      <c r="AJ107" s="13"/>
    </row>
    <row r="108" spans="1:36" x14ac:dyDescent="0.25">
      <c r="A108" t="str">
        <f>"140701"</f>
        <v>140701</v>
      </c>
      <c r="B108" t="s">
        <v>197</v>
      </c>
      <c r="C108" s="10">
        <v>43252020</v>
      </c>
      <c r="D108" s="10">
        <v>45156821</v>
      </c>
      <c r="E108" s="11">
        <v>4.4000000000000004</v>
      </c>
      <c r="F108" s="12">
        <v>23997259</v>
      </c>
      <c r="G108" s="12">
        <v>24765445</v>
      </c>
      <c r="H108" s="12"/>
      <c r="I108" s="12"/>
      <c r="J108" s="12"/>
      <c r="K108" s="12"/>
      <c r="L108" s="12"/>
      <c r="M108" s="12"/>
      <c r="N108" s="12">
        <v>23997259</v>
      </c>
      <c r="O108" s="12">
        <v>24765445</v>
      </c>
      <c r="P108" s="11">
        <v>3.2</v>
      </c>
      <c r="Q108" s="12">
        <v>787991</v>
      </c>
      <c r="R108" s="12">
        <v>848229</v>
      </c>
      <c r="S108" s="12">
        <v>23259268</v>
      </c>
      <c r="T108" s="12">
        <v>23917216</v>
      </c>
      <c r="U108" s="12">
        <v>23209268</v>
      </c>
      <c r="V108" s="12">
        <v>23917216</v>
      </c>
      <c r="W108" s="12">
        <v>50000</v>
      </c>
      <c r="X108" s="12">
        <v>0</v>
      </c>
      <c r="Y108" s="12">
        <v>2236</v>
      </c>
      <c r="Z108" s="12">
        <v>2214</v>
      </c>
      <c r="AA108" s="11">
        <v>-0.98</v>
      </c>
      <c r="AB108" s="12">
        <v>2528854</v>
      </c>
      <c r="AC108" s="12">
        <v>3762674</v>
      </c>
      <c r="AD108" s="12">
        <v>1142366</v>
      </c>
      <c r="AE108" s="12">
        <v>1000000</v>
      </c>
      <c r="AF108" s="12">
        <v>1724515</v>
      </c>
      <c r="AG108" s="12">
        <v>1806273</v>
      </c>
      <c r="AH108" s="11">
        <v>3.99</v>
      </c>
      <c r="AI108" s="11">
        <v>4</v>
      </c>
      <c r="AJ108" s="13"/>
    </row>
    <row r="109" spans="1:36" x14ac:dyDescent="0.25">
      <c r="A109" t="str">
        <f>"140702"</f>
        <v>140702</v>
      </c>
      <c r="B109" t="s">
        <v>198</v>
      </c>
      <c r="C109" s="10">
        <v>43165468</v>
      </c>
      <c r="D109" s="10">
        <v>44508617</v>
      </c>
      <c r="E109" s="11">
        <v>3.11</v>
      </c>
      <c r="F109" s="12">
        <v>20775361</v>
      </c>
      <c r="G109" s="12">
        <v>21129171</v>
      </c>
      <c r="H109" s="12"/>
      <c r="I109" s="12"/>
      <c r="J109" s="12"/>
      <c r="K109" s="12"/>
      <c r="L109" s="12"/>
      <c r="M109" s="12"/>
      <c r="N109" s="12">
        <v>20775361</v>
      </c>
      <c r="O109" s="12">
        <v>21129171</v>
      </c>
      <c r="P109" s="11">
        <v>1.7</v>
      </c>
      <c r="Q109" s="12">
        <v>840200</v>
      </c>
      <c r="R109" s="12">
        <v>726781</v>
      </c>
      <c r="S109" s="12">
        <v>19617703</v>
      </c>
      <c r="T109" s="12">
        <v>20402390</v>
      </c>
      <c r="U109" s="12">
        <v>19935161</v>
      </c>
      <c r="V109" s="12">
        <v>20402390</v>
      </c>
      <c r="W109" s="12">
        <v>-317458</v>
      </c>
      <c r="X109" s="12">
        <v>0</v>
      </c>
      <c r="Y109" s="12">
        <v>2225</v>
      </c>
      <c r="Z109" s="12">
        <v>2270</v>
      </c>
      <c r="AA109" s="11">
        <v>2.02</v>
      </c>
      <c r="AB109" s="12">
        <v>12070056</v>
      </c>
      <c r="AC109" s="12">
        <v>7058639</v>
      </c>
      <c r="AD109" s="12">
        <v>925000</v>
      </c>
      <c r="AE109" s="12">
        <v>1100000</v>
      </c>
      <c r="AF109" s="12">
        <v>1656585</v>
      </c>
      <c r="AG109" s="12">
        <v>1777674</v>
      </c>
      <c r="AH109" s="11">
        <v>3.84</v>
      </c>
      <c r="AI109" s="11">
        <v>3.99</v>
      </c>
      <c r="AJ109" s="13"/>
    </row>
    <row r="110" spans="1:36" x14ac:dyDescent="0.25">
      <c r="A110" t="str">
        <f>"140709"</f>
        <v>140709</v>
      </c>
      <c r="B110" t="s">
        <v>199</v>
      </c>
      <c r="C110" s="10">
        <v>35040536</v>
      </c>
      <c r="D110" s="10">
        <v>36298407</v>
      </c>
      <c r="E110" s="11">
        <v>3.59</v>
      </c>
      <c r="F110" s="12">
        <v>15164004</v>
      </c>
      <c r="G110" s="12">
        <v>15313318</v>
      </c>
      <c r="H110" s="12"/>
      <c r="I110" s="12"/>
      <c r="J110" s="12"/>
      <c r="K110" s="12"/>
      <c r="L110" s="12"/>
      <c r="M110" s="12"/>
      <c r="N110" s="12">
        <v>15164004</v>
      </c>
      <c r="O110" s="12">
        <v>15313318</v>
      </c>
      <c r="P110" s="11">
        <v>0.98</v>
      </c>
      <c r="Q110" s="12">
        <v>339759</v>
      </c>
      <c r="R110" s="12">
        <v>333443</v>
      </c>
      <c r="S110" s="12">
        <v>15238536</v>
      </c>
      <c r="T110" s="12">
        <v>15219866</v>
      </c>
      <c r="U110" s="12">
        <v>14824245</v>
      </c>
      <c r="V110" s="12">
        <v>14979875</v>
      </c>
      <c r="W110" s="12">
        <v>414291</v>
      </c>
      <c r="X110" s="12">
        <v>239991</v>
      </c>
      <c r="Y110" s="12">
        <v>1350</v>
      </c>
      <c r="Z110" s="12">
        <v>1350</v>
      </c>
      <c r="AA110" s="11">
        <v>0</v>
      </c>
      <c r="AB110" s="12">
        <v>7742204</v>
      </c>
      <c r="AC110" s="12">
        <v>10273111</v>
      </c>
      <c r="AD110" s="12">
        <v>2147154</v>
      </c>
      <c r="AE110" s="12">
        <v>2150000</v>
      </c>
      <c r="AF110" s="12">
        <v>1400365</v>
      </c>
      <c r="AG110" s="12">
        <v>1449816</v>
      </c>
      <c r="AH110" s="11">
        <v>4</v>
      </c>
      <c r="AI110" s="11">
        <v>3.99</v>
      </c>
      <c r="AJ110" s="13"/>
    </row>
    <row r="111" spans="1:36" x14ac:dyDescent="0.25">
      <c r="A111" t="str">
        <f>"030101"</f>
        <v>030101</v>
      </c>
      <c r="B111" t="s">
        <v>200</v>
      </c>
      <c r="C111" s="10">
        <v>35022521</v>
      </c>
      <c r="D111" s="10">
        <v>33806855</v>
      </c>
      <c r="E111" s="11">
        <v>-3.47</v>
      </c>
      <c r="F111" s="12">
        <v>11533996</v>
      </c>
      <c r="G111" s="12">
        <v>11741111</v>
      </c>
      <c r="H111" s="12"/>
      <c r="I111" s="12"/>
      <c r="J111" s="12"/>
      <c r="K111" s="12"/>
      <c r="L111" s="12"/>
      <c r="M111" s="12"/>
      <c r="N111" s="12">
        <v>11533996</v>
      </c>
      <c r="O111" s="12">
        <v>11741111</v>
      </c>
      <c r="P111" s="11">
        <v>1.8</v>
      </c>
      <c r="Q111" s="12">
        <v>652550</v>
      </c>
      <c r="R111" s="12">
        <v>614977</v>
      </c>
      <c r="S111" s="12">
        <v>10930473</v>
      </c>
      <c r="T111" s="12">
        <v>11126134</v>
      </c>
      <c r="U111" s="12">
        <v>10881446</v>
      </c>
      <c r="V111" s="12">
        <v>11126134</v>
      </c>
      <c r="W111" s="12">
        <v>49027</v>
      </c>
      <c r="X111" s="12">
        <v>0</v>
      </c>
      <c r="Y111" s="12">
        <v>1519</v>
      </c>
      <c r="Z111" s="12">
        <v>1519</v>
      </c>
      <c r="AA111" s="11">
        <v>0</v>
      </c>
      <c r="AB111" s="12">
        <v>3600356</v>
      </c>
      <c r="AC111" s="12">
        <v>5026559</v>
      </c>
      <c r="AD111" s="12">
        <v>915000</v>
      </c>
      <c r="AE111" s="12">
        <v>500000</v>
      </c>
      <c r="AF111" s="12">
        <v>1242526</v>
      </c>
      <c r="AG111" s="12">
        <v>1338036</v>
      </c>
      <c r="AH111" s="11">
        <v>3.55</v>
      </c>
      <c r="AI111" s="11">
        <v>3.96</v>
      </c>
      <c r="AJ111" s="13"/>
    </row>
    <row r="112" spans="1:36" x14ac:dyDescent="0.25">
      <c r="A112" t="str">
        <f>"030701"</f>
        <v>030701</v>
      </c>
      <c r="B112" t="s">
        <v>201</v>
      </c>
      <c r="C112" s="10">
        <v>37342387</v>
      </c>
      <c r="D112" s="10">
        <v>38457793</v>
      </c>
      <c r="E112" s="11">
        <v>2.99</v>
      </c>
      <c r="F112" s="12">
        <v>18898888</v>
      </c>
      <c r="G112" s="12">
        <v>19296446</v>
      </c>
      <c r="H112" s="12"/>
      <c r="I112" s="12"/>
      <c r="J112" s="12"/>
      <c r="K112" s="12"/>
      <c r="L112" s="12"/>
      <c r="M112" s="12"/>
      <c r="N112" s="12">
        <v>18898888</v>
      </c>
      <c r="O112" s="12">
        <v>19296446</v>
      </c>
      <c r="P112" s="11">
        <v>2.1</v>
      </c>
      <c r="Q112" s="12">
        <v>0</v>
      </c>
      <c r="R112" s="12">
        <v>0</v>
      </c>
      <c r="S112" s="12">
        <v>18898888</v>
      </c>
      <c r="T112" s="12">
        <v>19296446</v>
      </c>
      <c r="U112" s="12">
        <v>18898888</v>
      </c>
      <c r="V112" s="12">
        <v>19296446</v>
      </c>
      <c r="W112" s="12">
        <v>0</v>
      </c>
      <c r="X112" s="12">
        <v>0</v>
      </c>
      <c r="Y112" s="12">
        <v>1661</v>
      </c>
      <c r="Z112" s="12">
        <v>1661</v>
      </c>
      <c r="AA112" s="11">
        <v>0</v>
      </c>
      <c r="AB112" s="12">
        <v>5409744</v>
      </c>
      <c r="AC112" s="12">
        <v>4038627</v>
      </c>
      <c r="AD112" s="12">
        <v>250000</v>
      </c>
      <c r="AE112" s="12">
        <v>250000</v>
      </c>
      <c r="AF112" s="12">
        <v>1355760</v>
      </c>
      <c r="AG112" s="12">
        <v>1460119</v>
      </c>
      <c r="AH112" s="11">
        <v>3.63</v>
      </c>
      <c r="AI112" s="11">
        <v>3.8</v>
      </c>
      <c r="AJ112" s="13"/>
    </row>
    <row r="113" spans="1:36" x14ac:dyDescent="0.25">
      <c r="A113" t="str">
        <f>"472202"</f>
        <v>472202</v>
      </c>
      <c r="B113" t="s">
        <v>202</v>
      </c>
      <c r="C113" s="10">
        <v>13500708</v>
      </c>
      <c r="D113" s="10">
        <v>12992264</v>
      </c>
      <c r="E113" s="11">
        <v>-3.77</v>
      </c>
      <c r="F113" s="12">
        <v>5155142</v>
      </c>
      <c r="G113" s="12">
        <v>5253610</v>
      </c>
      <c r="H113" s="12"/>
      <c r="I113" s="12"/>
      <c r="J113" s="12"/>
      <c r="K113" s="12"/>
      <c r="L113" s="12"/>
      <c r="M113" s="12"/>
      <c r="N113" s="12">
        <v>5155142</v>
      </c>
      <c r="O113" s="12">
        <v>5253610</v>
      </c>
      <c r="P113" s="11">
        <v>1.91</v>
      </c>
      <c r="Q113" s="12">
        <v>191229</v>
      </c>
      <c r="R113" s="12">
        <v>191916</v>
      </c>
      <c r="S113" s="12">
        <v>4963913</v>
      </c>
      <c r="T113" s="12">
        <v>5061694</v>
      </c>
      <c r="U113" s="12">
        <v>4963913</v>
      </c>
      <c r="V113" s="12">
        <v>5061694</v>
      </c>
      <c r="W113" s="12">
        <v>0</v>
      </c>
      <c r="X113" s="12">
        <v>0</v>
      </c>
      <c r="Y113" s="12">
        <v>480</v>
      </c>
      <c r="Z113" s="12">
        <v>479</v>
      </c>
      <c r="AA113" s="11">
        <v>-0.21</v>
      </c>
      <c r="AB113" s="12">
        <v>2460642</v>
      </c>
      <c r="AC113" s="12">
        <v>2083558</v>
      </c>
      <c r="AD113" s="12">
        <v>322281</v>
      </c>
      <c r="AE113" s="12">
        <v>272000</v>
      </c>
      <c r="AF113" s="12">
        <v>478865</v>
      </c>
      <c r="AG113" s="12">
        <v>499000</v>
      </c>
      <c r="AH113" s="11">
        <v>3.55</v>
      </c>
      <c r="AI113" s="11">
        <v>3.84</v>
      </c>
      <c r="AJ113" s="13"/>
    </row>
    <row r="114" spans="1:36" x14ac:dyDescent="0.25">
      <c r="A114" t="str">
        <f>"440201"</f>
        <v>440201</v>
      </c>
      <c r="B114" t="s">
        <v>203</v>
      </c>
      <c r="C114" s="10">
        <v>26958194</v>
      </c>
      <c r="D114" s="10">
        <v>27633841</v>
      </c>
      <c r="E114" s="11">
        <v>2.5099999999999998</v>
      </c>
      <c r="F114" s="12">
        <v>16710547</v>
      </c>
      <c r="G114" s="12">
        <v>17409041</v>
      </c>
      <c r="H114" s="12"/>
      <c r="I114" s="12"/>
      <c r="J114" s="12"/>
      <c r="K114" s="12"/>
      <c r="L114" s="12"/>
      <c r="M114" s="12"/>
      <c r="N114" s="12">
        <v>16710547</v>
      </c>
      <c r="O114" s="12">
        <v>17409041</v>
      </c>
      <c r="P114" s="11">
        <v>4.18</v>
      </c>
      <c r="Q114" s="12">
        <v>531333</v>
      </c>
      <c r="R114" s="12">
        <v>531333</v>
      </c>
      <c r="S114" s="12">
        <v>16179460</v>
      </c>
      <c r="T114" s="12">
        <v>16877708</v>
      </c>
      <c r="U114" s="12">
        <v>16179214</v>
      </c>
      <c r="V114" s="12">
        <v>16877708</v>
      </c>
      <c r="W114" s="12">
        <v>246</v>
      </c>
      <c r="X114" s="12">
        <v>0</v>
      </c>
      <c r="Y114" s="12">
        <v>1040</v>
      </c>
      <c r="Z114" s="12">
        <v>985</v>
      </c>
      <c r="AA114" s="11">
        <v>-5.29</v>
      </c>
      <c r="AB114" s="12">
        <v>2261236</v>
      </c>
      <c r="AC114" s="12">
        <v>2300000</v>
      </c>
      <c r="AD114" s="12">
        <v>1158413</v>
      </c>
      <c r="AE114" s="12">
        <v>1150000</v>
      </c>
      <c r="AF114" s="12">
        <v>1767743</v>
      </c>
      <c r="AG114" s="12">
        <v>1075000</v>
      </c>
      <c r="AH114" s="11">
        <v>6.56</v>
      </c>
      <c r="AI114" s="11">
        <v>3.89</v>
      </c>
      <c r="AJ114" s="13"/>
    </row>
    <row r="115" spans="1:36" x14ac:dyDescent="0.25">
      <c r="A115" t="str">
        <f>"251601"</f>
        <v>251601</v>
      </c>
      <c r="B115" t="s">
        <v>204</v>
      </c>
      <c r="C115" s="10">
        <v>37891782</v>
      </c>
      <c r="D115" s="10">
        <v>39272229</v>
      </c>
      <c r="E115" s="11">
        <v>3.64</v>
      </c>
      <c r="F115" s="12">
        <v>17538890</v>
      </c>
      <c r="G115" s="12">
        <v>17845871</v>
      </c>
      <c r="H115" s="12"/>
      <c r="I115" s="12"/>
      <c r="J115" s="12"/>
      <c r="K115" s="12"/>
      <c r="L115" s="12"/>
      <c r="M115" s="12"/>
      <c r="N115" s="12">
        <v>17538890</v>
      </c>
      <c r="O115" s="12">
        <v>17845871</v>
      </c>
      <c r="P115" s="11">
        <v>1.75</v>
      </c>
      <c r="Q115" s="12">
        <v>410825</v>
      </c>
      <c r="R115" s="12">
        <v>253909</v>
      </c>
      <c r="S115" s="12">
        <v>17128065</v>
      </c>
      <c r="T115" s="12">
        <v>17591962</v>
      </c>
      <c r="U115" s="12">
        <v>17128065</v>
      </c>
      <c r="V115" s="12">
        <v>17591962</v>
      </c>
      <c r="W115" s="12">
        <v>0</v>
      </c>
      <c r="X115" s="12">
        <v>0</v>
      </c>
      <c r="Y115" s="12">
        <v>1913</v>
      </c>
      <c r="Z115" s="12">
        <v>1989</v>
      </c>
      <c r="AA115" s="11">
        <v>3.97</v>
      </c>
      <c r="AB115" s="12">
        <v>5129431</v>
      </c>
      <c r="AC115" s="12">
        <v>5129431</v>
      </c>
      <c r="AD115" s="12">
        <v>0</v>
      </c>
      <c r="AE115" s="12">
        <v>601750</v>
      </c>
      <c r="AF115" s="12">
        <v>5129431</v>
      </c>
      <c r="AG115" s="12">
        <v>4527681</v>
      </c>
      <c r="AH115" s="11">
        <v>13.54</v>
      </c>
      <c r="AI115" s="11">
        <v>11.53</v>
      </c>
      <c r="AJ115" s="13"/>
    </row>
    <row r="116" spans="1:36" x14ac:dyDescent="0.25">
      <c r="A116" t="str">
        <f>"261501"</f>
        <v>261501</v>
      </c>
      <c r="B116" t="s">
        <v>205</v>
      </c>
      <c r="C116" s="10">
        <v>83919346</v>
      </c>
      <c r="D116" s="10">
        <v>84878822</v>
      </c>
      <c r="E116" s="11">
        <v>1.1399999999999999</v>
      </c>
      <c r="F116" s="12">
        <v>35378398</v>
      </c>
      <c r="G116" s="12">
        <v>36439750</v>
      </c>
      <c r="H116" s="12"/>
      <c r="I116" s="12"/>
      <c r="J116" s="12"/>
      <c r="K116" s="12"/>
      <c r="L116" s="12"/>
      <c r="M116" s="12"/>
      <c r="N116" s="12">
        <v>35378398</v>
      </c>
      <c r="O116" s="12">
        <v>36439750</v>
      </c>
      <c r="P116" s="11">
        <v>3</v>
      </c>
      <c r="Q116" s="12">
        <v>0</v>
      </c>
      <c r="R116" s="12">
        <v>0</v>
      </c>
      <c r="S116" s="12">
        <v>35600236</v>
      </c>
      <c r="T116" s="12">
        <v>36686488</v>
      </c>
      <c r="U116" s="12">
        <v>35378398</v>
      </c>
      <c r="V116" s="12">
        <v>36439750</v>
      </c>
      <c r="W116" s="12">
        <v>221838</v>
      </c>
      <c r="X116" s="12">
        <v>246738</v>
      </c>
      <c r="Y116" s="12">
        <v>3799</v>
      </c>
      <c r="Z116" s="12">
        <v>3861</v>
      </c>
      <c r="AA116" s="11">
        <v>1.63</v>
      </c>
      <c r="AB116" s="12">
        <v>23693588</v>
      </c>
      <c r="AC116" s="12">
        <v>22440535</v>
      </c>
      <c r="AD116" s="12">
        <v>1662181</v>
      </c>
      <c r="AE116" s="12">
        <v>1662181</v>
      </c>
      <c r="AF116" s="12">
        <v>3309341</v>
      </c>
      <c r="AG116" s="12">
        <v>3395153</v>
      </c>
      <c r="AH116" s="11">
        <v>3.94</v>
      </c>
      <c r="AI116" s="11">
        <v>4</v>
      </c>
      <c r="AJ116" s="13"/>
    </row>
    <row r="117" spans="1:36" x14ac:dyDescent="0.25">
      <c r="A117" t="str">
        <f>"110101"</f>
        <v>110101</v>
      </c>
      <c r="B117" t="s">
        <v>206</v>
      </c>
      <c r="C117" s="10">
        <v>15438314</v>
      </c>
      <c r="D117" s="10">
        <v>16388737</v>
      </c>
      <c r="E117" s="11">
        <v>6.16</v>
      </c>
      <c r="F117" s="12">
        <v>3709010</v>
      </c>
      <c r="G117" s="12">
        <v>3820280</v>
      </c>
      <c r="H117" s="12"/>
      <c r="I117" s="12"/>
      <c r="J117" s="12"/>
      <c r="K117" s="12"/>
      <c r="L117" s="12"/>
      <c r="M117" s="12"/>
      <c r="N117" s="12">
        <v>3709010</v>
      </c>
      <c r="O117" s="12">
        <v>3820280</v>
      </c>
      <c r="P117" s="11">
        <v>3</v>
      </c>
      <c r="Q117" s="12">
        <v>183394</v>
      </c>
      <c r="R117" s="12">
        <v>227058</v>
      </c>
      <c r="S117" s="12">
        <v>3525619</v>
      </c>
      <c r="T117" s="12">
        <v>3618827</v>
      </c>
      <c r="U117" s="12">
        <v>3525616</v>
      </c>
      <c r="V117" s="12">
        <v>3593222</v>
      </c>
      <c r="W117" s="12">
        <v>3</v>
      </c>
      <c r="X117" s="12">
        <v>25605</v>
      </c>
      <c r="Y117" s="12">
        <v>541</v>
      </c>
      <c r="Z117" s="12">
        <v>537</v>
      </c>
      <c r="AA117" s="11">
        <v>-0.74</v>
      </c>
      <c r="AB117" s="12">
        <v>1764932</v>
      </c>
      <c r="AC117" s="12">
        <v>1770374</v>
      </c>
      <c r="AD117" s="12">
        <v>480000</v>
      </c>
      <c r="AE117" s="12">
        <v>480000</v>
      </c>
      <c r="AF117" s="12">
        <v>617532</v>
      </c>
      <c r="AG117" s="12">
        <v>655549</v>
      </c>
      <c r="AH117" s="11">
        <v>4</v>
      </c>
      <c r="AI117" s="11">
        <v>4</v>
      </c>
      <c r="AJ117" s="13"/>
    </row>
    <row r="118" spans="1:36" x14ac:dyDescent="0.25">
      <c r="A118" t="str">
        <f>"140801"</f>
        <v>140801</v>
      </c>
      <c r="B118" t="s">
        <v>207</v>
      </c>
      <c r="C118" s="10">
        <v>80209240</v>
      </c>
      <c r="D118" s="10">
        <v>83142930</v>
      </c>
      <c r="E118" s="11">
        <v>3.66</v>
      </c>
      <c r="F118" s="12">
        <v>46074075</v>
      </c>
      <c r="G118" s="12">
        <v>47870000</v>
      </c>
      <c r="H118" s="12"/>
      <c r="I118" s="12"/>
      <c r="J118" s="12"/>
      <c r="K118" s="12"/>
      <c r="L118" s="12"/>
      <c r="M118" s="12"/>
      <c r="N118" s="12">
        <v>46074075</v>
      </c>
      <c r="O118" s="12">
        <v>47870000</v>
      </c>
      <c r="P118" s="11">
        <v>3.9</v>
      </c>
      <c r="Q118" s="12">
        <v>2272479</v>
      </c>
      <c r="R118" s="12">
        <v>2906534</v>
      </c>
      <c r="S118" s="12">
        <v>43803782</v>
      </c>
      <c r="T118" s="12">
        <v>45351326</v>
      </c>
      <c r="U118" s="12">
        <v>43801596</v>
      </c>
      <c r="V118" s="12">
        <v>44963466</v>
      </c>
      <c r="W118" s="12">
        <v>2186</v>
      </c>
      <c r="X118" s="12">
        <v>387860</v>
      </c>
      <c r="Y118" s="12">
        <v>4363</v>
      </c>
      <c r="Z118" s="12">
        <v>4306</v>
      </c>
      <c r="AA118" s="11">
        <v>-1.31</v>
      </c>
      <c r="AB118" s="12">
        <v>1693754</v>
      </c>
      <c r="AC118" s="12">
        <v>2000000</v>
      </c>
      <c r="AD118" s="12">
        <v>1700000</v>
      </c>
      <c r="AE118" s="12">
        <v>1700000</v>
      </c>
      <c r="AF118" s="12">
        <v>4194400</v>
      </c>
      <c r="AG118" s="12">
        <v>3300000</v>
      </c>
      <c r="AH118" s="11">
        <v>5.23</v>
      </c>
      <c r="AI118" s="11">
        <v>3.97</v>
      </c>
      <c r="AJ118" s="13"/>
    </row>
    <row r="119" spans="1:36" x14ac:dyDescent="0.25">
      <c r="A119" t="str">
        <f>"500101"</f>
        <v>500101</v>
      </c>
      <c r="B119" t="s">
        <v>208</v>
      </c>
      <c r="C119" s="10">
        <v>200548605</v>
      </c>
      <c r="D119" s="10">
        <v>208926000</v>
      </c>
      <c r="E119" s="11">
        <v>4.18</v>
      </c>
      <c r="F119" s="12">
        <v>160305120</v>
      </c>
      <c r="G119" s="12">
        <v>163642386</v>
      </c>
      <c r="H119" s="12"/>
      <c r="I119" s="12"/>
      <c r="J119" s="12"/>
      <c r="K119" s="12"/>
      <c r="L119" s="12"/>
      <c r="M119" s="12"/>
      <c r="N119" s="12">
        <v>160305120</v>
      </c>
      <c r="O119" s="12">
        <v>163642386</v>
      </c>
      <c r="P119" s="11">
        <v>2.08</v>
      </c>
      <c r="Q119" s="12">
        <v>5288014</v>
      </c>
      <c r="R119" s="12">
        <v>4870965</v>
      </c>
      <c r="S119" s="12">
        <v>155017106</v>
      </c>
      <c r="T119" s="12">
        <v>158771421</v>
      </c>
      <c r="U119" s="12">
        <v>155017106</v>
      </c>
      <c r="V119" s="12">
        <v>158771421</v>
      </c>
      <c r="W119" s="12">
        <v>0</v>
      </c>
      <c r="X119" s="12">
        <v>0</v>
      </c>
      <c r="Y119" s="12">
        <v>8044</v>
      </c>
      <c r="Z119" s="12">
        <v>7836</v>
      </c>
      <c r="AA119" s="11">
        <v>-2.59</v>
      </c>
      <c r="AB119" s="12">
        <v>24737277</v>
      </c>
      <c r="AC119" s="12">
        <v>23829052</v>
      </c>
      <c r="AD119" s="12">
        <v>0</v>
      </c>
      <c r="AE119" s="12">
        <v>0</v>
      </c>
      <c r="AF119" s="12">
        <v>8021944</v>
      </c>
      <c r="AG119" s="12">
        <v>8357040</v>
      </c>
      <c r="AH119" s="11">
        <v>4</v>
      </c>
      <c r="AI119" s="11">
        <v>4</v>
      </c>
      <c r="AJ119" s="13"/>
    </row>
    <row r="120" spans="1:36" x14ac:dyDescent="0.25">
      <c r="A120" t="str">
        <f>"140703"</f>
        <v>140703</v>
      </c>
      <c r="B120" t="s">
        <v>209</v>
      </c>
      <c r="C120" s="10">
        <v>31553898</v>
      </c>
      <c r="D120" s="10">
        <v>32886119</v>
      </c>
      <c r="E120" s="11">
        <v>4.22</v>
      </c>
      <c r="F120" s="12">
        <v>12299558</v>
      </c>
      <c r="G120" s="12">
        <v>12544319</v>
      </c>
      <c r="H120" s="12"/>
      <c r="I120" s="12"/>
      <c r="J120" s="12"/>
      <c r="K120" s="12"/>
      <c r="L120" s="12"/>
      <c r="M120" s="12"/>
      <c r="N120" s="12">
        <v>12299558</v>
      </c>
      <c r="O120" s="12">
        <v>12544319</v>
      </c>
      <c r="P120" s="11">
        <v>1.99</v>
      </c>
      <c r="Q120" s="12">
        <v>0</v>
      </c>
      <c r="R120" s="12">
        <v>0</v>
      </c>
      <c r="S120" s="12">
        <v>12410887</v>
      </c>
      <c r="T120" s="12">
        <v>12670537</v>
      </c>
      <c r="U120" s="12">
        <v>12299558</v>
      </c>
      <c r="V120" s="12">
        <v>12544319</v>
      </c>
      <c r="W120" s="12">
        <v>111329</v>
      </c>
      <c r="X120" s="12">
        <v>126218</v>
      </c>
      <c r="Y120" s="12">
        <v>1213</v>
      </c>
      <c r="Z120" s="12">
        <v>1263</v>
      </c>
      <c r="AA120" s="11">
        <v>4.12</v>
      </c>
      <c r="AB120" s="12">
        <v>514351</v>
      </c>
      <c r="AC120" s="12">
        <v>514341</v>
      </c>
      <c r="AD120" s="12">
        <v>2842744</v>
      </c>
      <c r="AE120" s="12">
        <v>3230000</v>
      </c>
      <c r="AF120" s="12">
        <v>5446478</v>
      </c>
      <c r="AG120" s="12">
        <v>5059222</v>
      </c>
      <c r="AH120" s="11">
        <v>17.260000000000002</v>
      </c>
      <c r="AI120" s="11">
        <v>15.38</v>
      </c>
      <c r="AJ120" s="13"/>
    </row>
    <row r="121" spans="1:36" x14ac:dyDescent="0.25">
      <c r="A121" t="str">
        <f>"510401"</f>
        <v>510401</v>
      </c>
      <c r="B121" t="s">
        <v>210</v>
      </c>
      <c r="C121" s="10">
        <v>10638805</v>
      </c>
      <c r="D121" s="10">
        <v>10818177</v>
      </c>
      <c r="E121" s="11">
        <v>1.69</v>
      </c>
      <c r="F121" s="12">
        <v>4114015</v>
      </c>
      <c r="G121" s="12">
        <v>4196296</v>
      </c>
      <c r="H121" s="12"/>
      <c r="I121" s="12"/>
      <c r="J121" s="12"/>
      <c r="K121" s="12"/>
      <c r="L121" s="12"/>
      <c r="M121" s="12"/>
      <c r="N121" s="12">
        <v>4114015</v>
      </c>
      <c r="O121" s="12">
        <v>4196296</v>
      </c>
      <c r="P121" s="11">
        <v>2</v>
      </c>
      <c r="Q121" s="12">
        <v>136970</v>
      </c>
      <c r="R121" s="12">
        <v>271976</v>
      </c>
      <c r="S121" s="12">
        <v>3977046</v>
      </c>
      <c r="T121" s="12">
        <v>3924320</v>
      </c>
      <c r="U121" s="12">
        <v>3977045</v>
      </c>
      <c r="V121" s="12">
        <v>3924320</v>
      </c>
      <c r="W121" s="12">
        <v>1</v>
      </c>
      <c r="X121" s="12">
        <v>0</v>
      </c>
      <c r="Y121" s="12">
        <v>310</v>
      </c>
      <c r="Z121" s="12">
        <v>312</v>
      </c>
      <c r="AA121" s="11">
        <v>0.65</v>
      </c>
      <c r="AB121" s="12">
        <v>3360731</v>
      </c>
      <c r="AC121" s="12">
        <v>3120117</v>
      </c>
      <c r="AD121" s="12">
        <v>1127412</v>
      </c>
      <c r="AE121" s="12">
        <v>1099038</v>
      </c>
      <c r="AF121" s="12">
        <v>98604</v>
      </c>
      <c r="AG121" s="12">
        <v>105000</v>
      </c>
      <c r="AH121" s="11">
        <v>0.93</v>
      </c>
      <c r="AI121" s="11">
        <v>0.97</v>
      </c>
      <c r="AJ121" s="13"/>
    </row>
    <row r="122" spans="1:36" x14ac:dyDescent="0.25">
      <c r="A122" t="str">
        <f>"411101"</f>
        <v>411101</v>
      </c>
      <c r="B122" t="s">
        <v>211</v>
      </c>
      <c r="C122" s="10">
        <v>27405116</v>
      </c>
      <c r="D122" s="10">
        <v>27894313</v>
      </c>
      <c r="E122" s="11">
        <v>1.79</v>
      </c>
      <c r="F122" s="12">
        <v>15076301</v>
      </c>
      <c r="G122" s="12">
        <v>15362467</v>
      </c>
      <c r="H122" s="12"/>
      <c r="I122" s="12"/>
      <c r="J122" s="12"/>
      <c r="K122" s="12"/>
      <c r="L122" s="12"/>
      <c r="M122" s="12"/>
      <c r="N122" s="12">
        <v>15076301</v>
      </c>
      <c r="O122" s="12">
        <v>15362467</v>
      </c>
      <c r="P122" s="11">
        <v>1.9</v>
      </c>
      <c r="Q122" s="12">
        <v>670148</v>
      </c>
      <c r="R122" s="12">
        <v>642201</v>
      </c>
      <c r="S122" s="12">
        <v>14406153</v>
      </c>
      <c r="T122" s="12">
        <v>14720266</v>
      </c>
      <c r="U122" s="12">
        <v>14406153</v>
      </c>
      <c r="V122" s="12">
        <v>14720266</v>
      </c>
      <c r="W122" s="12">
        <v>0</v>
      </c>
      <c r="X122" s="12">
        <v>0</v>
      </c>
      <c r="Y122" s="12">
        <v>1308</v>
      </c>
      <c r="Z122" s="12">
        <v>1300</v>
      </c>
      <c r="AA122" s="11">
        <v>-0.61</v>
      </c>
      <c r="AB122" s="12">
        <v>4242224</v>
      </c>
      <c r="AC122" s="12">
        <v>4377414</v>
      </c>
      <c r="AD122" s="12">
        <v>809338</v>
      </c>
      <c r="AE122" s="12">
        <v>550000</v>
      </c>
      <c r="AF122" s="12">
        <v>1096205</v>
      </c>
      <c r="AG122" s="12">
        <v>1115773</v>
      </c>
      <c r="AH122" s="11">
        <v>4</v>
      </c>
      <c r="AI122" s="11">
        <v>4</v>
      </c>
      <c r="AJ122" s="13"/>
    </row>
    <row r="123" spans="1:36" x14ac:dyDescent="0.25">
      <c r="A123" t="str">
        <f>"650301"</f>
        <v>650301</v>
      </c>
      <c r="B123" t="s">
        <v>212</v>
      </c>
      <c r="C123" s="10">
        <v>19748605</v>
      </c>
      <c r="D123" s="10">
        <v>20125692</v>
      </c>
      <c r="E123" s="11">
        <v>1.91</v>
      </c>
      <c r="F123" s="12">
        <v>4872345</v>
      </c>
      <c r="G123" s="12">
        <v>4916196</v>
      </c>
      <c r="H123" s="12"/>
      <c r="I123" s="12"/>
      <c r="J123" s="12"/>
      <c r="K123" s="12"/>
      <c r="L123" s="12"/>
      <c r="M123" s="12"/>
      <c r="N123" s="12">
        <v>4872345</v>
      </c>
      <c r="O123" s="12">
        <v>4916196</v>
      </c>
      <c r="P123" s="11">
        <v>0.9</v>
      </c>
      <c r="Q123" s="12">
        <v>0</v>
      </c>
      <c r="R123" s="12">
        <v>0</v>
      </c>
      <c r="S123" s="12">
        <v>5009467</v>
      </c>
      <c r="T123" s="12">
        <v>5041717</v>
      </c>
      <c r="U123" s="12">
        <v>4872345</v>
      </c>
      <c r="V123" s="12">
        <v>4916196</v>
      </c>
      <c r="W123" s="12">
        <v>137122</v>
      </c>
      <c r="X123" s="12">
        <v>125521</v>
      </c>
      <c r="Y123" s="12">
        <v>812</v>
      </c>
      <c r="Z123" s="12">
        <v>815</v>
      </c>
      <c r="AA123" s="11">
        <v>0.37</v>
      </c>
      <c r="AB123" s="12">
        <v>5121979</v>
      </c>
      <c r="AC123" s="12">
        <v>5370810</v>
      </c>
      <c r="AD123" s="12">
        <v>100000</v>
      </c>
      <c r="AE123" s="12">
        <v>200000</v>
      </c>
      <c r="AF123" s="12">
        <v>789944</v>
      </c>
      <c r="AG123" s="12">
        <v>805028</v>
      </c>
      <c r="AH123" s="11">
        <v>4</v>
      </c>
      <c r="AI123" s="11">
        <v>4</v>
      </c>
      <c r="AJ123" s="13"/>
    </row>
    <row r="124" spans="1:36" x14ac:dyDescent="0.25">
      <c r="A124" t="str">
        <f>"060701"</f>
        <v>060701</v>
      </c>
      <c r="B124" t="s">
        <v>213</v>
      </c>
      <c r="C124" s="10">
        <v>11287390</v>
      </c>
      <c r="D124" s="10">
        <v>11561554</v>
      </c>
      <c r="E124" s="11">
        <v>2.4300000000000002</v>
      </c>
      <c r="F124" s="12">
        <v>4111939</v>
      </c>
      <c r="G124" s="12">
        <v>4641024</v>
      </c>
      <c r="H124" s="12"/>
      <c r="I124" s="12"/>
      <c r="J124" s="12"/>
      <c r="K124" s="12"/>
      <c r="L124" s="12"/>
      <c r="M124" s="12"/>
      <c r="N124" s="12">
        <v>4111939</v>
      </c>
      <c r="O124" s="12">
        <v>4641024</v>
      </c>
      <c r="P124" s="11">
        <v>12.87</v>
      </c>
      <c r="Q124" s="12">
        <v>167913</v>
      </c>
      <c r="R124" s="12">
        <v>165590</v>
      </c>
      <c r="S124" s="12">
        <v>3944026</v>
      </c>
      <c r="T124" s="12">
        <v>4118242</v>
      </c>
      <c r="U124" s="12">
        <v>3944026</v>
      </c>
      <c r="V124" s="12">
        <v>4475434</v>
      </c>
      <c r="W124" s="12">
        <v>0</v>
      </c>
      <c r="X124" s="12">
        <v>-357192</v>
      </c>
      <c r="Y124" s="12">
        <v>473</v>
      </c>
      <c r="Z124" s="12">
        <v>470</v>
      </c>
      <c r="AA124" s="11">
        <v>-0.63</v>
      </c>
      <c r="AB124" s="12">
        <v>955161</v>
      </c>
      <c r="AC124" s="12">
        <v>808161</v>
      </c>
      <c r="AD124" s="12">
        <v>870708</v>
      </c>
      <c r="AE124" s="12">
        <v>461122</v>
      </c>
      <c r="AF124" s="12">
        <v>292937</v>
      </c>
      <c r="AG124" s="12">
        <v>462642</v>
      </c>
      <c r="AH124" s="11">
        <v>2.6</v>
      </c>
      <c r="AI124" s="11">
        <v>4</v>
      </c>
      <c r="AJ124" s="13"/>
    </row>
    <row r="125" spans="1:36" x14ac:dyDescent="0.25">
      <c r="A125" t="str">
        <f>"541102"</f>
        <v>541102</v>
      </c>
      <c r="B125" t="s">
        <v>214</v>
      </c>
      <c r="C125" s="10">
        <v>40459022</v>
      </c>
      <c r="D125" s="10">
        <v>41611718</v>
      </c>
      <c r="E125" s="11">
        <v>2.85</v>
      </c>
      <c r="F125" s="12">
        <v>15386086</v>
      </c>
      <c r="G125" s="12">
        <v>16098001</v>
      </c>
      <c r="H125" s="12">
        <v>116413</v>
      </c>
      <c r="I125" s="12">
        <v>117613</v>
      </c>
      <c r="J125" s="12"/>
      <c r="K125" s="12"/>
      <c r="L125" s="12"/>
      <c r="M125" s="12"/>
      <c r="N125" s="12">
        <v>15502499</v>
      </c>
      <c r="O125" s="12">
        <v>16215614</v>
      </c>
      <c r="P125" s="11">
        <v>4.5999999999999996</v>
      </c>
      <c r="Q125" s="12">
        <v>207137</v>
      </c>
      <c r="R125" s="12">
        <v>1605436</v>
      </c>
      <c r="S125" s="12">
        <v>15178949</v>
      </c>
      <c r="T125" s="12">
        <v>15535373</v>
      </c>
      <c r="U125" s="12">
        <v>15178949</v>
      </c>
      <c r="V125" s="12">
        <v>14492565</v>
      </c>
      <c r="W125" s="12">
        <v>0</v>
      </c>
      <c r="X125" s="12">
        <v>1042808</v>
      </c>
      <c r="Y125" s="12">
        <v>1696</v>
      </c>
      <c r="Z125" s="12">
        <v>1688</v>
      </c>
      <c r="AA125" s="11">
        <v>-0.47</v>
      </c>
      <c r="AB125" s="12">
        <v>3326484</v>
      </c>
      <c r="AC125" s="12">
        <v>3326484</v>
      </c>
      <c r="AD125" s="12">
        <v>1279562</v>
      </c>
      <c r="AE125" s="12">
        <v>1950000</v>
      </c>
      <c r="AF125" s="12">
        <v>5291405</v>
      </c>
      <c r="AG125" s="12">
        <v>5267019</v>
      </c>
      <c r="AH125" s="11">
        <v>13.08</v>
      </c>
      <c r="AI125" s="11">
        <v>12.66</v>
      </c>
      <c r="AJ125" s="13"/>
    </row>
    <row r="126" spans="1:36" x14ac:dyDescent="0.25">
      <c r="A126" t="str">
        <f>"010500"</f>
        <v>010500</v>
      </c>
      <c r="B126" t="s">
        <v>215</v>
      </c>
      <c r="C126" s="10">
        <v>41826200</v>
      </c>
      <c r="D126" s="10">
        <v>42922173</v>
      </c>
      <c r="E126" s="11">
        <v>2.62</v>
      </c>
      <c r="F126" s="12">
        <v>14949499</v>
      </c>
      <c r="G126" s="12">
        <v>15385622</v>
      </c>
      <c r="H126" s="12"/>
      <c r="I126" s="12"/>
      <c r="J126" s="12"/>
      <c r="K126" s="12"/>
      <c r="L126" s="12"/>
      <c r="M126" s="12"/>
      <c r="N126" s="12">
        <v>14949499</v>
      </c>
      <c r="O126" s="12">
        <v>15385622</v>
      </c>
      <c r="P126" s="11">
        <v>2.92</v>
      </c>
      <c r="Q126" s="12">
        <v>0</v>
      </c>
      <c r="R126" s="12">
        <v>0</v>
      </c>
      <c r="S126" s="12">
        <v>14949499</v>
      </c>
      <c r="T126" s="12">
        <v>15385622</v>
      </c>
      <c r="U126" s="12">
        <v>14949499</v>
      </c>
      <c r="V126" s="12">
        <v>15385622</v>
      </c>
      <c r="W126" s="12">
        <v>0</v>
      </c>
      <c r="X126" s="12">
        <v>0</v>
      </c>
      <c r="Y126" s="12">
        <v>1943</v>
      </c>
      <c r="Z126" s="12">
        <v>1960</v>
      </c>
      <c r="AA126" s="11">
        <v>0.87</v>
      </c>
      <c r="AB126" s="12">
        <v>665576</v>
      </c>
      <c r="AC126" s="12">
        <v>650000</v>
      </c>
      <c r="AD126" s="12">
        <v>596855</v>
      </c>
      <c r="AE126" s="12">
        <v>513269</v>
      </c>
      <c r="AF126" s="12">
        <v>2829941</v>
      </c>
      <c r="AG126" s="12">
        <v>2233086</v>
      </c>
      <c r="AH126" s="11">
        <v>6.77</v>
      </c>
      <c r="AI126" s="11">
        <v>5.2</v>
      </c>
      <c r="AJ126" s="13"/>
    </row>
    <row r="127" spans="1:36" x14ac:dyDescent="0.25">
      <c r="A127" t="str">
        <f>"580402"</f>
        <v>580402</v>
      </c>
      <c r="B127" t="s">
        <v>216</v>
      </c>
      <c r="C127" s="10">
        <v>66623073</v>
      </c>
      <c r="D127" s="10">
        <v>68466684</v>
      </c>
      <c r="E127" s="11">
        <v>2.77</v>
      </c>
      <c r="F127" s="12">
        <v>61338444</v>
      </c>
      <c r="G127" s="12">
        <v>63010283</v>
      </c>
      <c r="H127" s="12"/>
      <c r="I127" s="12"/>
      <c r="J127" s="12"/>
      <c r="K127" s="12"/>
      <c r="L127" s="12"/>
      <c r="M127" s="12"/>
      <c r="N127" s="12">
        <v>61338444</v>
      </c>
      <c r="O127" s="12">
        <v>63010283</v>
      </c>
      <c r="P127" s="11">
        <v>2.73</v>
      </c>
      <c r="Q127" s="12">
        <v>3218428</v>
      </c>
      <c r="R127" s="12">
        <v>3492550</v>
      </c>
      <c r="S127" s="12">
        <v>58120016</v>
      </c>
      <c r="T127" s="12">
        <v>59517733</v>
      </c>
      <c r="U127" s="12">
        <v>58120016</v>
      </c>
      <c r="V127" s="12">
        <v>59517733</v>
      </c>
      <c r="W127" s="12">
        <v>0</v>
      </c>
      <c r="X127" s="12">
        <v>0</v>
      </c>
      <c r="Y127" s="12">
        <v>1768</v>
      </c>
      <c r="Z127" s="12">
        <v>1702</v>
      </c>
      <c r="AA127" s="11">
        <v>-3.73</v>
      </c>
      <c r="AB127" s="12">
        <v>5383906</v>
      </c>
      <c r="AC127" s="12">
        <v>6045252</v>
      </c>
      <c r="AD127" s="12">
        <v>550000</v>
      </c>
      <c r="AE127" s="12">
        <v>550000</v>
      </c>
      <c r="AF127" s="12">
        <v>2658119</v>
      </c>
      <c r="AG127" s="12">
        <v>2738667</v>
      </c>
      <c r="AH127" s="11">
        <v>3.99</v>
      </c>
      <c r="AI127" s="11">
        <v>4</v>
      </c>
      <c r="AJ127" s="13"/>
    </row>
    <row r="128" spans="1:36" x14ac:dyDescent="0.25">
      <c r="A128" t="str">
        <f>"510501"</f>
        <v>510501</v>
      </c>
      <c r="B128" t="s">
        <v>217</v>
      </c>
      <c r="C128" s="10">
        <v>10610000</v>
      </c>
      <c r="D128" s="10">
        <v>10610000</v>
      </c>
      <c r="E128" s="11">
        <v>0</v>
      </c>
      <c r="F128" s="12">
        <v>7365000</v>
      </c>
      <c r="G128" s="12">
        <v>7490000</v>
      </c>
      <c r="H128" s="12"/>
      <c r="I128" s="12"/>
      <c r="J128" s="12"/>
      <c r="K128" s="12"/>
      <c r="L128" s="12"/>
      <c r="M128" s="12"/>
      <c r="N128" s="12">
        <v>7365000</v>
      </c>
      <c r="O128" s="12">
        <v>7490000</v>
      </c>
      <c r="P128" s="11">
        <v>1.7</v>
      </c>
      <c r="Q128" s="12">
        <v>543802</v>
      </c>
      <c r="R128" s="12">
        <v>512297</v>
      </c>
      <c r="S128" s="12">
        <v>6821220</v>
      </c>
      <c r="T128" s="12">
        <v>6979420</v>
      </c>
      <c r="U128" s="12">
        <v>6821198</v>
      </c>
      <c r="V128" s="12">
        <v>6977703</v>
      </c>
      <c r="W128" s="12">
        <v>22</v>
      </c>
      <c r="X128" s="12">
        <v>1717</v>
      </c>
      <c r="Y128" s="12">
        <v>325</v>
      </c>
      <c r="Z128" s="12">
        <v>347</v>
      </c>
      <c r="AA128" s="11">
        <v>6.77</v>
      </c>
      <c r="AB128" s="12">
        <v>2340813</v>
      </c>
      <c r="AC128" s="12">
        <v>2450000</v>
      </c>
      <c r="AD128" s="12">
        <v>415000</v>
      </c>
      <c r="AE128" s="12">
        <v>260000</v>
      </c>
      <c r="AF128" s="12">
        <v>203899</v>
      </c>
      <c r="AG128" s="12">
        <v>400000</v>
      </c>
      <c r="AH128" s="11">
        <v>1.92</v>
      </c>
      <c r="AI128" s="11">
        <v>3.77</v>
      </c>
      <c r="AJ128" s="13"/>
    </row>
    <row r="129" spans="1:36" x14ac:dyDescent="0.25">
      <c r="A129" t="str">
        <f>"580410"</f>
        <v>580410</v>
      </c>
      <c r="B129" t="s">
        <v>218</v>
      </c>
      <c r="C129" s="10">
        <v>190163464</v>
      </c>
      <c r="D129" s="10">
        <v>193222797</v>
      </c>
      <c r="E129" s="11">
        <v>1.61</v>
      </c>
      <c r="F129" s="12">
        <v>135075144</v>
      </c>
      <c r="G129" s="12">
        <v>138464368</v>
      </c>
      <c r="H129" s="12"/>
      <c r="I129" s="12"/>
      <c r="J129" s="12"/>
      <c r="K129" s="12"/>
      <c r="L129" s="12"/>
      <c r="M129" s="12"/>
      <c r="N129" s="12">
        <v>135075144</v>
      </c>
      <c r="O129" s="12">
        <v>138464368</v>
      </c>
      <c r="P129" s="11">
        <v>2.5099999999999998</v>
      </c>
      <c r="Q129" s="12">
        <v>4809730</v>
      </c>
      <c r="R129" s="12">
        <v>5682734</v>
      </c>
      <c r="S129" s="12">
        <v>130265414</v>
      </c>
      <c r="T129" s="12">
        <v>133317870</v>
      </c>
      <c r="U129" s="12">
        <v>130265414</v>
      </c>
      <c r="V129" s="12">
        <v>132781634</v>
      </c>
      <c r="W129" s="12">
        <v>0</v>
      </c>
      <c r="X129" s="12">
        <v>536236</v>
      </c>
      <c r="Y129" s="12">
        <v>6149</v>
      </c>
      <c r="Z129" s="12">
        <v>5964</v>
      </c>
      <c r="AA129" s="11">
        <v>-3.01</v>
      </c>
      <c r="AB129" s="12">
        <v>10267190</v>
      </c>
      <c r="AC129" s="12">
        <v>9817190</v>
      </c>
      <c r="AD129" s="12">
        <v>7879753</v>
      </c>
      <c r="AE129" s="12">
        <v>7101396</v>
      </c>
      <c r="AF129" s="12">
        <v>5185587</v>
      </c>
      <c r="AG129" s="12">
        <v>5185587</v>
      </c>
      <c r="AH129" s="11">
        <v>2.73</v>
      </c>
      <c r="AI129" s="11">
        <v>2.68</v>
      </c>
      <c r="AJ129" s="13"/>
    </row>
    <row r="130" spans="1:36" x14ac:dyDescent="0.25">
      <c r="A130" t="str">
        <f>"580507"</f>
        <v>580507</v>
      </c>
      <c r="B130" t="s">
        <v>219</v>
      </c>
      <c r="C130" s="10">
        <v>187403135</v>
      </c>
      <c r="D130" s="10">
        <v>192870820</v>
      </c>
      <c r="E130" s="11">
        <v>2.92</v>
      </c>
      <c r="F130" s="12">
        <v>122226866</v>
      </c>
      <c r="G130" s="12">
        <v>122226866</v>
      </c>
      <c r="H130" s="12"/>
      <c r="I130" s="12"/>
      <c r="J130" s="12"/>
      <c r="K130" s="12"/>
      <c r="L130" s="12"/>
      <c r="M130" s="12"/>
      <c r="N130" s="12">
        <v>122226866</v>
      </c>
      <c r="O130" s="12">
        <v>122226866</v>
      </c>
      <c r="P130" s="11">
        <v>0</v>
      </c>
      <c r="Q130" s="12">
        <v>409152</v>
      </c>
      <c r="R130" s="12">
        <v>2854733</v>
      </c>
      <c r="S130" s="12">
        <v>121817714</v>
      </c>
      <c r="T130" s="12">
        <v>124105843</v>
      </c>
      <c r="U130" s="12">
        <v>121817714</v>
      </c>
      <c r="V130" s="12">
        <v>119372133</v>
      </c>
      <c r="W130" s="12">
        <v>0</v>
      </c>
      <c r="X130" s="12">
        <v>4733710</v>
      </c>
      <c r="Y130" s="12">
        <v>5846</v>
      </c>
      <c r="Z130" s="12">
        <v>5647</v>
      </c>
      <c r="AA130" s="11">
        <v>-3.4</v>
      </c>
      <c r="AB130" s="12">
        <v>37895798</v>
      </c>
      <c r="AC130" s="12">
        <v>34486489</v>
      </c>
      <c r="AD130" s="12">
        <v>2639337</v>
      </c>
      <c r="AE130" s="12">
        <v>6640096</v>
      </c>
      <c r="AF130" s="12">
        <v>19268449</v>
      </c>
      <c r="AG130" s="12">
        <v>13538132</v>
      </c>
      <c r="AH130" s="11">
        <v>10.28</v>
      </c>
      <c r="AI130" s="11">
        <v>7.02</v>
      </c>
      <c r="AJ130" s="13"/>
    </row>
    <row r="131" spans="1:36" x14ac:dyDescent="0.25">
      <c r="A131" t="str">
        <f>"471701"</f>
        <v>471701</v>
      </c>
      <c r="B131" t="s">
        <v>220</v>
      </c>
      <c r="C131" s="10">
        <v>19061937</v>
      </c>
      <c r="D131" s="10">
        <v>19700938</v>
      </c>
      <c r="E131" s="11">
        <v>3.35</v>
      </c>
      <c r="F131" s="12">
        <v>11690399</v>
      </c>
      <c r="G131" s="12">
        <v>11928239</v>
      </c>
      <c r="H131" s="12"/>
      <c r="I131" s="12"/>
      <c r="J131" s="12"/>
      <c r="K131" s="12"/>
      <c r="L131" s="12"/>
      <c r="M131" s="12"/>
      <c r="N131" s="12">
        <v>11690399</v>
      </c>
      <c r="O131" s="12">
        <v>11928239</v>
      </c>
      <c r="P131" s="11">
        <v>2.0299999999999998</v>
      </c>
      <c r="Q131" s="12">
        <v>662454</v>
      </c>
      <c r="R131" s="12">
        <v>656423</v>
      </c>
      <c r="S131" s="12">
        <v>11027946</v>
      </c>
      <c r="T131" s="12">
        <v>11928239</v>
      </c>
      <c r="U131" s="12">
        <v>11027945</v>
      </c>
      <c r="V131" s="12">
        <v>11271816</v>
      </c>
      <c r="W131" s="12">
        <v>1</v>
      </c>
      <c r="X131" s="12">
        <v>656423</v>
      </c>
      <c r="Y131" s="12">
        <v>892</v>
      </c>
      <c r="Z131" s="12">
        <v>880</v>
      </c>
      <c r="AA131" s="11">
        <v>-1.35</v>
      </c>
      <c r="AB131" s="12">
        <v>1343277</v>
      </c>
      <c r="AC131" s="12">
        <v>1267610</v>
      </c>
      <c r="AD131" s="12">
        <v>650000</v>
      </c>
      <c r="AE131" s="12">
        <v>714328</v>
      </c>
      <c r="AF131" s="12">
        <v>762477</v>
      </c>
      <c r="AG131" s="12">
        <v>788038</v>
      </c>
      <c r="AH131" s="11">
        <v>4</v>
      </c>
      <c r="AI131" s="11">
        <v>4</v>
      </c>
      <c r="AJ131" s="13"/>
    </row>
    <row r="132" spans="1:36" x14ac:dyDescent="0.25">
      <c r="A132" t="str">
        <f>"230201"</f>
        <v>230201</v>
      </c>
      <c r="B132" t="s">
        <v>221</v>
      </c>
      <c r="C132" s="10">
        <v>10358620</v>
      </c>
      <c r="D132" s="10">
        <v>10475405</v>
      </c>
      <c r="E132" s="11">
        <v>1.1299999999999999</v>
      </c>
      <c r="F132" s="12">
        <v>1719185</v>
      </c>
      <c r="G132" s="12">
        <v>1753569</v>
      </c>
      <c r="H132" s="12"/>
      <c r="I132" s="12"/>
      <c r="J132" s="12"/>
      <c r="K132" s="12"/>
      <c r="L132" s="12"/>
      <c r="M132" s="12"/>
      <c r="N132" s="12">
        <v>1719185</v>
      </c>
      <c r="O132" s="12">
        <v>1753569</v>
      </c>
      <c r="P132" s="11">
        <v>2</v>
      </c>
      <c r="Q132" s="12">
        <v>346974</v>
      </c>
      <c r="R132" s="12">
        <v>346947</v>
      </c>
      <c r="S132" s="12">
        <v>1376160</v>
      </c>
      <c r="T132" s="12">
        <v>1409828</v>
      </c>
      <c r="U132" s="12">
        <v>1372211</v>
      </c>
      <c r="V132" s="12">
        <v>1406622</v>
      </c>
      <c r="W132" s="12">
        <v>3949</v>
      </c>
      <c r="X132" s="12">
        <v>3206</v>
      </c>
      <c r="Y132" s="12">
        <v>481</v>
      </c>
      <c r="Z132" s="12">
        <v>497</v>
      </c>
      <c r="AA132" s="11">
        <v>3.33</v>
      </c>
      <c r="AB132" s="12">
        <v>606155</v>
      </c>
      <c r="AC132" s="12">
        <v>606155</v>
      </c>
      <c r="AD132" s="12">
        <v>400829</v>
      </c>
      <c r="AE132" s="12">
        <v>299833</v>
      </c>
      <c r="AF132" s="12">
        <v>1187509</v>
      </c>
      <c r="AG132" s="12">
        <v>1132509</v>
      </c>
      <c r="AH132" s="11">
        <v>11.46</v>
      </c>
      <c r="AI132" s="11">
        <v>10.81</v>
      </c>
      <c r="AJ132" s="13"/>
    </row>
    <row r="133" spans="1:36" x14ac:dyDescent="0.25">
      <c r="A133" t="str">
        <f>"580105"</f>
        <v>580105</v>
      </c>
      <c r="B133" t="s">
        <v>222</v>
      </c>
      <c r="C133" s="10">
        <v>118569805</v>
      </c>
      <c r="D133" s="10">
        <v>129306488</v>
      </c>
      <c r="E133" s="11">
        <v>9.06</v>
      </c>
      <c r="F133" s="12">
        <v>60554308</v>
      </c>
      <c r="G133" s="12">
        <v>62465062</v>
      </c>
      <c r="H133" s="12"/>
      <c r="I133" s="12"/>
      <c r="J133" s="12"/>
      <c r="K133" s="12"/>
      <c r="L133" s="12"/>
      <c r="M133" s="12"/>
      <c r="N133" s="12">
        <v>60554308</v>
      </c>
      <c r="O133" s="12">
        <v>62465062</v>
      </c>
      <c r="P133" s="11">
        <v>3.16</v>
      </c>
      <c r="Q133" s="12">
        <v>504447</v>
      </c>
      <c r="R133" s="12">
        <v>976904</v>
      </c>
      <c r="S133" s="12">
        <v>60049861</v>
      </c>
      <c r="T133" s="12">
        <v>61488158</v>
      </c>
      <c r="U133" s="12">
        <v>60049861</v>
      </c>
      <c r="V133" s="12">
        <v>61488158</v>
      </c>
      <c r="W133" s="12">
        <v>0</v>
      </c>
      <c r="X133" s="12">
        <v>0</v>
      </c>
      <c r="Y133" s="12">
        <v>4975</v>
      </c>
      <c r="Z133" s="12">
        <v>5003</v>
      </c>
      <c r="AA133" s="11">
        <v>0.56000000000000005</v>
      </c>
      <c r="AB133" s="12">
        <v>6025000</v>
      </c>
      <c r="AC133" s="12">
        <v>4375000</v>
      </c>
      <c r="AD133" s="12">
        <v>1288500</v>
      </c>
      <c r="AE133" s="12">
        <v>1100000</v>
      </c>
      <c r="AF133" s="12">
        <v>5150000</v>
      </c>
      <c r="AG133" s="12">
        <v>5325000</v>
      </c>
      <c r="AH133" s="11">
        <v>4.34</v>
      </c>
      <c r="AI133" s="11">
        <v>4.12</v>
      </c>
      <c r="AJ133" s="13"/>
    </row>
    <row r="134" spans="1:36" x14ac:dyDescent="0.25">
      <c r="A134" t="str">
        <f>"520401"</f>
        <v>520401</v>
      </c>
      <c r="B134" t="s">
        <v>223</v>
      </c>
      <c r="C134" s="10">
        <v>21100460</v>
      </c>
      <c r="D134" s="10">
        <v>21845805</v>
      </c>
      <c r="E134" s="11">
        <v>3.53</v>
      </c>
      <c r="F134" s="12">
        <v>8952960</v>
      </c>
      <c r="G134" s="12">
        <v>9200000</v>
      </c>
      <c r="H134" s="12"/>
      <c r="I134" s="12"/>
      <c r="J134" s="12"/>
      <c r="K134" s="12"/>
      <c r="L134" s="12"/>
      <c r="M134" s="12"/>
      <c r="N134" s="12">
        <v>8952960</v>
      </c>
      <c r="O134" s="12">
        <v>9200000</v>
      </c>
      <c r="P134" s="11">
        <v>2.76</v>
      </c>
      <c r="Q134" s="12">
        <v>287485</v>
      </c>
      <c r="R134" s="12">
        <v>316050</v>
      </c>
      <c r="S134" s="12">
        <v>8869906</v>
      </c>
      <c r="T134" s="12">
        <v>8888197</v>
      </c>
      <c r="U134" s="12">
        <v>8665475</v>
      </c>
      <c r="V134" s="12">
        <v>8883950</v>
      </c>
      <c r="W134" s="12">
        <v>204431</v>
      </c>
      <c r="X134" s="12">
        <v>4247</v>
      </c>
      <c r="Y134" s="12">
        <v>1170</v>
      </c>
      <c r="Z134" s="12">
        <v>1170</v>
      </c>
      <c r="AA134" s="11">
        <v>0</v>
      </c>
      <c r="AB134" s="12">
        <v>1981223</v>
      </c>
      <c r="AC134" s="12">
        <v>2175000</v>
      </c>
      <c r="AD134" s="12">
        <v>100000</v>
      </c>
      <c r="AE134" s="12">
        <v>235940</v>
      </c>
      <c r="AF134" s="12">
        <v>829030</v>
      </c>
      <c r="AG134" s="12">
        <v>875000</v>
      </c>
      <c r="AH134" s="11">
        <v>3.93</v>
      </c>
      <c r="AI134" s="11">
        <v>4.01</v>
      </c>
      <c r="AJ134" s="13"/>
    </row>
    <row r="135" spans="1:36" x14ac:dyDescent="0.25">
      <c r="A135" t="str">
        <f>"571000"</f>
        <v>571000</v>
      </c>
      <c r="B135" t="s">
        <v>224</v>
      </c>
      <c r="C135" s="10">
        <v>106778204</v>
      </c>
      <c r="D135" s="10">
        <v>110778304</v>
      </c>
      <c r="E135" s="11">
        <v>3.75</v>
      </c>
      <c r="F135" s="12">
        <v>51854114</v>
      </c>
      <c r="G135" s="12">
        <v>52941672</v>
      </c>
      <c r="H135" s="12"/>
      <c r="I135" s="12"/>
      <c r="J135" s="12"/>
      <c r="K135" s="12"/>
      <c r="L135" s="12"/>
      <c r="M135" s="12"/>
      <c r="N135" s="12">
        <v>51854114</v>
      </c>
      <c r="O135" s="12">
        <v>52941672</v>
      </c>
      <c r="P135" s="11">
        <v>2.1</v>
      </c>
      <c r="Q135" s="12">
        <v>2286630</v>
      </c>
      <c r="R135" s="12">
        <v>2286630</v>
      </c>
      <c r="S135" s="12">
        <v>49567484</v>
      </c>
      <c r="T135" s="12">
        <v>50655042</v>
      </c>
      <c r="U135" s="12">
        <v>49567484</v>
      </c>
      <c r="V135" s="12">
        <v>50655042</v>
      </c>
      <c r="W135" s="12">
        <v>0</v>
      </c>
      <c r="X135" s="12">
        <v>0</v>
      </c>
      <c r="Y135" s="12">
        <v>4762</v>
      </c>
      <c r="Z135" s="12">
        <v>4761</v>
      </c>
      <c r="AA135" s="11">
        <v>-0.02</v>
      </c>
      <c r="AB135" s="12">
        <v>9393836</v>
      </c>
      <c r="AC135" s="12">
        <v>9776401</v>
      </c>
      <c r="AD135" s="12">
        <v>1300000</v>
      </c>
      <c r="AE135" s="12">
        <v>1663683</v>
      </c>
      <c r="AF135" s="12">
        <v>4271128</v>
      </c>
      <c r="AG135" s="12">
        <v>4431132</v>
      </c>
      <c r="AH135" s="11">
        <v>4</v>
      </c>
      <c r="AI135" s="11">
        <v>4</v>
      </c>
      <c r="AJ135" s="13"/>
    </row>
    <row r="136" spans="1:36" x14ac:dyDescent="0.25">
      <c r="A136" t="str">
        <f>"440301"</f>
        <v>440301</v>
      </c>
      <c r="B136" t="s">
        <v>225</v>
      </c>
      <c r="C136" s="10">
        <v>69299259</v>
      </c>
      <c r="D136" s="10">
        <v>71475146</v>
      </c>
      <c r="E136" s="11">
        <v>3.14</v>
      </c>
      <c r="F136" s="12">
        <v>46828079</v>
      </c>
      <c r="G136" s="12">
        <v>48308736</v>
      </c>
      <c r="H136" s="12"/>
      <c r="I136" s="12"/>
      <c r="J136" s="12"/>
      <c r="K136" s="12"/>
      <c r="L136" s="12"/>
      <c r="M136" s="12"/>
      <c r="N136" s="12">
        <v>46828079</v>
      </c>
      <c r="O136" s="12">
        <v>48308736</v>
      </c>
      <c r="P136" s="11">
        <v>3.16</v>
      </c>
      <c r="Q136" s="12">
        <v>1277366</v>
      </c>
      <c r="R136" s="12">
        <v>1305487</v>
      </c>
      <c r="S136" s="12">
        <v>45550713</v>
      </c>
      <c r="T136" s="12">
        <v>47027097</v>
      </c>
      <c r="U136" s="12">
        <v>45550713</v>
      </c>
      <c r="V136" s="12">
        <v>47003249</v>
      </c>
      <c r="W136" s="12">
        <v>0</v>
      </c>
      <c r="X136" s="12">
        <v>23848</v>
      </c>
      <c r="Y136" s="12">
        <v>3253</v>
      </c>
      <c r="Z136" s="12">
        <v>3285</v>
      </c>
      <c r="AA136" s="11">
        <v>0.98</v>
      </c>
      <c r="AB136" s="12">
        <v>1113565</v>
      </c>
      <c r="AC136" s="12">
        <v>1365000</v>
      </c>
      <c r="AD136" s="12">
        <v>2914367</v>
      </c>
      <c r="AE136" s="12">
        <v>2650000</v>
      </c>
      <c r="AF136" s="12">
        <v>2772001</v>
      </c>
      <c r="AG136" s="12">
        <v>2857205</v>
      </c>
      <c r="AH136" s="11">
        <v>4</v>
      </c>
      <c r="AI136" s="11">
        <v>4</v>
      </c>
      <c r="AJ136" s="13"/>
    </row>
    <row r="137" spans="1:36" x14ac:dyDescent="0.25">
      <c r="A137" t="str">
        <f>"110200"</f>
        <v>110200</v>
      </c>
      <c r="B137" t="s">
        <v>226</v>
      </c>
      <c r="C137" s="10">
        <v>49576887</v>
      </c>
      <c r="D137" s="10">
        <v>49576887</v>
      </c>
      <c r="E137" s="11">
        <v>0</v>
      </c>
      <c r="F137" s="12">
        <v>17006932</v>
      </c>
      <c r="G137" s="12">
        <v>17215372</v>
      </c>
      <c r="H137" s="12"/>
      <c r="I137" s="12"/>
      <c r="J137" s="12"/>
      <c r="K137" s="12"/>
      <c r="L137" s="12"/>
      <c r="M137" s="12"/>
      <c r="N137" s="12">
        <v>17006932</v>
      </c>
      <c r="O137" s="12">
        <v>17215372</v>
      </c>
      <c r="P137" s="11">
        <v>1.23</v>
      </c>
      <c r="Q137" s="12">
        <v>883883</v>
      </c>
      <c r="R137" s="12">
        <v>745625</v>
      </c>
      <c r="S137" s="12">
        <v>16123195</v>
      </c>
      <c r="T137" s="12">
        <v>16469747</v>
      </c>
      <c r="U137" s="12">
        <v>16123049</v>
      </c>
      <c r="V137" s="12">
        <v>16469747</v>
      </c>
      <c r="W137" s="12">
        <v>146</v>
      </c>
      <c r="X137" s="12">
        <v>0</v>
      </c>
      <c r="Y137" s="12">
        <v>2352</v>
      </c>
      <c r="Z137" s="12">
        <v>2321</v>
      </c>
      <c r="AA137" s="11">
        <v>-1.32</v>
      </c>
      <c r="AB137" s="12">
        <v>4818811</v>
      </c>
      <c r="AC137" s="12">
        <v>3568124</v>
      </c>
      <c r="AD137" s="12">
        <v>500000</v>
      </c>
      <c r="AE137" s="12">
        <v>500000</v>
      </c>
      <c r="AF137" s="12">
        <v>928546</v>
      </c>
      <c r="AG137" s="12">
        <v>713877</v>
      </c>
      <c r="AH137" s="11">
        <v>1.87</v>
      </c>
      <c r="AI137" s="11">
        <v>1.44</v>
      </c>
      <c r="AJ137" s="13"/>
    </row>
    <row r="138" spans="1:36" x14ac:dyDescent="0.25">
      <c r="A138" t="str">
        <f>"190501"</f>
        <v>190501</v>
      </c>
      <c r="B138" t="s">
        <v>227</v>
      </c>
      <c r="C138" s="10">
        <v>30841922</v>
      </c>
      <c r="D138" s="10">
        <v>31302237</v>
      </c>
      <c r="E138" s="11">
        <v>1.49</v>
      </c>
      <c r="F138" s="12">
        <v>16992750</v>
      </c>
      <c r="G138" s="12">
        <v>17283770</v>
      </c>
      <c r="H138" s="12"/>
      <c r="I138" s="12"/>
      <c r="J138" s="12"/>
      <c r="K138" s="12"/>
      <c r="L138" s="12"/>
      <c r="M138" s="12"/>
      <c r="N138" s="12">
        <v>16992750</v>
      </c>
      <c r="O138" s="12">
        <v>17283770</v>
      </c>
      <c r="P138" s="11">
        <v>1.71</v>
      </c>
      <c r="Q138" s="12">
        <v>503280</v>
      </c>
      <c r="R138" s="12">
        <v>278584</v>
      </c>
      <c r="S138" s="12">
        <v>16992750</v>
      </c>
      <c r="T138" s="12">
        <v>17283770</v>
      </c>
      <c r="U138" s="12">
        <v>16489470</v>
      </c>
      <c r="V138" s="12">
        <v>17005186</v>
      </c>
      <c r="W138" s="12">
        <v>503280</v>
      </c>
      <c r="X138" s="12">
        <v>278584</v>
      </c>
      <c r="Y138" s="12">
        <v>1328</v>
      </c>
      <c r="Z138" s="12">
        <v>1325</v>
      </c>
      <c r="AA138" s="11">
        <v>-0.23</v>
      </c>
      <c r="AB138" s="12">
        <v>2234966</v>
      </c>
      <c r="AC138" s="12">
        <v>2340845</v>
      </c>
      <c r="AD138" s="12">
        <v>1875000</v>
      </c>
      <c r="AE138" s="12">
        <v>2165000</v>
      </c>
      <c r="AF138" s="12">
        <v>1353913</v>
      </c>
      <c r="AG138" s="12">
        <v>1400000</v>
      </c>
      <c r="AH138" s="11">
        <v>4.3899999999999997</v>
      </c>
      <c r="AI138" s="11">
        <v>4.47</v>
      </c>
      <c r="AJ138" s="13"/>
    </row>
    <row r="139" spans="1:36" x14ac:dyDescent="0.25">
      <c r="A139" t="str">
        <f>"660202"</f>
        <v>660202</v>
      </c>
      <c r="B139" t="s">
        <v>228</v>
      </c>
      <c r="C139" s="10">
        <v>46499826</v>
      </c>
      <c r="D139" s="10">
        <v>47172204</v>
      </c>
      <c r="E139" s="11">
        <v>1.45</v>
      </c>
      <c r="F139" s="12">
        <v>38623465</v>
      </c>
      <c r="G139" s="12">
        <v>39080561</v>
      </c>
      <c r="H139" s="12"/>
      <c r="I139" s="12"/>
      <c r="J139" s="12"/>
      <c r="K139" s="12"/>
      <c r="L139" s="12"/>
      <c r="M139" s="12"/>
      <c r="N139" s="12">
        <v>38623465</v>
      </c>
      <c r="O139" s="12">
        <v>39080561</v>
      </c>
      <c r="P139" s="11">
        <v>1.18</v>
      </c>
      <c r="Q139" s="12">
        <v>2420371</v>
      </c>
      <c r="R139" s="12">
        <v>2128197</v>
      </c>
      <c r="S139" s="12">
        <v>36817037</v>
      </c>
      <c r="T139" s="12">
        <v>37045344</v>
      </c>
      <c r="U139" s="12">
        <v>36203094</v>
      </c>
      <c r="V139" s="12">
        <v>36952364</v>
      </c>
      <c r="W139" s="12">
        <v>613943</v>
      </c>
      <c r="X139" s="12">
        <v>92980</v>
      </c>
      <c r="Y139" s="12">
        <v>1626</v>
      </c>
      <c r="Z139" s="12">
        <v>1594</v>
      </c>
      <c r="AA139" s="11">
        <v>-1.97</v>
      </c>
      <c r="AB139" s="12">
        <v>13419655</v>
      </c>
      <c r="AC139" s="12">
        <v>14441655</v>
      </c>
      <c r="AD139" s="12">
        <v>1536528</v>
      </c>
      <c r="AE139" s="12">
        <v>1545000</v>
      </c>
      <c r="AF139" s="12">
        <v>1850961</v>
      </c>
      <c r="AG139" s="12">
        <v>1886888</v>
      </c>
      <c r="AH139" s="11">
        <v>3.98</v>
      </c>
      <c r="AI139" s="11">
        <v>4</v>
      </c>
      <c r="AJ139" s="13"/>
    </row>
    <row r="140" spans="1:36" x14ac:dyDescent="0.25">
      <c r="A140" t="str">
        <f>"150203"</f>
        <v>150203</v>
      </c>
      <c r="B140" t="s">
        <v>229</v>
      </c>
      <c r="C140" s="10">
        <v>7765590</v>
      </c>
      <c r="D140" s="10">
        <v>7504092</v>
      </c>
      <c r="E140" s="11">
        <v>-3.37</v>
      </c>
      <c r="F140" s="12">
        <v>1594145</v>
      </c>
      <c r="G140" s="12">
        <v>1625868</v>
      </c>
      <c r="H140" s="12"/>
      <c r="I140" s="12"/>
      <c r="J140" s="12"/>
      <c r="K140" s="12"/>
      <c r="L140" s="12"/>
      <c r="M140" s="12"/>
      <c r="N140" s="12">
        <v>1594145</v>
      </c>
      <c r="O140" s="12">
        <v>1625868</v>
      </c>
      <c r="P140" s="11">
        <v>1.99</v>
      </c>
      <c r="Q140" s="12">
        <v>0</v>
      </c>
      <c r="R140" s="12">
        <v>0</v>
      </c>
      <c r="S140" s="12">
        <v>1609906</v>
      </c>
      <c r="T140" s="12">
        <v>1647155</v>
      </c>
      <c r="U140" s="12">
        <v>1594145</v>
      </c>
      <c r="V140" s="12">
        <v>1625868</v>
      </c>
      <c r="W140" s="12">
        <v>15761</v>
      </c>
      <c r="X140" s="12">
        <v>21287</v>
      </c>
      <c r="Y140" s="12">
        <v>281</v>
      </c>
      <c r="Z140" s="12">
        <v>299</v>
      </c>
      <c r="AA140" s="11">
        <v>6.41</v>
      </c>
      <c r="AB140" s="12">
        <v>312755</v>
      </c>
      <c r="AC140" s="12">
        <v>310000</v>
      </c>
      <c r="AD140" s="12">
        <v>1161912</v>
      </c>
      <c r="AE140" s="12">
        <v>792634</v>
      </c>
      <c r="AF140" s="12">
        <v>358139</v>
      </c>
      <c r="AG140" s="12">
        <v>250000</v>
      </c>
      <c r="AH140" s="11">
        <v>4.6100000000000003</v>
      </c>
      <c r="AI140" s="11">
        <v>3.33</v>
      </c>
      <c r="AJ140" s="13"/>
    </row>
    <row r="141" spans="1:36" x14ac:dyDescent="0.25">
      <c r="A141" t="str">
        <f>"022302"</f>
        <v>022302</v>
      </c>
      <c r="B141" t="s">
        <v>230</v>
      </c>
      <c r="C141" s="10">
        <v>21083482</v>
      </c>
      <c r="D141" s="10">
        <v>21776044</v>
      </c>
      <c r="E141" s="11">
        <v>3.28</v>
      </c>
      <c r="F141" s="12">
        <v>5900659</v>
      </c>
      <c r="G141" s="12">
        <v>6012772</v>
      </c>
      <c r="H141" s="12"/>
      <c r="I141" s="12"/>
      <c r="J141" s="12"/>
      <c r="K141" s="12"/>
      <c r="L141" s="12"/>
      <c r="M141" s="12"/>
      <c r="N141" s="12">
        <v>5900659</v>
      </c>
      <c r="O141" s="12">
        <v>6012772</v>
      </c>
      <c r="P141" s="11">
        <v>1.9</v>
      </c>
      <c r="Q141" s="12">
        <v>526727</v>
      </c>
      <c r="R141" s="12">
        <v>586154</v>
      </c>
      <c r="S141" s="12">
        <v>5373935</v>
      </c>
      <c r="T141" s="12">
        <v>5503149</v>
      </c>
      <c r="U141" s="12">
        <v>5373932</v>
      </c>
      <c r="V141" s="12">
        <v>5426618</v>
      </c>
      <c r="W141" s="12">
        <v>3</v>
      </c>
      <c r="X141" s="12">
        <v>76531</v>
      </c>
      <c r="Y141" s="12">
        <v>930</v>
      </c>
      <c r="Z141" s="12">
        <v>930</v>
      </c>
      <c r="AA141" s="11">
        <v>0</v>
      </c>
      <c r="AB141" s="12">
        <v>4212656</v>
      </c>
      <c r="AC141" s="12">
        <v>4412656</v>
      </c>
      <c r="AD141" s="12">
        <v>1172885</v>
      </c>
      <c r="AE141" s="12">
        <v>920020</v>
      </c>
      <c r="AF141" s="12">
        <v>2788201</v>
      </c>
      <c r="AG141" s="12">
        <v>2060000</v>
      </c>
      <c r="AH141" s="11">
        <v>13.22</v>
      </c>
      <c r="AI141" s="11">
        <v>9.4600000000000009</v>
      </c>
      <c r="AJ141" s="13"/>
    </row>
    <row r="142" spans="1:36" x14ac:dyDescent="0.25">
      <c r="A142" t="str">
        <f>"241101"</f>
        <v>241101</v>
      </c>
      <c r="B142" t="s">
        <v>231</v>
      </c>
      <c r="C142" s="10">
        <v>19398080</v>
      </c>
      <c r="D142" s="10">
        <v>17844969</v>
      </c>
      <c r="E142" s="11">
        <v>-8.01</v>
      </c>
      <c r="F142" s="12">
        <v>4817456</v>
      </c>
      <c r="G142" s="12">
        <v>4918244</v>
      </c>
      <c r="H142" s="12"/>
      <c r="I142" s="12"/>
      <c r="J142" s="12"/>
      <c r="K142" s="12"/>
      <c r="L142" s="12"/>
      <c r="M142" s="12"/>
      <c r="N142" s="12">
        <v>4817456</v>
      </c>
      <c r="O142" s="12">
        <v>4918244</v>
      </c>
      <c r="P142" s="11">
        <v>2.09</v>
      </c>
      <c r="Q142" s="12">
        <v>0</v>
      </c>
      <c r="R142" s="12">
        <v>0</v>
      </c>
      <c r="S142" s="12">
        <v>4817456</v>
      </c>
      <c r="T142" s="12">
        <v>4918244</v>
      </c>
      <c r="U142" s="12">
        <v>4817456</v>
      </c>
      <c r="V142" s="12">
        <v>4918244</v>
      </c>
      <c r="W142" s="12">
        <v>0</v>
      </c>
      <c r="X142" s="12">
        <v>0</v>
      </c>
      <c r="Y142" s="12">
        <v>660</v>
      </c>
      <c r="Z142" s="12">
        <v>645</v>
      </c>
      <c r="AA142" s="11">
        <v>-2.27</v>
      </c>
      <c r="AB142" s="12">
        <v>6601632</v>
      </c>
      <c r="AC142" s="12">
        <v>7634273</v>
      </c>
      <c r="AD142" s="12">
        <v>300000</v>
      </c>
      <c r="AE142" s="12">
        <v>300000</v>
      </c>
      <c r="AF142" s="12">
        <v>775923</v>
      </c>
      <c r="AG142" s="12">
        <v>713799</v>
      </c>
      <c r="AH142" s="11">
        <v>4</v>
      </c>
      <c r="AI142" s="11">
        <v>4</v>
      </c>
      <c r="AJ142" s="13"/>
    </row>
    <row r="143" spans="1:36" x14ac:dyDescent="0.25">
      <c r="A143" t="str">
        <f>"241001"</f>
        <v>241001</v>
      </c>
      <c r="B143" t="s">
        <v>232</v>
      </c>
      <c r="C143" s="10">
        <v>34020648</v>
      </c>
      <c r="D143" s="10">
        <v>31264658</v>
      </c>
      <c r="E143" s="11">
        <v>-8.1</v>
      </c>
      <c r="F143" s="12">
        <v>8196392</v>
      </c>
      <c r="G143" s="12">
        <v>8343107</v>
      </c>
      <c r="H143" s="12"/>
      <c r="I143" s="12"/>
      <c r="J143" s="12"/>
      <c r="K143" s="12"/>
      <c r="L143" s="12"/>
      <c r="M143" s="12"/>
      <c r="N143" s="12">
        <v>8196392</v>
      </c>
      <c r="O143" s="12">
        <v>8343107</v>
      </c>
      <c r="P143" s="11">
        <v>1.79</v>
      </c>
      <c r="Q143" s="12">
        <v>0</v>
      </c>
      <c r="R143" s="12">
        <v>0</v>
      </c>
      <c r="S143" s="12">
        <v>8196505</v>
      </c>
      <c r="T143" s="12">
        <v>8392007</v>
      </c>
      <c r="U143" s="12">
        <v>8196392</v>
      </c>
      <c r="V143" s="12">
        <v>8343107</v>
      </c>
      <c r="W143" s="12">
        <v>113</v>
      </c>
      <c r="X143" s="12">
        <v>48900</v>
      </c>
      <c r="Y143" s="12">
        <v>1507</v>
      </c>
      <c r="Z143" s="12">
        <v>1571</v>
      </c>
      <c r="AA143" s="11">
        <v>4.25</v>
      </c>
      <c r="AB143" s="12">
        <v>6564030</v>
      </c>
      <c r="AC143" s="12">
        <v>6564030</v>
      </c>
      <c r="AD143" s="12">
        <v>1235547</v>
      </c>
      <c r="AE143" s="12">
        <v>1054611</v>
      </c>
      <c r="AF143" s="12">
        <v>1360825</v>
      </c>
      <c r="AG143" s="12">
        <v>1250586</v>
      </c>
      <c r="AH143" s="11">
        <v>4</v>
      </c>
      <c r="AI143" s="11">
        <v>4</v>
      </c>
      <c r="AJ143" s="13"/>
    </row>
    <row r="144" spans="1:36" x14ac:dyDescent="0.25">
      <c r="A144" t="str">
        <f>"580107"</f>
        <v>580107</v>
      </c>
      <c r="B144" t="s">
        <v>233</v>
      </c>
      <c r="C144" s="10">
        <v>109164588</v>
      </c>
      <c r="D144" s="10">
        <v>112508977</v>
      </c>
      <c r="E144" s="11">
        <v>3.06</v>
      </c>
      <c r="F144" s="12">
        <v>69274466</v>
      </c>
      <c r="G144" s="12">
        <v>70806838</v>
      </c>
      <c r="H144" s="12"/>
      <c r="I144" s="12"/>
      <c r="J144" s="12"/>
      <c r="K144" s="12"/>
      <c r="L144" s="12"/>
      <c r="M144" s="12"/>
      <c r="N144" s="12">
        <v>69274466</v>
      </c>
      <c r="O144" s="12">
        <v>70806838</v>
      </c>
      <c r="P144" s="11">
        <v>2.21</v>
      </c>
      <c r="Q144" s="12">
        <v>1195316</v>
      </c>
      <c r="R144" s="12">
        <v>1375005</v>
      </c>
      <c r="S144" s="12">
        <v>68079150</v>
      </c>
      <c r="T144" s="12">
        <v>69431833</v>
      </c>
      <c r="U144" s="12">
        <v>68079150</v>
      </c>
      <c r="V144" s="12">
        <v>69431833</v>
      </c>
      <c r="W144" s="12">
        <v>0</v>
      </c>
      <c r="X144" s="12">
        <v>0</v>
      </c>
      <c r="Y144" s="12">
        <v>4129</v>
      </c>
      <c r="Z144" s="12">
        <v>4033</v>
      </c>
      <c r="AA144" s="11">
        <v>-2.33</v>
      </c>
      <c r="AB144" s="12">
        <v>7051942</v>
      </c>
      <c r="AC144" s="12">
        <v>6886018</v>
      </c>
      <c r="AD144" s="12">
        <v>4751590</v>
      </c>
      <c r="AE144" s="12">
        <v>4291306</v>
      </c>
      <c r="AF144" s="12">
        <v>2300352</v>
      </c>
      <c r="AG144" s="12">
        <v>2594712</v>
      </c>
      <c r="AH144" s="11">
        <v>2.11</v>
      </c>
      <c r="AI144" s="11">
        <v>2.31</v>
      </c>
      <c r="AJ144" s="13"/>
    </row>
    <row r="145" spans="1:36" x14ac:dyDescent="0.25">
      <c r="A145" t="str">
        <f>"120501"</f>
        <v>120501</v>
      </c>
      <c r="B145" t="s">
        <v>234</v>
      </c>
      <c r="C145" s="10">
        <v>20108665</v>
      </c>
      <c r="D145" s="10">
        <v>19934177</v>
      </c>
      <c r="E145" s="11">
        <v>-0.87</v>
      </c>
      <c r="F145" s="12">
        <v>9235538</v>
      </c>
      <c r="G145" s="12">
        <v>9350982</v>
      </c>
      <c r="H145" s="12"/>
      <c r="I145" s="12"/>
      <c r="J145" s="12"/>
      <c r="K145" s="12"/>
      <c r="L145" s="12"/>
      <c r="M145" s="12"/>
      <c r="N145" s="12">
        <v>9235538</v>
      </c>
      <c r="O145" s="12">
        <v>9350982</v>
      </c>
      <c r="P145" s="11">
        <v>1.25</v>
      </c>
      <c r="Q145" s="12">
        <v>0</v>
      </c>
      <c r="R145" s="12">
        <v>0</v>
      </c>
      <c r="S145" s="12">
        <v>9500791</v>
      </c>
      <c r="T145" s="12">
        <v>9504478</v>
      </c>
      <c r="U145" s="12">
        <v>9235538</v>
      </c>
      <c r="V145" s="12">
        <v>9350982</v>
      </c>
      <c r="W145" s="12">
        <v>265253</v>
      </c>
      <c r="X145" s="12">
        <v>153496</v>
      </c>
      <c r="Y145" s="12">
        <v>742</v>
      </c>
      <c r="Z145" s="12">
        <v>767</v>
      </c>
      <c r="AA145" s="11">
        <v>3.37</v>
      </c>
      <c r="AB145" s="12">
        <v>2182792</v>
      </c>
      <c r="AC145" s="12">
        <v>2200000</v>
      </c>
      <c r="AD145" s="12">
        <v>762826</v>
      </c>
      <c r="AE145" s="12">
        <v>760000</v>
      </c>
      <c r="AF145" s="12">
        <v>800000</v>
      </c>
      <c r="AG145" s="12">
        <v>800000</v>
      </c>
      <c r="AH145" s="11">
        <v>3.98</v>
      </c>
      <c r="AI145" s="11">
        <v>4.01</v>
      </c>
      <c r="AJ145" s="13"/>
    </row>
    <row r="146" spans="1:36" x14ac:dyDescent="0.25">
      <c r="A146" t="str">
        <f>"140707"</f>
        <v>140707</v>
      </c>
      <c r="B146" t="s">
        <v>235</v>
      </c>
      <c r="C146" s="10">
        <v>42840728</v>
      </c>
      <c r="D146" s="10">
        <v>43676417</v>
      </c>
      <c r="E146" s="11">
        <v>1.95</v>
      </c>
      <c r="F146" s="12">
        <v>17558919</v>
      </c>
      <c r="G146" s="12">
        <v>17886910</v>
      </c>
      <c r="H146" s="12"/>
      <c r="I146" s="12"/>
      <c r="J146" s="12"/>
      <c r="K146" s="12"/>
      <c r="L146" s="12"/>
      <c r="M146" s="12"/>
      <c r="N146" s="12">
        <v>17558919</v>
      </c>
      <c r="O146" s="12">
        <v>17886910</v>
      </c>
      <c r="P146" s="11">
        <v>1.87</v>
      </c>
      <c r="Q146" s="12">
        <v>232957</v>
      </c>
      <c r="R146" s="12">
        <v>129205</v>
      </c>
      <c r="S146" s="12">
        <v>17325962</v>
      </c>
      <c r="T146" s="12">
        <v>17757705</v>
      </c>
      <c r="U146" s="12">
        <v>17325962</v>
      </c>
      <c r="V146" s="12">
        <v>17757705</v>
      </c>
      <c r="W146" s="12">
        <v>0</v>
      </c>
      <c r="X146" s="12">
        <v>0</v>
      </c>
      <c r="Y146" s="12">
        <v>1799</v>
      </c>
      <c r="Z146" s="12">
        <v>1799</v>
      </c>
      <c r="AA146" s="11">
        <v>0</v>
      </c>
      <c r="AB146" s="12">
        <v>8441567</v>
      </c>
      <c r="AC146" s="12">
        <v>7046342</v>
      </c>
      <c r="AD146" s="12">
        <v>2300000</v>
      </c>
      <c r="AE146" s="12">
        <v>2500000</v>
      </c>
      <c r="AF146" s="12">
        <v>1667358</v>
      </c>
      <c r="AG146" s="12">
        <v>1667358</v>
      </c>
      <c r="AH146" s="11">
        <v>3.89</v>
      </c>
      <c r="AI146" s="11">
        <v>3.82</v>
      </c>
      <c r="AJ146" s="13"/>
    </row>
    <row r="147" spans="1:36" x14ac:dyDescent="0.25">
      <c r="A147" t="str">
        <f>"031301"</f>
        <v>031301</v>
      </c>
      <c r="B147" t="s">
        <v>236</v>
      </c>
      <c r="C147" s="10">
        <v>15899689</v>
      </c>
      <c r="D147" s="10">
        <v>16325912</v>
      </c>
      <c r="E147" s="11">
        <v>2.68</v>
      </c>
      <c r="F147" s="12">
        <v>7738852</v>
      </c>
      <c r="G147" s="12">
        <v>7936424</v>
      </c>
      <c r="H147" s="12"/>
      <c r="I147" s="12"/>
      <c r="J147" s="12"/>
      <c r="K147" s="12"/>
      <c r="L147" s="12"/>
      <c r="M147" s="12"/>
      <c r="N147" s="12">
        <v>7738852</v>
      </c>
      <c r="O147" s="12">
        <v>7936424</v>
      </c>
      <c r="P147" s="11">
        <v>2.5499999999999998</v>
      </c>
      <c r="Q147" s="12">
        <v>365991</v>
      </c>
      <c r="R147" s="12">
        <v>389423</v>
      </c>
      <c r="S147" s="12">
        <v>7372861</v>
      </c>
      <c r="T147" s="12">
        <v>7547001</v>
      </c>
      <c r="U147" s="12">
        <v>7372861</v>
      </c>
      <c r="V147" s="12">
        <v>7547001</v>
      </c>
      <c r="W147" s="12">
        <v>0</v>
      </c>
      <c r="X147" s="12">
        <v>0</v>
      </c>
      <c r="Y147" s="12">
        <v>506</v>
      </c>
      <c r="Z147" s="12">
        <v>506</v>
      </c>
      <c r="AA147" s="11">
        <v>0</v>
      </c>
      <c r="AB147" s="12">
        <v>3863191</v>
      </c>
      <c r="AC147" s="12">
        <v>4047373</v>
      </c>
      <c r="AD147" s="12">
        <v>500000</v>
      </c>
      <c r="AE147" s="12">
        <v>500000</v>
      </c>
      <c r="AF147" s="12">
        <v>583005</v>
      </c>
      <c r="AG147" s="12">
        <v>608746</v>
      </c>
      <c r="AH147" s="11">
        <v>3.67</v>
      </c>
      <c r="AI147" s="11">
        <v>3.73</v>
      </c>
      <c r="AJ147" s="13"/>
    </row>
    <row r="148" spans="1:36" x14ac:dyDescent="0.25">
      <c r="A148" t="str">
        <f>"250301"</f>
        <v>250301</v>
      </c>
      <c r="B148" t="s">
        <v>237</v>
      </c>
      <c r="C148" s="10">
        <v>9925503</v>
      </c>
      <c r="D148" s="10">
        <v>10426337</v>
      </c>
      <c r="E148" s="11">
        <v>5.05</v>
      </c>
      <c r="F148" s="12">
        <v>3607616</v>
      </c>
      <c r="G148" s="12">
        <v>3751053</v>
      </c>
      <c r="H148" s="12"/>
      <c r="I148" s="12"/>
      <c r="J148" s="12"/>
      <c r="K148" s="12"/>
      <c r="L148" s="12"/>
      <c r="M148" s="12"/>
      <c r="N148" s="12">
        <v>3607616</v>
      </c>
      <c r="O148" s="12">
        <v>3751053</v>
      </c>
      <c r="P148" s="11">
        <v>3.98</v>
      </c>
      <c r="Q148" s="12">
        <v>40076</v>
      </c>
      <c r="R148" s="12">
        <v>139098</v>
      </c>
      <c r="S148" s="12">
        <v>3567540</v>
      </c>
      <c r="T148" s="12">
        <v>3661358</v>
      </c>
      <c r="U148" s="12">
        <v>3567540</v>
      </c>
      <c r="V148" s="12">
        <v>3611955</v>
      </c>
      <c r="W148" s="12">
        <v>0</v>
      </c>
      <c r="X148" s="12">
        <v>49403</v>
      </c>
      <c r="Y148" s="12">
        <v>343</v>
      </c>
      <c r="Z148" s="12">
        <v>343</v>
      </c>
      <c r="AA148" s="11">
        <v>0</v>
      </c>
      <c r="AB148" s="12">
        <v>92952</v>
      </c>
      <c r="AC148" s="12">
        <v>92952</v>
      </c>
      <c r="AD148" s="12">
        <v>256021</v>
      </c>
      <c r="AE148" s="12">
        <v>316235</v>
      </c>
      <c r="AF148" s="12">
        <v>252425</v>
      </c>
      <c r="AG148" s="12">
        <v>244221</v>
      </c>
      <c r="AH148" s="11">
        <v>2.54</v>
      </c>
      <c r="AI148" s="11">
        <v>2.34</v>
      </c>
      <c r="AJ148" s="13"/>
    </row>
    <row r="149" spans="1:36" x14ac:dyDescent="0.25">
      <c r="A149" t="str">
        <f>"660403"</f>
        <v>660403</v>
      </c>
      <c r="B149" t="s">
        <v>238</v>
      </c>
      <c r="C149" s="10">
        <v>43081450</v>
      </c>
      <c r="D149" s="10">
        <v>44796949</v>
      </c>
      <c r="E149" s="11">
        <v>3.98</v>
      </c>
      <c r="F149" s="12">
        <v>36918421</v>
      </c>
      <c r="G149" s="12">
        <v>37276560</v>
      </c>
      <c r="H149" s="12"/>
      <c r="I149" s="12"/>
      <c r="J149" s="12"/>
      <c r="K149" s="12"/>
      <c r="L149" s="12"/>
      <c r="M149" s="12"/>
      <c r="N149" s="12">
        <v>36918421</v>
      </c>
      <c r="O149" s="12">
        <v>37276560</v>
      </c>
      <c r="P149" s="11">
        <v>0.97</v>
      </c>
      <c r="Q149" s="12">
        <v>1321973</v>
      </c>
      <c r="R149" s="12">
        <v>1151420</v>
      </c>
      <c r="S149" s="12">
        <v>35903423</v>
      </c>
      <c r="T149" s="12">
        <v>37130095</v>
      </c>
      <c r="U149" s="12">
        <v>35596448</v>
      </c>
      <c r="V149" s="12">
        <v>36125140</v>
      </c>
      <c r="W149" s="12">
        <v>306975</v>
      </c>
      <c r="X149" s="12">
        <v>1004955</v>
      </c>
      <c r="Y149" s="12">
        <v>1471</v>
      </c>
      <c r="Z149" s="12">
        <v>1475</v>
      </c>
      <c r="AA149" s="11">
        <v>0.27</v>
      </c>
      <c r="AB149" s="12">
        <v>7898947</v>
      </c>
      <c r="AC149" s="12">
        <v>6089460</v>
      </c>
      <c r="AD149" s="12">
        <v>604958</v>
      </c>
      <c r="AE149" s="12">
        <v>300000</v>
      </c>
      <c r="AF149" s="12">
        <v>1723045</v>
      </c>
      <c r="AG149" s="12">
        <v>1791877</v>
      </c>
      <c r="AH149" s="11">
        <v>4</v>
      </c>
      <c r="AI149" s="11">
        <v>4</v>
      </c>
      <c r="AJ149" s="13"/>
    </row>
    <row r="150" spans="1:36" x14ac:dyDescent="0.25">
      <c r="A150" t="str">
        <f>"211003"</f>
        <v>211003</v>
      </c>
      <c r="B150" t="s">
        <v>239</v>
      </c>
      <c r="C150" s="10">
        <v>19933329</v>
      </c>
      <c r="D150" s="10">
        <v>19695968</v>
      </c>
      <c r="E150" s="11">
        <v>-1.19</v>
      </c>
      <c r="F150" s="12">
        <v>4756541</v>
      </c>
      <c r="G150" s="12">
        <v>4851196</v>
      </c>
      <c r="H150" s="12">
        <v>27500</v>
      </c>
      <c r="I150" s="12">
        <v>27500</v>
      </c>
      <c r="J150" s="12"/>
      <c r="K150" s="12"/>
      <c r="L150" s="12"/>
      <c r="M150" s="12"/>
      <c r="N150" s="12">
        <v>4784041</v>
      </c>
      <c r="O150" s="12">
        <v>4878696</v>
      </c>
      <c r="P150" s="11">
        <v>1.98</v>
      </c>
      <c r="Q150" s="12">
        <v>405321</v>
      </c>
      <c r="R150" s="12">
        <v>388357</v>
      </c>
      <c r="S150" s="12">
        <v>4389447</v>
      </c>
      <c r="T150" s="12">
        <v>4467217</v>
      </c>
      <c r="U150" s="12">
        <v>4351220</v>
      </c>
      <c r="V150" s="12">
        <v>4462839</v>
      </c>
      <c r="W150" s="12">
        <v>38227</v>
      </c>
      <c r="X150" s="12">
        <v>4378</v>
      </c>
      <c r="Y150" s="12">
        <v>905</v>
      </c>
      <c r="Z150" s="12">
        <v>910</v>
      </c>
      <c r="AA150" s="11">
        <v>0.55000000000000004</v>
      </c>
      <c r="AB150" s="12">
        <v>464608</v>
      </c>
      <c r="AC150" s="12">
        <v>760304</v>
      </c>
      <c r="AD150" s="12">
        <v>1856926</v>
      </c>
      <c r="AE150" s="12">
        <v>1062239</v>
      </c>
      <c r="AF150" s="12">
        <v>847667</v>
      </c>
      <c r="AG150" s="12">
        <v>787839</v>
      </c>
      <c r="AH150" s="11">
        <v>4.25</v>
      </c>
      <c r="AI150" s="11">
        <v>4</v>
      </c>
      <c r="AJ150" s="13"/>
    </row>
    <row r="151" spans="1:36" x14ac:dyDescent="0.25">
      <c r="A151" t="str">
        <f>"130502"</f>
        <v>130502</v>
      </c>
      <c r="B151" t="s">
        <v>240</v>
      </c>
      <c r="C151" s="10">
        <v>31517438</v>
      </c>
      <c r="D151" s="10">
        <v>32681231</v>
      </c>
      <c r="E151" s="11">
        <v>3.69</v>
      </c>
      <c r="F151" s="12">
        <v>18104416</v>
      </c>
      <c r="G151" s="12">
        <v>18364930</v>
      </c>
      <c r="H151" s="12"/>
      <c r="I151" s="12"/>
      <c r="J151" s="12"/>
      <c r="K151" s="12"/>
      <c r="L151" s="12"/>
      <c r="M151" s="12"/>
      <c r="N151" s="12">
        <v>18104416</v>
      </c>
      <c r="O151" s="12">
        <v>18364930</v>
      </c>
      <c r="P151" s="11">
        <v>1.44</v>
      </c>
      <c r="Q151" s="12">
        <v>0</v>
      </c>
      <c r="R151" s="12">
        <v>0</v>
      </c>
      <c r="S151" s="12">
        <v>18104416</v>
      </c>
      <c r="T151" s="12">
        <v>18364930</v>
      </c>
      <c r="U151" s="12">
        <v>18104416</v>
      </c>
      <c r="V151" s="12">
        <v>18364930</v>
      </c>
      <c r="W151" s="12">
        <v>0</v>
      </c>
      <c r="X151" s="12">
        <v>0</v>
      </c>
      <c r="Y151" s="12">
        <v>1373</v>
      </c>
      <c r="Z151" s="12">
        <v>1355</v>
      </c>
      <c r="AA151" s="11">
        <v>-1.31</v>
      </c>
      <c r="AB151" s="12">
        <v>4618769</v>
      </c>
      <c r="AC151" s="12">
        <v>4942524</v>
      </c>
      <c r="AD151" s="12">
        <v>856342</v>
      </c>
      <c r="AE151" s="12">
        <v>1100000</v>
      </c>
      <c r="AF151" s="12">
        <v>1256482</v>
      </c>
      <c r="AG151" s="12">
        <v>1300000</v>
      </c>
      <c r="AH151" s="11">
        <v>3.99</v>
      </c>
      <c r="AI151" s="11">
        <v>3.98</v>
      </c>
      <c r="AJ151" s="13"/>
    </row>
    <row r="152" spans="1:36" x14ac:dyDescent="0.25">
      <c r="A152" t="str">
        <f>"120301"</f>
        <v>120301</v>
      </c>
      <c r="B152" t="s">
        <v>241</v>
      </c>
      <c r="C152" s="10">
        <v>10286812</v>
      </c>
      <c r="D152" s="10">
        <v>10576469</v>
      </c>
      <c r="E152" s="11">
        <v>2.82</v>
      </c>
      <c r="F152" s="12">
        <v>7790530</v>
      </c>
      <c r="G152" s="12">
        <v>7957359</v>
      </c>
      <c r="H152" s="12"/>
      <c r="I152" s="12"/>
      <c r="J152" s="12"/>
      <c r="K152" s="12"/>
      <c r="L152" s="12"/>
      <c r="M152" s="12"/>
      <c r="N152" s="12">
        <v>7790530</v>
      </c>
      <c r="O152" s="12">
        <v>7957359</v>
      </c>
      <c r="P152" s="11">
        <v>2.14</v>
      </c>
      <c r="Q152" s="12">
        <v>716245</v>
      </c>
      <c r="R152" s="12">
        <v>734437</v>
      </c>
      <c r="S152" s="12">
        <v>7074285</v>
      </c>
      <c r="T152" s="12">
        <v>7222922</v>
      </c>
      <c r="U152" s="12">
        <v>7074285</v>
      </c>
      <c r="V152" s="12">
        <v>7222922</v>
      </c>
      <c r="W152" s="12">
        <v>0</v>
      </c>
      <c r="X152" s="12">
        <v>0</v>
      </c>
      <c r="Y152" s="12">
        <v>238</v>
      </c>
      <c r="Z152" s="12">
        <v>240</v>
      </c>
      <c r="AA152" s="11">
        <v>0.84</v>
      </c>
      <c r="AB152" s="12">
        <v>4073263</v>
      </c>
      <c r="AC152" s="12">
        <v>1182302</v>
      </c>
      <c r="AD152" s="12">
        <v>500600</v>
      </c>
      <c r="AE152" s="12">
        <v>500000</v>
      </c>
      <c r="AF152" s="12">
        <v>1018048</v>
      </c>
      <c r="AG152" s="12">
        <v>950000</v>
      </c>
      <c r="AH152" s="11">
        <v>9.9</v>
      </c>
      <c r="AI152" s="11">
        <v>8.98</v>
      </c>
      <c r="AJ152" s="13"/>
    </row>
    <row r="153" spans="1:36" x14ac:dyDescent="0.25">
      <c r="A153" t="str">
        <f>"610301"</f>
        <v>610301</v>
      </c>
      <c r="B153" t="s">
        <v>242</v>
      </c>
      <c r="C153" s="10">
        <v>37838840</v>
      </c>
      <c r="D153" s="10">
        <v>38746896</v>
      </c>
      <c r="E153" s="11">
        <v>2.4</v>
      </c>
      <c r="F153" s="12">
        <v>17732002</v>
      </c>
      <c r="G153" s="12">
        <v>18258599</v>
      </c>
      <c r="H153" s="12"/>
      <c r="I153" s="12"/>
      <c r="J153" s="12"/>
      <c r="K153" s="12"/>
      <c r="L153" s="12"/>
      <c r="M153" s="12"/>
      <c r="N153" s="12">
        <v>17732002</v>
      </c>
      <c r="O153" s="12">
        <v>18258599</v>
      </c>
      <c r="P153" s="11">
        <v>2.97</v>
      </c>
      <c r="Q153" s="12">
        <v>0</v>
      </c>
      <c r="R153" s="12">
        <v>0</v>
      </c>
      <c r="S153" s="12">
        <v>17732002</v>
      </c>
      <c r="T153" s="12">
        <v>18258599</v>
      </c>
      <c r="U153" s="12">
        <v>17732002</v>
      </c>
      <c r="V153" s="12">
        <v>18258599</v>
      </c>
      <c r="W153" s="12">
        <v>0</v>
      </c>
      <c r="X153" s="12">
        <v>0</v>
      </c>
      <c r="Y153" s="12">
        <v>1583</v>
      </c>
      <c r="Z153" s="12">
        <v>1590</v>
      </c>
      <c r="AA153" s="11">
        <v>0.44</v>
      </c>
      <c r="AB153" s="12">
        <v>5226751</v>
      </c>
      <c r="AC153" s="12">
        <v>6007844</v>
      </c>
      <c r="AD153" s="12">
        <v>895361</v>
      </c>
      <c r="AE153" s="12">
        <v>1042160</v>
      </c>
      <c r="AF153" s="12">
        <v>1513553</v>
      </c>
      <c r="AG153" s="12">
        <v>1549996</v>
      </c>
      <c r="AH153" s="11">
        <v>4</v>
      </c>
      <c r="AI153" s="11">
        <v>4</v>
      </c>
      <c r="AJ153" s="13"/>
    </row>
    <row r="154" spans="1:36" x14ac:dyDescent="0.25">
      <c r="A154" t="str">
        <f>"530101"</f>
        <v>530101</v>
      </c>
      <c r="B154" t="s">
        <v>243</v>
      </c>
      <c r="C154" s="10">
        <v>16317500</v>
      </c>
      <c r="D154" s="10">
        <v>17150000</v>
      </c>
      <c r="E154" s="11">
        <v>5.0999999999999996</v>
      </c>
      <c r="F154" s="12">
        <v>8000100</v>
      </c>
      <c r="G154" s="12">
        <v>8072101</v>
      </c>
      <c r="H154" s="12"/>
      <c r="I154" s="12"/>
      <c r="J154" s="12"/>
      <c r="K154" s="12"/>
      <c r="L154" s="12"/>
      <c r="M154" s="12"/>
      <c r="N154" s="12">
        <v>8000100</v>
      </c>
      <c r="O154" s="12">
        <v>8072101</v>
      </c>
      <c r="P154" s="11">
        <v>0.9</v>
      </c>
      <c r="Q154" s="12">
        <v>306914</v>
      </c>
      <c r="R154" s="12">
        <v>245688</v>
      </c>
      <c r="S154" s="12">
        <v>8046926</v>
      </c>
      <c r="T154" s="12">
        <v>8072737</v>
      </c>
      <c r="U154" s="12">
        <v>7693186</v>
      </c>
      <c r="V154" s="12">
        <v>7826413</v>
      </c>
      <c r="W154" s="12">
        <v>353740</v>
      </c>
      <c r="X154" s="12">
        <v>246324</v>
      </c>
      <c r="Y154" s="12">
        <v>724</v>
      </c>
      <c r="Z154" s="12">
        <v>716</v>
      </c>
      <c r="AA154" s="11">
        <v>-1.1000000000000001</v>
      </c>
      <c r="AB154" s="12">
        <v>2383301</v>
      </c>
      <c r="AC154" s="12">
        <v>3033301</v>
      </c>
      <c r="AD154" s="12">
        <v>672253</v>
      </c>
      <c r="AE154" s="12">
        <v>731034</v>
      </c>
      <c r="AF154" s="12">
        <v>1302976</v>
      </c>
      <c r="AG154" s="12">
        <v>883771</v>
      </c>
      <c r="AH154" s="11">
        <v>7.99</v>
      </c>
      <c r="AI154" s="11">
        <v>5.15</v>
      </c>
      <c r="AJ154" s="13"/>
    </row>
    <row r="155" spans="1:36" x14ac:dyDescent="0.25">
      <c r="A155" s="16" t="s">
        <v>5731</v>
      </c>
      <c r="B155" s="16" t="s">
        <v>5745</v>
      </c>
      <c r="C155" s="18">
        <v>18065017</v>
      </c>
      <c r="D155" s="18">
        <v>18848997</v>
      </c>
      <c r="E155" s="15">
        <v>4.34</v>
      </c>
      <c r="F155" s="19">
        <v>5149000</v>
      </c>
      <c r="G155" s="19">
        <v>5288000</v>
      </c>
      <c r="H155" s="19"/>
      <c r="I155" s="19"/>
      <c r="J155" s="19"/>
      <c r="K155" s="19"/>
      <c r="L155" s="19"/>
      <c r="M155" s="19"/>
      <c r="N155" s="19">
        <v>5149000</v>
      </c>
      <c r="O155" s="19">
        <v>5288000</v>
      </c>
      <c r="P155" s="15">
        <v>2.7</v>
      </c>
      <c r="Q155" s="19">
        <v>0</v>
      </c>
      <c r="R155" s="19">
        <v>0</v>
      </c>
      <c r="S155" s="19">
        <v>5149724</v>
      </c>
      <c r="T155" s="19">
        <v>5341866</v>
      </c>
      <c r="U155" s="19">
        <v>5149000</v>
      </c>
      <c r="V155" s="19">
        <v>5288000</v>
      </c>
      <c r="W155" s="19">
        <v>724</v>
      </c>
      <c r="X155" s="19">
        <v>53866</v>
      </c>
      <c r="Y155" s="19">
        <v>660</v>
      </c>
      <c r="Z155" s="19">
        <v>627</v>
      </c>
      <c r="AA155" s="15">
        <v>5</v>
      </c>
      <c r="AB155" s="19">
        <v>5529759</v>
      </c>
      <c r="AC155" s="19">
        <v>6703609</v>
      </c>
      <c r="AD155" s="19">
        <v>250000</v>
      </c>
      <c r="AE155" s="19">
        <v>250000</v>
      </c>
      <c r="AF155" s="19">
        <v>763821</v>
      </c>
      <c r="AG155" s="19">
        <v>779539</v>
      </c>
      <c r="AH155" s="15">
        <v>4.2300000000000004</v>
      </c>
      <c r="AI155" s="15">
        <v>4.1399999999999997</v>
      </c>
      <c r="AJ155" s="13"/>
    </row>
    <row r="156" spans="1:36" x14ac:dyDescent="0.25">
      <c r="A156" t="str">
        <f>"060800"</f>
        <v>060800</v>
      </c>
      <c r="B156" t="s">
        <v>244</v>
      </c>
      <c r="C156" s="10">
        <v>43429994</v>
      </c>
      <c r="D156" s="10">
        <v>45728385</v>
      </c>
      <c r="E156" s="11">
        <v>5.29</v>
      </c>
      <c r="F156" s="12">
        <v>9771218</v>
      </c>
      <c r="G156" s="12">
        <v>9966542</v>
      </c>
      <c r="H156" s="12"/>
      <c r="I156" s="12"/>
      <c r="J156" s="12"/>
      <c r="K156" s="12"/>
      <c r="L156" s="12"/>
      <c r="M156" s="12"/>
      <c r="N156" s="12">
        <v>9771218</v>
      </c>
      <c r="O156" s="12">
        <v>9966542</v>
      </c>
      <c r="P156" s="11">
        <v>2</v>
      </c>
      <c r="Q156" s="12">
        <v>0</v>
      </c>
      <c r="R156" s="12">
        <v>0</v>
      </c>
      <c r="S156" s="12">
        <v>10383949</v>
      </c>
      <c r="T156" s="12">
        <v>10133382</v>
      </c>
      <c r="U156" s="12">
        <v>9771218</v>
      </c>
      <c r="V156" s="12">
        <v>9966542</v>
      </c>
      <c r="W156" s="12">
        <v>612731</v>
      </c>
      <c r="X156" s="12">
        <v>166840</v>
      </c>
      <c r="Y156" s="12">
        <v>2163</v>
      </c>
      <c r="Z156" s="12">
        <v>2150</v>
      </c>
      <c r="AA156" s="11">
        <v>-0.6</v>
      </c>
      <c r="AB156" s="12">
        <v>19457715</v>
      </c>
      <c r="AC156" s="12">
        <v>18450071</v>
      </c>
      <c r="AD156" s="12">
        <v>2034489</v>
      </c>
      <c r="AE156" s="12">
        <v>2990690</v>
      </c>
      <c r="AF156" s="12">
        <v>1737200</v>
      </c>
      <c r="AG156" s="12">
        <v>1829135</v>
      </c>
      <c r="AH156" s="11">
        <v>4</v>
      </c>
      <c r="AI156" s="11">
        <v>4</v>
      </c>
      <c r="AJ156" s="13"/>
    </row>
    <row r="157" spans="1:36" x14ac:dyDescent="0.25">
      <c r="A157" t="str">
        <f>"140301"</f>
        <v>140301</v>
      </c>
      <c r="B157" t="s">
        <v>245</v>
      </c>
      <c r="C157" s="10">
        <v>33234373</v>
      </c>
      <c r="D157" s="10">
        <v>34330912</v>
      </c>
      <c r="E157" s="11">
        <v>3.3</v>
      </c>
      <c r="F157" s="12">
        <v>20465729</v>
      </c>
      <c r="G157" s="12">
        <v>21589140</v>
      </c>
      <c r="H157" s="12"/>
      <c r="I157" s="12"/>
      <c r="J157" s="12"/>
      <c r="K157" s="12"/>
      <c r="L157" s="12"/>
      <c r="M157" s="12"/>
      <c r="N157" s="12">
        <v>20465729</v>
      </c>
      <c r="O157" s="12">
        <v>21589140</v>
      </c>
      <c r="P157" s="11">
        <v>5.49</v>
      </c>
      <c r="Q157" s="12">
        <v>0</v>
      </c>
      <c r="R157" s="12">
        <v>516936</v>
      </c>
      <c r="S157" s="12">
        <v>19397184</v>
      </c>
      <c r="T157" s="12">
        <v>21072204</v>
      </c>
      <c r="U157" s="12">
        <v>20465729</v>
      </c>
      <c r="V157" s="12">
        <v>21072204</v>
      </c>
      <c r="W157" s="12">
        <v>-1068545</v>
      </c>
      <c r="X157" s="12">
        <v>0</v>
      </c>
      <c r="Y157" s="12">
        <v>1773</v>
      </c>
      <c r="Z157" s="12">
        <v>1801</v>
      </c>
      <c r="AA157" s="11">
        <v>1.58</v>
      </c>
      <c r="AB157" s="12">
        <v>596600</v>
      </c>
      <c r="AC157" s="12">
        <v>646600</v>
      </c>
      <c r="AD157" s="12">
        <v>597904</v>
      </c>
      <c r="AE157" s="12">
        <v>418148</v>
      </c>
      <c r="AF157" s="12">
        <v>503218</v>
      </c>
      <c r="AG157" s="12">
        <v>942683</v>
      </c>
      <c r="AH157" s="11">
        <v>1.51</v>
      </c>
      <c r="AI157" s="11">
        <v>2.75</v>
      </c>
      <c r="AJ157" s="13"/>
    </row>
    <row r="158" spans="1:36" x14ac:dyDescent="0.25">
      <c r="A158" t="str">
        <f>"430501"</f>
        <v>430501</v>
      </c>
      <c r="B158" t="s">
        <v>246</v>
      </c>
      <c r="C158" s="10">
        <v>20904945</v>
      </c>
      <c r="D158" s="10">
        <v>20971671</v>
      </c>
      <c r="E158" s="11">
        <v>0.32</v>
      </c>
      <c r="F158" s="12">
        <v>9659646</v>
      </c>
      <c r="G158" s="12">
        <v>9925094</v>
      </c>
      <c r="H158" s="12"/>
      <c r="I158" s="12"/>
      <c r="J158" s="12"/>
      <c r="K158" s="12"/>
      <c r="L158" s="12"/>
      <c r="M158" s="12"/>
      <c r="N158" s="12">
        <v>9659646</v>
      </c>
      <c r="O158" s="12">
        <v>9925094</v>
      </c>
      <c r="P158" s="11">
        <v>2.75</v>
      </c>
      <c r="Q158" s="12">
        <v>23911</v>
      </c>
      <c r="R158" s="12">
        <v>348599</v>
      </c>
      <c r="S158" s="12">
        <v>9635735</v>
      </c>
      <c r="T158" s="12">
        <v>9873787</v>
      </c>
      <c r="U158" s="12">
        <v>9635735</v>
      </c>
      <c r="V158" s="12">
        <v>9576495</v>
      </c>
      <c r="W158" s="12">
        <v>0</v>
      </c>
      <c r="X158" s="12">
        <v>297292</v>
      </c>
      <c r="Y158" s="12">
        <v>911</v>
      </c>
      <c r="Z158" s="12">
        <v>911</v>
      </c>
      <c r="AA158" s="11">
        <v>0</v>
      </c>
      <c r="AB158" s="12">
        <v>3729615</v>
      </c>
      <c r="AC158" s="12">
        <v>3860084</v>
      </c>
      <c r="AD158" s="12">
        <v>110472</v>
      </c>
      <c r="AE158" s="12">
        <v>332506</v>
      </c>
      <c r="AF158" s="12">
        <v>1117957</v>
      </c>
      <c r="AG158" s="12">
        <v>838866</v>
      </c>
      <c r="AH158" s="11">
        <v>5.35</v>
      </c>
      <c r="AI158" s="11">
        <v>4</v>
      </c>
      <c r="AJ158" s="13"/>
    </row>
    <row r="159" spans="1:36" x14ac:dyDescent="0.25">
      <c r="A159" t="str">
        <f>"490301"</f>
        <v>490301</v>
      </c>
      <c r="B159" t="s">
        <v>247</v>
      </c>
      <c r="C159" s="10">
        <v>92157156</v>
      </c>
      <c r="D159" s="10">
        <v>94266392</v>
      </c>
      <c r="E159" s="11">
        <v>2.29</v>
      </c>
      <c r="F159" s="12">
        <v>53190977</v>
      </c>
      <c r="G159" s="12">
        <v>55461790</v>
      </c>
      <c r="H159" s="12"/>
      <c r="I159" s="12"/>
      <c r="J159" s="12"/>
      <c r="K159" s="12"/>
      <c r="L159" s="12"/>
      <c r="M159" s="12"/>
      <c r="N159" s="12">
        <v>53190977</v>
      </c>
      <c r="O159" s="12">
        <v>55461790</v>
      </c>
      <c r="P159" s="11">
        <v>4.2699999999999996</v>
      </c>
      <c r="Q159" s="12">
        <v>1658884</v>
      </c>
      <c r="R159" s="12">
        <v>2475436</v>
      </c>
      <c r="S159" s="12">
        <v>51602586</v>
      </c>
      <c r="T159" s="12">
        <v>53150583</v>
      </c>
      <c r="U159" s="12">
        <v>51532093</v>
      </c>
      <c r="V159" s="12">
        <v>52986354</v>
      </c>
      <c r="W159" s="12">
        <v>70493</v>
      </c>
      <c r="X159" s="12">
        <v>164229</v>
      </c>
      <c r="Y159" s="12">
        <v>4034</v>
      </c>
      <c r="Z159" s="12">
        <v>4023</v>
      </c>
      <c r="AA159" s="11">
        <v>-0.27</v>
      </c>
      <c r="AB159" s="12">
        <v>12143951</v>
      </c>
      <c r="AC159" s="12">
        <v>12288137</v>
      </c>
      <c r="AD159" s="12">
        <v>6029322</v>
      </c>
      <c r="AE159" s="12">
        <v>6829322</v>
      </c>
      <c r="AF159" s="12">
        <v>3682545</v>
      </c>
      <c r="AG159" s="12">
        <v>3511613</v>
      </c>
      <c r="AH159" s="11">
        <v>4</v>
      </c>
      <c r="AI159" s="11">
        <v>3.73</v>
      </c>
      <c r="AJ159" s="13"/>
    </row>
    <row r="160" spans="1:36" x14ac:dyDescent="0.25">
      <c r="A160" t="str">
        <f>"580301"</f>
        <v>580301</v>
      </c>
      <c r="B160" t="s">
        <v>248</v>
      </c>
      <c r="C160" s="10">
        <v>68306098</v>
      </c>
      <c r="D160" s="10">
        <v>69846198</v>
      </c>
      <c r="E160" s="11">
        <v>2.25</v>
      </c>
      <c r="F160" s="12">
        <v>49877575</v>
      </c>
      <c r="G160" s="12">
        <v>50834357</v>
      </c>
      <c r="H160" s="12"/>
      <c r="I160" s="12"/>
      <c r="J160" s="12"/>
      <c r="K160" s="12"/>
      <c r="L160" s="12"/>
      <c r="M160" s="12"/>
      <c r="N160" s="12">
        <v>49877575</v>
      </c>
      <c r="O160" s="12">
        <v>50834357</v>
      </c>
      <c r="P160" s="11">
        <v>1.92</v>
      </c>
      <c r="Q160" s="12">
        <v>6123815</v>
      </c>
      <c r="R160" s="12">
        <v>5780145</v>
      </c>
      <c r="S160" s="12">
        <v>43753760</v>
      </c>
      <c r="T160" s="12">
        <v>45054212</v>
      </c>
      <c r="U160" s="12">
        <v>43753760</v>
      </c>
      <c r="V160" s="12">
        <v>45054212</v>
      </c>
      <c r="W160" s="12">
        <v>0</v>
      </c>
      <c r="X160" s="12">
        <v>0</v>
      </c>
      <c r="Y160" s="12">
        <v>1880</v>
      </c>
      <c r="Z160" s="12">
        <v>1818</v>
      </c>
      <c r="AA160" s="11">
        <v>-3.3</v>
      </c>
      <c r="AB160" s="12">
        <v>10520194</v>
      </c>
      <c r="AC160" s="12">
        <v>10520194</v>
      </c>
      <c r="AD160" s="12">
        <v>504979</v>
      </c>
      <c r="AE160" s="12">
        <v>504979</v>
      </c>
      <c r="AF160" s="12">
        <v>2732195</v>
      </c>
      <c r="AG160" s="12">
        <v>2732195</v>
      </c>
      <c r="AH160" s="11">
        <v>4</v>
      </c>
      <c r="AI160" s="11">
        <v>3.91</v>
      </c>
      <c r="AJ160" s="13"/>
    </row>
    <row r="161" spans="1:36" x14ac:dyDescent="0.25">
      <c r="A161" t="str">
        <f>"260801"</f>
        <v>260801</v>
      </c>
      <c r="B161" t="s">
        <v>249</v>
      </c>
      <c r="C161" s="10">
        <v>77954087</v>
      </c>
      <c r="D161" s="10">
        <v>80668468</v>
      </c>
      <c r="E161" s="11">
        <v>3.48</v>
      </c>
      <c r="F161" s="12">
        <v>41414124</v>
      </c>
      <c r="G161" s="12">
        <v>42123325</v>
      </c>
      <c r="H161" s="12"/>
      <c r="I161" s="12"/>
      <c r="J161" s="12"/>
      <c r="K161" s="12"/>
      <c r="L161" s="12"/>
      <c r="M161" s="12"/>
      <c r="N161" s="12">
        <v>41414124</v>
      </c>
      <c r="O161" s="12">
        <v>42123325</v>
      </c>
      <c r="P161" s="11">
        <v>1.71</v>
      </c>
      <c r="Q161" s="12">
        <v>686072</v>
      </c>
      <c r="R161" s="12">
        <v>147572</v>
      </c>
      <c r="S161" s="12">
        <v>40728052</v>
      </c>
      <c r="T161" s="12">
        <v>42226651</v>
      </c>
      <c r="U161" s="12">
        <v>40728052</v>
      </c>
      <c r="V161" s="12">
        <v>41975753</v>
      </c>
      <c r="W161" s="12">
        <v>0</v>
      </c>
      <c r="X161" s="12">
        <v>250898</v>
      </c>
      <c r="Y161" s="12">
        <v>3105</v>
      </c>
      <c r="Z161" s="12">
        <v>3110</v>
      </c>
      <c r="AA161" s="11">
        <v>0.16</v>
      </c>
      <c r="AB161" s="12">
        <v>31748282</v>
      </c>
      <c r="AC161" s="12">
        <v>30311870</v>
      </c>
      <c r="AD161" s="12">
        <v>989400</v>
      </c>
      <c r="AE161" s="12">
        <v>1497706</v>
      </c>
      <c r="AF161" s="12">
        <v>3118161</v>
      </c>
      <c r="AG161" s="12">
        <v>3226739</v>
      </c>
      <c r="AH161" s="11">
        <v>4</v>
      </c>
      <c r="AI161" s="11">
        <v>4</v>
      </c>
      <c r="AJ161" s="13"/>
    </row>
    <row r="162" spans="1:36" x14ac:dyDescent="0.25">
      <c r="A162" t="str">
        <f>"580503"</f>
        <v>580503</v>
      </c>
      <c r="B162" t="s">
        <v>250</v>
      </c>
      <c r="C162" s="10">
        <v>115015282</v>
      </c>
      <c r="D162" s="10">
        <v>117081377</v>
      </c>
      <c r="E162" s="11">
        <v>1.8</v>
      </c>
      <c r="F162" s="12">
        <v>70843872</v>
      </c>
      <c r="G162" s="12">
        <v>71339779</v>
      </c>
      <c r="H162" s="12"/>
      <c r="I162" s="12"/>
      <c r="J162" s="12"/>
      <c r="K162" s="12"/>
      <c r="L162" s="12"/>
      <c r="M162" s="12"/>
      <c r="N162" s="12">
        <v>70843872</v>
      </c>
      <c r="O162" s="12">
        <v>71339779</v>
      </c>
      <c r="P162" s="11">
        <v>0.7</v>
      </c>
      <c r="Q162" s="12">
        <v>989721</v>
      </c>
      <c r="R162" s="12">
        <v>1710576</v>
      </c>
      <c r="S162" s="12">
        <v>70418363</v>
      </c>
      <c r="T162" s="12">
        <v>71554213</v>
      </c>
      <c r="U162" s="12">
        <v>69854151</v>
      </c>
      <c r="V162" s="12">
        <v>69629203</v>
      </c>
      <c r="W162" s="12">
        <v>564212</v>
      </c>
      <c r="X162" s="12">
        <v>1925010</v>
      </c>
      <c r="Y162" s="12">
        <v>3742</v>
      </c>
      <c r="Z162" s="12">
        <v>3708</v>
      </c>
      <c r="AA162" s="11">
        <v>-0.91</v>
      </c>
      <c r="AB162" s="12">
        <v>8187549</v>
      </c>
      <c r="AC162" s="12">
        <v>9285616</v>
      </c>
      <c r="AD162" s="12">
        <v>1592805</v>
      </c>
      <c r="AE162" s="12">
        <v>3310186</v>
      </c>
      <c r="AF162" s="12">
        <v>4600611</v>
      </c>
      <c r="AG162" s="12">
        <v>4683255</v>
      </c>
      <c r="AH162" s="11">
        <v>4</v>
      </c>
      <c r="AI162" s="11">
        <v>4</v>
      </c>
      <c r="AJ162" s="13"/>
    </row>
    <row r="163" spans="1:36" x14ac:dyDescent="0.25">
      <c r="A163" t="str">
        <f>"280203"</f>
        <v>280203</v>
      </c>
      <c r="B163" t="s">
        <v>251</v>
      </c>
      <c r="C163" s="10">
        <v>199671104</v>
      </c>
      <c r="D163" s="10">
        <v>203754394</v>
      </c>
      <c r="E163" s="11">
        <v>2.0499999999999998</v>
      </c>
      <c r="F163" s="12">
        <v>132518088</v>
      </c>
      <c r="G163" s="12">
        <v>136451355</v>
      </c>
      <c r="H163" s="12"/>
      <c r="I163" s="12"/>
      <c r="J163" s="12"/>
      <c r="K163" s="12"/>
      <c r="L163" s="12"/>
      <c r="M163" s="12"/>
      <c r="N163" s="12">
        <v>132518088</v>
      </c>
      <c r="O163" s="12">
        <v>136451355</v>
      </c>
      <c r="P163" s="11">
        <v>2.97</v>
      </c>
      <c r="Q163" s="12">
        <v>3277548</v>
      </c>
      <c r="R163" s="12">
        <v>4077185</v>
      </c>
      <c r="S163" s="12">
        <v>129240540</v>
      </c>
      <c r="T163" s="12">
        <v>132374170</v>
      </c>
      <c r="U163" s="12">
        <v>129240540</v>
      </c>
      <c r="V163" s="12">
        <v>132374170</v>
      </c>
      <c r="W163" s="12">
        <v>0</v>
      </c>
      <c r="X163" s="12">
        <v>0</v>
      </c>
      <c r="Y163" s="12">
        <v>6924</v>
      </c>
      <c r="Z163" s="12">
        <v>6963</v>
      </c>
      <c r="AA163" s="11">
        <v>0.56000000000000005</v>
      </c>
      <c r="AB163" s="12">
        <v>17570960</v>
      </c>
      <c r="AC163" s="12">
        <v>19570960</v>
      </c>
      <c r="AD163" s="12">
        <v>14573274</v>
      </c>
      <c r="AE163" s="12">
        <v>13814913</v>
      </c>
      <c r="AF163" s="12">
        <v>12778825</v>
      </c>
      <c r="AG163" s="12">
        <v>8150176</v>
      </c>
      <c r="AH163" s="11">
        <v>6.4</v>
      </c>
      <c r="AI163" s="11">
        <v>4</v>
      </c>
      <c r="AJ163" s="13"/>
    </row>
    <row r="164" spans="1:36" x14ac:dyDescent="0.25">
      <c r="A164" t="str">
        <f>"580234"</f>
        <v>580234</v>
      </c>
      <c r="B164" t="s">
        <v>252</v>
      </c>
      <c r="C164" s="10">
        <v>27387799</v>
      </c>
      <c r="D164" s="10">
        <v>28001605</v>
      </c>
      <c r="E164" s="11">
        <v>2.2400000000000002</v>
      </c>
      <c r="F164" s="12">
        <v>19954994</v>
      </c>
      <c r="G164" s="12">
        <v>20466494</v>
      </c>
      <c r="H164" s="12"/>
      <c r="I164" s="12"/>
      <c r="J164" s="12"/>
      <c r="K164" s="12"/>
      <c r="L164" s="12"/>
      <c r="M164" s="12"/>
      <c r="N164" s="12">
        <v>19954994</v>
      </c>
      <c r="O164" s="12">
        <v>20466494</v>
      </c>
      <c r="P164" s="11">
        <v>2.56</v>
      </c>
      <c r="Q164" s="12">
        <v>505089</v>
      </c>
      <c r="R164" s="12">
        <v>526098</v>
      </c>
      <c r="S164" s="12">
        <v>19954994</v>
      </c>
      <c r="T164" s="12">
        <v>20466494</v>
      </c>
      <c r="U164" s="12">
        <v>19449905</v>
      </c>
      <c r="V164" s="12">
        <v>19940396</v>
      </c>
      <c r="W164" s="12">
        <v>505089</v>
      </c>
      <c r="X164" s="12">
        <v>526098</v>
      </c>
      <c r="Y164" s="12">
        <v>1123</v>
      </c>
      <c r="Z164" s="12">
        <v>1146</v>
      </c>
      <c r="AA164" s="11">
        <v>2.0499999999999998</v>
      </c>
      <c r="AB164" s="12">
        <v>2601670</v>
      </c>
      <c r="AC164" s="12">
        <v>3619670</v>
      </c>
      <c r="AD164" s="12">
        <v>0</v>
      </c>
      <c r="AE164" s="12">
        <v>0</v>
      </c>
      <c r="AF164" s="12">
        <v>1204248</v>
      </c>
      <c r="AG164" s="12">
        <v>1120064</v>
      </c>
      <c r="AH164" s="11">
        <v>4.4000000000000004</v>
      </c>
      <c r="AI164" s="11">
        <v>4</v>
      </c>
      <c r="AJ164" s="13"/>
    </row>
    <row r="165" spans="1:36" x14ac:dyDescent="0.25">
      <c r="A165" t="str">
        <f>"580917"</f>
        <v>580917</v>
      </c>
      <c r="B165" t="s">
        <v>253</v>
      </c>
      <c r="C165" s="10">
        <v>24366274</v>
      </c>
      <c r="D165" s="10">
        <v>25108016</v>
      </c>
      <c r="E165" s="11">
        <v>3.04</v>
      </c>
      <c r="F165" s="12">
        <v>22207785</v>
      </c>
      <c r="G165" s="12">
        <v>22782815</v>
      </c>
      <c r="H165" s="12"/>
      <c r="I165" s="12"/>
      <c r="J165" s="12"/>
      <c r="K165" s="12"/>
      <c r="L165" s="12"/>
      <c r="M165" s="12"/>
      <c r="N165" s="12">
        <v>22207785</v>
      </c>
      <c r="O165" s="12">
        <v>22782815</v>
      </c>
      <c r="P165" s="11">
        <v>2.59</v>
      </c>
      <c r="Q165" s="12">
        <v>0</v>
      </c>
      <c r="R165" s="12">
        <v>0</v>
      </c>
      <c r="S165" s="12">
        <v>22209252</v>
      </c>
      <c r="T165" s="12">
        <v>22803121</v>
      </c>
      <c r="U165" s="12">
        <v>22207785</v>
      </c>
      <c r="V165" s="12">
        <v>22782815</v>
      </c>
      <c r="W165" s="12">
        <v>1467</v>
      </c>
      <c r="X165" s="12">
        <v>20306</v>
      </c>
      <c r="Y165" s="12">
        <v>412</v>
      </c>
      <c r="Z165" s="12">
        <v>410</v>
      </c>
      <c r="AA165" s="11">
        <v>-0.49</v>
      </c>
      <c r="AB165" s="12">
        <v>1994613</v>
      </c>
      <c r="AC165" s="12">
        <v>2144613</v>
      </c>
      <c r="AD165" s="12">
        <v>600000</v>
      </c>
      <c r="AE165" s="12">
        <v>700000</v>
      </c>
      <c r="AF165" s="12">
        <v>2013529</v>
      </c>
      <c r="AG165" s="12">
        <v>1900000</v>
      </c>
      <c r="AH165" s="11">
        <v>8.26</v>
      </c>
      <c r="AI165" s="11">
        <v>7.57</v>
      </c>
      <c r="AJ165" s="13"/>
    </row>
    <row r="166" spans="1:36" x14ac:dyDescent="0.25">
      <c r="A166" t="str">
        <f>"500402"</f>
        <v>500402</v>
      </c>
      <c r="B166" t="s">
        <v>254</v>
      </c>
      <c r="C166" s="10">
        <v>231084269</v>
      </c>
      <c r="D166" s="10">
        <v>237334978</v>
      </c>
      <c r="E166" s="11">
        <v>2.7</v>
      </c>
      <c r="F166" s="12">
        <v>151461007</v>
      </c>
      <c r="G166" s="12">
        <v>155836794</v>
      </c>
      <c r="H166" s="12"/>
      <c r="I166" s="12"/>
      <c r="J166" s="12"/>
      <c r="K166" s="12"/>
      <c r="L166" s="12"/>
      <c r="M166" s="12"/>
      <c r="N166" s="12">
        <v>151461007</v>
      </c>
      <c r="O166" s="12">
        <v>155836794</v>
      </c>
      <c r="P166" s="11">
        <v>2.89</v>
      </c>
      <c r="Q166" s="12">
        <v>1815441</v>
      </c>
      <c r="R166" s="12">
        <v>1788273</v>
      </c>
      <c r="S166" s="12">
        <v>149645566</v>
      </c>
      <c r="T166" s="12">
        <v>154048521</v>
      </c>
      <c r="U166" s="12">
        <v>149645566</v>
      </c>
      <c r="V166" s="12">
        <v>154048521</v>
      </c>
      <c r="W166" s="12">
        <v>0</v>
      </c>
      <c r="X166" s="12">
        <v>0</v>
      </c>
      <c r="Y166" s="12">
        <v>8794</v>
      </c>
      <c r="Z166" s="12">
        <v>8877</v>
      </c>
      <c r="AA166" s="11">
        <v>0.94</v>
      </c>
      <c r="AB166" s="12">
        <v>101815</v>
      </c>
      <c r="AC166" s="12">
        <v>102447</v>
      </c>
      <c r="AD166" s="12">
        <v>729346</v>
      </c>
      <c r="AE166" s="12">
        <v>735000</v>
      </c>
      <c r="AF166" s="12">
        <v>9158479</v>
      </c>
      <c r="AG166" s="12">
        <v>9158479</v>
      </c>
      <c r="AH166" s="11">
        <v>3.96</v>
      </c>
      <c r="AI166" s="11">
        <v>3.86</v>
      </c>
      <c r="AJ166" s="13"/>
    </row>
    <row r="167" spans="1:36" x14ac:dyDescent="0.25">
      <c r="A167" t="str">
        <f>"261313"</f>
        <v>261313</v>
      </c>
      <c r="B167" t="s">
        <v>255</v>
      </c>
      <c r="C167" s="10">
        <v>27592226</v>
      </c>
      <c r="D167" s="10">
        <v>28232922</v>
      </c>
      <c r="E167" s="11">
        <v>2.3199999999999998</v>
      </c>
      <c r="F167" s="12">
        <v>13723746</v>
      </c>
      <c r="G167" s="12">
        <v>14016778</v>
      </c>
      <c r="H167" s="12"/>
      <c r="I167" s="12"/>
      <c r="J167" s="12"/>
      <c r="K167" s="12"/>
      <c r="L167" s="12"/>
      <c r="M167" s="12"/>
      <c r="N167" s="12">
        <v>13723746</v>
      </c>
      <c r="O167" s="12">
        <v>14016778</v>
      </c>
      <c r="P167" s="11">
        <v>2.14</v>
      </c>
      <c r="Q167" s="12">
        <v>0</v>
      </c>
      <c r="R167" s="12">
        <v>0</v>
      </c>
      <c r="S167" s="12">
        <v>13723746</v>
      </c>
      <c r="T167" s="12">
        <v>14016778</v>
      </c>
      <c r="U167" s="12">
        <v>13723746</v>
      </c>
      <c r="V167" s="12">
        <v>14016778</v>
      </c>
      <c r="W167" s="12">
        <v>0</v>
      </c>
      <c r="X167" s="12">
        <v>0</v>
      </c>
      <c r="Y167" s="12">
        <v>1047</v>
      </c>
      <c r="Z167" s="12">
        <v>1049</v>
      </c>
      <c r="AA167" s="11">
        <v>0.19</v>
      </c>
      <c r="AB167" s="12">
        <v>16938467</v>
      </c>
      <c r="AC167" s="12">
        <v>17299465</v>
      </c>
      <c r="AD167" s="12">
        <v>400000</v>
      </c>
      <c r="AE167" s="12">
        <v>400000</v>
      </c>
      <c r="AF167" s="12">
        <v>1103689</v>
      </c>
      <c r="AG167" s="12">
        <v>1129316</v>
      </c>
      <c r="AH167" s="11">
        <v>4</v>
      </c>
      <c r="AI167" s="11">
        <v>4</v>
      </c>
      <c r="AJ167" s="13"/>
    </row>
    <row r="168" spans="1:36" x14ac:dyDescent="0.25">
      <c r="A168" t="str">
        <f>"280219"</f>
        <v>280219</v>
      </c>
      <c r="B168" t="s">
        <v>256</v>
      </c>
      <c r="C168" s="10">
        <v>38274432</v>
      </c>
      <c r="D168" s="10">
        <v>39422943</v>
      </c>
      <c r="E168" s="11">
        <v>3</v>
      </c>
      <c r="F168" s="12">
        <v>29126399</v>
      </c>
      <c r="G168" s="12">
        <v>29802571</v>
      </c>
      <c r="H168" s="12"/>
      <c r="I168" s="12"/>
      <c r="J168" s="12"/>
      <c r="K168" s="12"/>
      <c r="L168" s="12"/>
      <c r="M168" s="12"/>
      <c r="N168" s="12">
        <v>29126399</v>
      </c>
      <c r="O168" s="12">
        <v>29802571</v>
      </c>
      <c r="P168" s="11">
        <v>2.3199999999999998</v>
      </c>
      <c r="Q168" s="12">
        <v>877240</v>
      </c>
      <c r="R168" s="12">
        <v>867351</v>
      </c>
      <c r="S168" s="12">
        <v>28249159</v>
      </c>
      <c r="T168" s="12">
        <v>28935220</v>
      </c>
      <c r="U168" s="12">
        <v>28249159</v>
      </c>
      <c r="V168" s="12">
        <v>28935220</v>
      </c>
      <c r="W168" s="12">
        <v>0</v>
      </c>
      <c r="X168" s="12">
        <v>0</v>
      </c>
      <c r="Y168" s="12">
        <v>1145</v>
      </c>
      <c r="Z168" s="12">
        <v>1169</v>
      </c>
      <c r="AA168" s="11">
        <v>2.1</v>
      </c>
      <c r="AB168" s="12">
        <v>7666652</v>
      </c>
      <c r="AC168" s="12">
        <v>8189323</v>
      </c>
      <c r="AD168" s="12">
        <v>760000</v>
      </c>
      <c r="AE168" s="12">
        <v>760000</v>
      </c>
      <c r="AF168" s="12">
        <v>2506020</v>
      </c>
      <c r="AG168" s="12">
        <v>1576917</v>
      </c>
      <c r="AH168" s="11">
        <v>6.55</v>
      </c>
      <c r="AI168" s="11">
        <v>4</v>
      </c>
      <c r="AJ168" s="13"/>
    </row>
    <row r="169" spans="1:36" x14ac:dyDescent="0.25">
      <c r="A169" t="str">
        <f>"420401"</f>
        <v>420401</v>
      </c>
      <c r="B169" t="s">
        <v>257</v>
      </c>
      <c r="C169" s="10">
        <v>78005057</v>
      </c>
      <c r="D169" s="10">
        <v>80262301</v>
      </c>
      <c r="E169" s="11">
        <v>2.89</v>
      </c>
      <c r="F169" s="12">
        <v>45693003</v>
      </c>
      <c r="G169" s="12">
        <v>47253781</v>
      </c>
      <c r="H169" s="12"/>
      <c r="I169" s="12"/>
      <c r="J169" s="12"/>
      <c r="K169" s="12"/>
      <c r="L169" s="12"/>
      <c r="M169" s="12"/>
      <c r="N169" s="12">
        <v>45693003</v>
      </c>
      <c r="O169" s="12">
        <v>47253781</v>
      </c>
      <c r="P169" s="11">
        <v>3.42</v>
      </c>
      <c r="Q169" s="12">
        <v>1499497</v>
      </c>
      <c r="R169" s="12">
        <v>1809405</v>
      </c>
      <c r="S169" s="12">
        <v>44289550</v>
      </c>
      <c r="T169" s="12">
        <v>45444376</v>
      </c>
      <c r="U169" s="12">
        <v>44193506</v>
      </c>
      <c r="V169" s="12">
        <v>45444376</v>
      </c>
      <c r="W169" s="12">
        <v>96044</v>
      </c>
      <c r="X169" s="12">
        <v>0</v>
      </c>
      <c r="Y169" s="12">
        <v>3500</v>
      </c>
      <c r="Z169" s="12">
        <v>3492</v>
      </c>
      <c r="AA169" s="11">
        <v>-0.23</v>
      </c>
      <c r="AB169" s="12">
        <v>18872026</v>
      </c>
      <c r="AC169" s="12">
        <v>18273218</v>
      </c>
      <c r="AD169" s="12">
        <v>350000</v>
      </c>
      <c r="AE169" s="12">
        <v>500000</v>
      </c>
      <c r="AF169" s="12">
        <v>3113551</v>
      </c>
      <c r="AG169" s="12">
        <v>3210492</v>
      </c>
      <c r="AH169" s="11">
        <v>3.99</v>
      </c>
      <c r="AI169" s="11">
        <v>4</v>
      </c>
      <c r="AJ169" s="13"/>
    </row>
    <row r="170" spans="1:36" x14ac:dyDescent="0.25">
      <c r="A170" t="str">
        <f>"280402"</f>
        <v>280402</v>
      </c>
      <c r="B170" t="s">
        <v>258</v>
      </c>
      <c r="C170" s="10">
        <v>58290375</v>
      </c>
      <c r="D170" s="10">
        <v>60007038</v>
      </c>
      <c r="E170" s="11">
        <v>2.95</v>
      </c>
      <c r="F170" s="12">
        <v>52955796</v>
      </c>
      <c r="G170" s="12">
        <v>54268930</v>
      </c>
      <c r="H170" s="12"/>
      <c r="I170" s="12"/>
      <c r="J170" s="12"/>
      <c r="K170" s="12"/>
      <c r="L170" s="12"/>
      <c r="M170" s="12"/>
      <c r="N170" s="12">
        <v>52955796</v>
      </c>
      <c r="O170" s="12">
        <v>54268930</v>
      </c>
      <c r="P170" s="11">
        <v>2.48</v>
      </c>
      <c r="Q170" s="12">
        <v>2020996</v>
      </c>
      <c r="R170" s="12">
        <v>2009500</v>
      </c>
      <c r="S170" s="12">
        <v>53179188</v>
      </c>
      <c r="T170" s="12">
        <v>55188688</v>
      </c>
      <c r="U170" s="12">
        <v>50934800</v>
      </c>
      <c r="V170" s="12">
        <v>52259430</v>
      </c>
      <c r="W170" s="12">
        <v>2244388</v>
      </c>
      <c r="X170" s="12">
        <v>2929258</v>
      </c>
      <c r="Y170" s="12">
        <v>1686</v>
      </c>
      <c r="Z170" s="12">
        <v>1726</v>
      </c>
      <c r="AA170" s="11">
        <v>2.37</v>
      </c>
      <c r="AB170" s="12">
        <v>10590971</v>
      </c>
      <c r="AC170" s="12">
        <v>10908700</v>
      </c>
      <c r="AD170" s="12">
        <v>544000</v>
      </c>
      <c r="AE170" s="12">
        <v>544000</v>
      </c>
      <c r="AF170" s="12">
        <v>2331615</v>
      </c>
      <c r="AG170" s="12">
        <v>2403219</v>
      </c>
      <c r="AH170" s="11">
        <v>4</v>
      </c>
      <c r="AI170" s="11">
        <v>4</v>
      </c>
      <c r="AJ170" s="13"/>
    </row>
    <row r="171" spans="1:36" x14ac:dyDescent="0.25">
      <c r="A171" t="str">
        <f>"660301"</f>
        <v>660301</v>
      </c>
      <c r="B171" t="s">
        <v>259</v>
      </c>
      <c r="C171" s="10">
        <v>83560000</v>
      </c>
      <c r="D171" s="10">
        <v>85733000</v>
      </c>
      <c r="E171" s="11">
        <v>2.6</v>
      </c>
      <c r="F171" s="12">
        <v>72049000</v>
      </c>
      <c r="G171" s="12">
        <v>73485000</v>
      </c>
      <c r="H171" s="12"/>
      <c r="I171" s="12"/>
      <c r="J171" s="12"/>
      <c r="K171" s="12"/>
      <c r="L171" s="12"/>
      <c r="M171" s="12"/>
      <c r="N171" s="12">
        <v>72049000</v>
      </c>
      <c r="O171" s="12">
        <v>73485000</v>
      </c>
      <c r="P171" s="11">
        <v>1.99</v>
      </c>
      <c r="Q171" s="12">
        <v>4767017</v>
      </c>
      <c r="R171" s="12">
        <v>4652491</v>
      </c>
      <c r="S171" s="12">
        <v>67282807</v>
      </c>
      <c r="T171" s="12">
        <v>68833395</v>
      </c>
      <c r="U171" s="12">
        <v>67281983</v>
      </c>
      <c r="V171" s="12">
        <v>68832509</v>
      </c>
      <c r="W171" s="12">
        <v>824</v>
      </c>
      <c r="X171" s="12">
        <v>886</v>
      </c>
      <c r="Y171" s="12">
        <v>3238</v>
      </c>
      <c r="Z171" s="12">
        <v>3241</v>
      </c>
      <c r="AA171" s="11">
        <v>0.09</v>
      </c>
      <c r="AB171" s="12">
        <v>4444056</v>
      </c>
      <c r="AC171" s="12">
        <v>4455000</v>
      </c>
      <c r="AD171" s="12">
        <v>923162</v>
      </c>
      <c r="AE171" s="12">
        <v>900000</v>
      </c>
      <c r="AF171" s="12">
        <v>3342397</v>
      </c>
      <c r="AG171" s="12">
        <v>3429320</v>
      </c>
      <c r="AH171" s="11">
        <v>4</v>
      </c>
      <c r="AI171" s="11">
        <v>4</v>
      </c>
      <c r="AJ171" s="13"/>
    </row>
    <row r="172" spans="1:36" x14ac:dyDescent="0.25">
      <c r="A172" t="str">
        <f>"580912"</f>
        <v>580912</v>
      </c>
      <c r="B172" t="s">
        <v>260</v>
      </c>
      <c r="C172" s="10">
        <v>92922780</v>
      </c>
      <c r="D172" s="10">
        <v>93502384</v>
      </c>
      <c r="E172" s="11">
        <v>0.62</v>
      </c>
      <c r="F172" s="12">
        <v>53217393</v>
      </c>
      <c r="G172" s="12">
        <v>54191936</v>
      </c>
      <c r="H172" s="12"/>
      <c r="I172" s="12"/>
      <c r="J172" s="12"/>
      <c r="K172" s="12"/>
      <c r="L172" s="12"/>
      <c r="M172" s="12"/>
      <c r="N172" s="12">
        <v>53217393</v>
      </c>
      <c r="O172" s="12">
        <v>54191936</v>
      </c>
      <c r="P172" s="11">
        <v>1.83</v>
      </c>
      <c r="Q172" s="12">
        <v>940857</v>
      </c>
      <c r="R172" s="12">
        <v>420690</v>
      </c>
      <c r="S172" s="12">
        <v>52276536</v>
      </c>
      <c r="T172" s="12">
        <v>53771246</v>
      </c>
      <c r="U172" s="12">
        <v>52276536</v>
      </c>
      <c r="V172" s="12">
        <v>53771246</v>
      </c>
      <c r="W172" s="12">
        <v>0</v>
      </c>
      <c r="X172" s="12">
        <v>0</v>
      </c>
      <c r="Y172" s="12">
        <v>3381</v>
      </c>
      <c r="Z172" s="12">
        <v>3222</v>
      </c>
      <c r="AA172" s="11">
        <v>-4.7</v>
      </c>
      <c r="AB172" s="12">
        <v>2114937</v>
      </c>
      <c r="AC172" s="12">
        <v>2114937</v>
      </c>
      <c r="AD172" s="12">
        <v>950554</v>
      </c>
      <c r="AE172" s="12">
        <v>0</v>
      </c>
      <c r="AF172" s="12">
        <v>2079838</v>
      </c>
      <c r="AG172" s="12">
        <v>2079838</v>
      </c>
      <c r="AH172" s="11">
        <v>2.2400000000000002</v>
      </c>
      <c r="AI172" s="11">
        <v>2.2200000000000002</v>
      </c>
      <c r="AJ172" s="13"/>
    </row>
    <row r="173" spans="1:36" x14ac:dyDescent="0.25">
      <c r="A173" t="str">
        <f>"141201"</f>
        <v>141201</v>
      </c>
      <c r="B173" t="s">
        <v>261</v>
      </c>
      <c r="C173" s="10">
        <v>29017733</v>
      </c>
      <c r="D173" s="10">
        <v>30090130</v>
      </c>
      <c r="E173" s="11">
        <v>3.7</v>
      </c>
      <c r="F173" s="12">
        <v>14275945</v>
      </c>
      <c r="G173" s="12">
        <v>14561463</v>
      </c>
      <c r="H173" s="12"/>
      <c r="I173" s="12"/>
      <c r="J173" s="12"/>
      <c r="K173" s="12"/>
      <c r="L173" s="12"/>
      <c r="M173" s="12"/>
      <c r="N173" s="12">
        <v>14275945</v>
      </c>
      <c r="O173" s="12">
        <v>14561463</v>
      </c>
      <c r="P173" s="11">
        <v>2</v>
      </c>
      <c r="Q173" s="12">
        <v>0</v>
      </c>
      <c r="R173" s="12">
        <v>0</v>
      </c>
      <c r="S173" s="12">
        <v>14275945</v>
      </c>
      <c r="T173" s="12">
        <v>14342010</v>
      </c>
      <c r="U173" s="12">
        <v>14275945</v>
      </c>
      <c r="V173" s="12">
        <v>14561463</v>
      </c>
      <c r="W173" s="12">
        <v>0</v>
      </c>
      <c r="X173" s="12">
        <v>-219453</v>
      </c>
      <c r="Y173" s="12">
        <v>1349</v>
      </c>
      <c r="Z173" s="12">
        <v>1384</v>
      </c>
      <c r="AA173" s="11">
        <v>2.59</v>
      </c>
      <c r="AB173" s="12">
        <v>8125341</v>
      </c>
      <c r="AC173" s="12">
        <v>8125342</v>
      </c>
      <c r="AD173" s="12">
        <v>1154401</v>
      </c>
      <c r="AE173" s="12">
        <v>586141</v>
      </c>
      <c r="AF173" s="12">
        <v>1108560</v>
      </c>
      <c r="AG173" s="12">
        <v>1203605</v>
      </c>
      <c r="AH173" s="11">
        <v>3.82</v>
      </c>
      <c r="AI173" s="11">
        <v>4</v>
      </c>
      <c r="AJ173" s="13"/>
    </row>
    <row r="174" spans="1:36" x14ac:dyDescent="0.25">
      <c r="A174" t="str">
        <f>"660406"</f>
        <v>660406</v>
      </c>
      <c r="B174" t="s">
        <v>262</v>
      </c>
      <c r="C174" s="10">
        <v>57092835</v>
      </c>
      <c r="D174" s="10">
        <v>59129371</v>
      </c>
      <c r="E174" s="11">
        <v>3.57</v>
      </c>
      <c r="F174" s="12">
        <v>49795849</v>
      </c>
      <c r="G174" s="12">
        <v>51975302</v>
      </c>
      <c r="H174" s="12"/>
      <c r="I174" s="12"/>
      <c r="J174" s="12"/>
      <c r="K174" s="12"/>
      <c r="L174" s="12"/>
      <c r="M174" s="12"/>
      <c r="N174" s="12">
        <v>49795849</v>
      </c>
      <c r="O174" s="12">
        <v>51975302</v>
      </c>
      <c r="P174" s="11">
        <v>4.38</v>
      </c>
      <c r="Q174" s="12">
        <v>1836103</v>
      </c>
      <c r="R174" s="12">
        <v>1806884</v>
      </c>
      <c r="S174" s="12">
        <v>47980584</v>
      </c>
      <c r="T174" s="12">
        <v>50168418</v>
      </c>
      <c r="U174" s="12">
        <v>47959746</v>
      </c>
      <c r="V174" s="12">
        <v>50168418</v>
      </c>
      <c r="W174" s="12">
        <v>20838</v>
      </c>
      <c r="X174" s="12">
        <v>0</v>
      </c>
      <c r="Y174" s="12">
        <v>1943</v>
      </c>
      <c r="Z174" s="12">
        <v>2013</v>
      </c>
      <c r="AA174" s="11">
        <v>3.6</v>
      </c>
      <c r="AB174" s="12">
        <v>6159587</v>
      </c>
      <c r="AC174" s="12">
        <v>5958529</v>
      </c>
      <c r="AD174" s="12">
        <v>2139419</v>
      </c>
      <c r="AE174" s="12">
        <v>1957713</v>
      </c>
      <c r="AF174" s="12">
        <v>2283713</v>
      </c>
      <c r="AG174" s="12">
        <v>2365175</v>
      </c>
      <c r="AH174" s="11">
        <v>4</v>
      </c>
      <c r="AI174" s="11">
        <v>4</v>
      </c>
      <c r="AJ174" s="13"/>
    </row>
    <row r="175" spans="1:36" x14ac:dyDescent="0.25">
      <c r="A175" t="str">
        <f>"520601"</f>
        <v>520601</v>
      </c>
      <c r="B175" t="s">
        <v>263</v>
      </c>
      <c r="C175" s="10">
        <v>3501990</v>
      </c>
      <c r="D175" s="10">
        <v>3568035</v>
      </c>
      <c r="E175" s="11">
        <v>1.89</v>
      </c>
      <c r="F175" s="12">
        <v>2204890</v>
      </c>
      <c r="G175" s="12">
        <v>2269935</v>
      </c>
      <c r="H175" s="12"/>
      <c r="I175" s="12"/>
      <c r="J175" s="12"/>
      <c r="K175" s="12"/>
      <c r="L175" s="12"/>
      <c r="M175" s="12"/>
      <c r="N175" s="12">
        <v>2204890</v>
      </c>
      <c r="O175" s="12">
        <v>2269935</v>
      </c>
      <c r="P175" s="11">
        <v>2.95</v>
      </c>
      <c r="Q175" s="12">
        <v>0</v>
      </c>
      <c r="R175" s="12">
        <v>0</v>
      </c>
      <c r="S175" s="12">
        <v>2204898</v>
      </c>
      <c r="T175" s="12">
        <v>2276658</v>
      </c>
      <c r="U175" s="12">
        <v>2204890</v>
      </c>
      <c r="V175" s="12">
        <v>2269935</v>
      </c>
      <c r="W175" s="12">
        <v>8</v>
      </c>
      <c r="X175" s="12">
        <v>6723</v>
      </c>
      <c r="Y175" s="12">
        <v>80</v>
      </c>
      <c r="Z175" s="12">
        <v>70</v>
      </c>
      <c r="AA175" s="11">
        <v>-12.5</v>
      </c>
      <c r="AB175" s="12">
        <v>1535528</v>
      </c>
      <c r="AC175" s="12">
        <v>1506248</v>
      </c>
      <c r="AD175" s="12">
        <v>400000</v>
      </c>
      <c r="AE175" s="12">
        <v>380000</v>
      </c>
      <c r="AF175" s="12">
        <v>140080</v>
      </c>
      <c r="AG175" s="12">
        <v>142790</v>
      </c>
      <c r="AH175" s="11">
        <v>4</v>
      </c>
      <c r="AI175" s="11">
        <v>4</v>
      </c>
      <c r="AJ175" s="13"/>
    </row>
    <row r="176" spans="1:36" x14ac:dyDescent="0.25">
      <c r="A176" t="str">
        <f>"470501"</f>
        <v>470501</v>
      </c>
      <c r="B176" t="s">
        <v>264</v>
      </c>
      <c r="C176" s="10">
        <v>10807243</v>
      </c>
      <c r="D176" s="10">
        <v>10823886</v>
      </c>
      <c r="E176" s="11">
        <v>0.15</v>
      </c>
      <c r="F176" s="12">
        <v>2552091</v>
      </c>
      <c r="G176" s="12">
        <v>2601970</v>
      </c>
      <c r="H176" s="12"/>
      <c r="I176" s="12"/>
      <c r="J176" s="12"/>
      <c r="K176" s="12"/>
      <c r="L176" s="12"/>
      <c r="M176" s="12"/>
      <c r="N176" s="12">
        <v>2552091</v>
      </c>
      <c r="O176" s="12">
        <v>2601970</v>
      </c>
      <c r="P176" s="11">
        <v>1.95</v>
      </c>
      <c r="Q176" s="12">
        <v>0</v>
      </c>
      <c r="R176" s="12">
        <v>0</v>
      </c>
      <c r="S176" s="12">
        <v>2610922</v>
      </c>
      <c r="T176" s="12">
        <v>2601970</v>
      </c>
      <c r="U176" s="12">
        <v>2552091</v>
      </c>
      <c r="V176" s="12">
        <v>2601970</v>
      </c>
      <c r="W176" s="12">
        <v>58831</v>
      </c>
      <c r="X176" s="12">
        <v>0</v>
      </c>
      <c r="Y176" s="12">
        <v>404</v>
      </c>
      <c r="Z176" s="12">
        <v>400</v>
      </c>
      <c r="AA176" s="11">
        <v>-0.99</v>
      </c>
      <c r="AB176" s="12">
        <v>1106318</v>
      </c>
      <c r="AC176" s="12">
        <v>976118</v>
      </c>
      <c r="AD176" s="12">
        <v>206975</v>
      </c>
      <c r="AE176" s="12">
        <v>206975</v>
      </c>
      <c r="AF176" s="12">
        <v>609938</v>
      </c>
      <c r="AG176" s="12">
        <v>515638</v>
      </c>
      <c r="AH176" s="11">
        <v>5.64</v>
      </c>
      <c r="AI176" s="11">
        <v>4.76</v>
      </c>
      <c r="AJ176" s="13"/>
    </row>
    <row r="177" spans="1:36" x14ac:dyDescent="0.25">
      <c r="A177" t="str">
        <f>"513102"</f>
        <v>513102</v>
      </c>
      <c r="B177" t="s">
        <v>265</v>
      </c>
      <c r="C177" s="10">
        <v>15212061</v>
      </c>
      <c r="D177" s="10">
        <v>15661402</v>
      </c>
      <c r="E177" s="11">
        <v>2.95</v>
      </c>
      <c r="F177" s="12">
        <v>1936606</v>
      </c>
      <c r="G177" s="12">
        <v>1955972</v>
      </c>
      <c r="H177" s="12"/>
      <c r="I177" s="12"/>
      <c r="J177" s="12"/>
      <c r="K177" s="12"/>
      <c r="L177" s="12"/>
      <c r="M177" s="12"/>
      <c r="N177" s="12">
        <v>1936606</v>
      </c>
      <c r="O177" s="12">
        <v>1955972</v>
      </c>
      <c r="P177" s="11">
        <v>1</v>
      </c>
      <c r="Q177" s="12">
        <v>50430</v>
      </c>
      <c r="R177" s="12">
        <v>43829</v>
      </c>
      <c r="S177" s="12">
        <v>1955616</v>
      </c>
      <c r="T177" s="12">
        <v>1951027</v>
      </c>
      <c r="U177" s="12">
        <v>1886176</v>
      </c>
      <c r="V177" s="12">
        <v>1912143</v>
      </c>
      <c r="W177" s="12">
        <v>69440</v>
      </c>
      <c r="X177" s="12">
        <v>38884</v>
      </c>
      <c r="Y177" s="12">
        <v>556</v>
      </c>
      <c r="Z177" s="12">
        <v>542</v>
      </c>
      <c r="AA177" s="11">
        <v>-2.52</v>
      </c>
      <c r="AB177" s="12">
        <v>2488330</v>
      </c>
      <c r="AC177" s="12">
        <v>2516125</v>
      </c>
      <c r="AD177" s="12">
        <v>869064</v>
      </c>
      <c r="AE177" s="12">
        <v>831000</v>
      </c>
      <c r="AF177" s="12">
        <v>737379</v>
      </c>
      <c r="AG177" s="12">
        <v>630264</v>
      </c>
      <c r="AH177" s="11">
        <v>4.8499999999999996</v>
      </c>
      <c r="AI177" s="11">
        <v>4.0199999999999996</v>
      </c>
      <c r="AJ177" s="13"/>
    </row>
    <row r="178" spans="1:36" x14ac:dyDescent="0.25">
      <c r="A178" t="str">
        <f>"180901"</f>
        <v>180901</v>
      </c>
      <c r="B178" t="s">
        <v>266</v>
      </c>
      <c r="C178" s="10">
        <v>9273839</v>
      </c>
      <c r="D178" s="10">
        <v>9720931</v>
      </c>
      <c r="E178" s="11">
        <v>4.82</v>
      </c>
      <c r="F178" s="12">
        <v>2962193</v>
      </c>
      <c r="G178" s="12">
        <v>3021437</v>
      </c>
      <c r="H178" s="12"/>
      <c r="I178" s="12"/>
      <c r="J178" s="12"/>
      <c r="K178" s="12"/>
      <c r="L178" s="12"/>
      <c r="M178" s="12"/>
      <c r="N178" s="12">
        <v>2962193</v>
      </c>
      <c r="O178" s="12">
        <v>3021437</v>
      </c>
      <c r="P178" s="11">
        <v>2</v>
      </c>
      <c r="Q178" s="12">
        <v>152347</v>
      </c>
      <c r="R178" s="12">
        <v>172249</v>
      </c>
      <c r="S178" s="12">
        <v>2919478</v>
      </c>
      <c r="T178" s="12">
        <v>2930011</v>
      </c>
      <c r="U178" s="12">
        <v>2809846</v>
      </c>
      <c r="V178" s="12">
        <v>2849188</v>
      </c>
      <c r="W178" s="12">
        <v>109632</v>
      </c>
      <c r="X178" s="12">
        <v>80823</v>
      </c>
      <c r="Y178" s="12">
        <v>404</v>
      </c>
      <c r="Z178" s="12">
        <v>400</v>
      </c>
      <c r="AA178" s="11">
        <v>-0.99</v>
      </c>
      <c r="AB178" s="12">
        <v>268539</v>
      </c>
      <c r="AC178" s="12">
        <v>280484</v>
      </c>
      <c r="AD178" s="12">
        <v>280484</v>
      </c>
      <c r="AE178" s="12">
        <v>285780</v>
      </c>
      <c r="AF178" s="12">
        <v>370953</v>
      </c>
      <c r="AG178" s="12">
        <v>375323</v>
      </c>
      <c r="AH178" s="11">
        <v>4</v>
      </c>
      <c r="AI178" s="11">
        <v>3.86</v>
      </c>
      <c r="AJ178" s="13"/>
    </row>
    <row r="179" spans="1:36" x14ac:dyDescent="0.25">
      <c r="A179" t="str">
        <f>"590801"</f>
        <v>590801</v>
      </c>
      <c r="B179" t="s">
        <v>267</v>
      </c>
      <c r="C179" s="10">
        <v>17172172</v>
      </c>
      <c r="D179" s="10">
        <v>16848150</v>
      </c>
      <c r="E179" s="11">
        <v>-1.89</v>
      </c>
      <c r="F179" s="12">
        <v>10121532</v>
      </c>
      <c r="G179" s="12">
        <v>10429023</v>
      </c>
      <c r="H179" s="12"/>
      <c r="I179" s="12"/>
      <c r="J179" s="12"/>
      <c r="K179" s="12"/>
      <c r="L179" s="12"/>
      <c r="M179" s="12"/>
      <c r="N179" s="12">
        <v>10121532</v>
      </c>
      <c r="O179" s="12">
        <v>10429023</v>
      </c>
      <c r="P179" s="11">
        <v>3.04</v>
      </c>
      <c r="Q179" s="12">
        <v>825687</v>
      </c>
      <c r="R179" s="12">
        <v>869936</v>
      </c>
      <c r="S179" s="12">
        <v>9295845</v>
      </c>
      <c r="T179" s="12">
        <v>9559087</v>
      </c>
      <c r="U179" s="12">
        <v>9295845</v>
      </c>
      <c r="V179" s="12">
        <v>9559087</v>
      </c>
      <c r="W179" s="12">
        <v>0</v>
      </c>
      <c r="X179" s="12">
        <v>0</v>
      </c>
      <c r="Y179" s="12">
        <v>554</v>
      </c>
      <c r="Z179" s="12">
        <v>526</v>
      </c>
      <c r="AA179" s="11">
        <v>-5.05</v>
      </c>
      <c r="AB179" s="12">
        <v>1325228</v>
      </c>
      <c r="AC179" s="12">
        <v>1325228</v>
      </c>
      <c r="AD179" s="12">
        <v>200000</v>
      </c>
      <c r="AE179" s="12">
        <v>100000</v>
      </c>
      <c r="AF179" s="12">
        <v>284416</v>
      </c>
      <c r="AG179" s="12">
        <v>54789</v>
      </c>
      <c r="AH179" s="11">
        <v>1.66</v>
      </c>
      <c r="AI179" s="11">
        <v>0.33</v>
      </c>
      <c r="AJ179" s="13"/>
    </row>
    <row r="180" spans="1:36" x14ac:dyDescent="0.25">
      <c r="A180" t="str">
        <f>"150301"</f>
        <v>150301</v>
      </c>
      <c r="B180" t="s">
        <v>268</v>
      </c>
      <c r="C180" s="10">
        <v>8356000</v>
      </c>
      <c r="D180" s="10">
        <v>8276000</v>
      </c>
      <c r="E180" s="11">
        <v>-0.96</v>
      </c>
      <c r="F180" s="12">
        <v>3740982</v>
      </c>
      <c r="G180" s="12">
        <v>3856598</v>
      </c>
      <c r="H180" s="12"/>
      <c r="I180" s="12"/>
      <c r="J180" s="12"/>
      <c r="K180" s="12"/>
      <c r="L180" s="12"/>
      <c r="M180" s="12"/>
      <c r="N180" s="12">
        <v>3740982</v>
      </c>
      <c r="O180" s="12">
        <v>3856598</v>
      </c>
      <c r="P180" s="11">
        <v>3.09</v>
      </c>
      <c r="Q180" s="12">
        <v>0</v>
      </c>
      <c r="R180" s="12">
        <v>16757</v>
      </c>
      <c r="S180" s="12">
        <v>3740982</v>
      </c>
      <c r="T180" s="12">
        <v>3839841</v>
      </c>
      <c r="U180" s="12">
        <v>3740982</v>
      </c>
      <c r="V180" s="12">
        <v>3839841</v>
      </c>
      <c r="W180" s="12">
        <v>0</v>
      </c>
      <c r="X180" s="12">
        <v>0</v>
      </c>
      <c r="Y180" s="12">
        <v>253</v>
      </c>
      <c r="Z180" s="12">
        <v>258</v>
      </c>
      <c r="AA180" s="11">
        <v>1.98</v>
      </c>
      <c r="AB180" s="12">
        <v>1783043</v>
      </c>
      <c r="AC180" s="12">
        <v>1686150</v>
      </c>
      <c r="AD180" s="12">
        <v>0</v>
      </c>
      <c r="AE180" s="12">
        <v>286080</v>
      </c>
      <c r="AF180" s="12">
        <v>531467</v>
      </c>
      <c r="AG180" s="12">
        <v>331040</v>
      </c>
      <c r="AH180" s="11">
        <v>6.36</v>
      </c>
      <c r="AI180" s="11">
        <v>4</v>
      </c>
      <c r="AJ180" s="13"/>
    </row>
    <row r="181" spans="1:36" x14ac:dyDescent="0.25">
      <c r="A181" t="str">
        <f>"622002"</f>
        <v>622002</v>
      </c>
      <c r="B181" t="s">
        <v>269</v>
      </c>
      <c r="C181" s="10">
        <v>49899279</v>
      </c>
      <c r="D181" s="10">
        <v>51876905</v>
      </c>
      <c r="E181" s="11">
        <v>3.96</v>
      </c>
      <c r="F181" s="12">
        <v>23612596</v>
      </c>
      <c r="G181" s="12">
        <v>24001822</v>
      </c>
      <c r="H181" s="12"/>
      <c r="I181" s="12"/>
      <c r="J181" s="12"/>
      <c r="K181" s="12"/>
      <c r="L181" s="12"/>
      <c r="M181" s="12"/>
      <c r="N181" s="12">
        <v>23612596</v>
      </c>
      <c r="O181" s="12">
        <v>24001822</v>
      </c>
      <c r="P181" s="11">
        <v>1.65</v>
      </c>
      <c r="Q181" s="12">
        <v>372916</v>
      </c>
      <c r="R181" s="12">
        <v>273262</v>
      </c>
      <c r="S181" s="12">
        <v>23239680</v>
      </c>
      <c r="T181" s="12">
        <v>23728560</v>
      </c>
      <c r="U181" s="12">
        <v>23239680</v>
      </c>
      <c r="V181" s="12">
        <v>23728560</v>
      </c>
      <c r="W181" s="12">
        <v>0</v>
      </c>
      <c r="X181" s="12">
        <v>0</v>
      </c>
      <c r="Y181" s="12">
        <v>1666</v>
      </c>
      <c r="Z181" s="12">
        <v>1666</v>
      </c>
      <c r="AA181" s="11">
        <v>0</v>
      </c>
      <c r="AB181" s="12">
        <v>4230891</v>
      </c>
      <c r="AC181" s="12">
        <v>3349809</v>
      </c>
      <c r="AD181" s="12">
        <v>3554430</v>
      </c>
      <c r="AE181" s="12">
        <v>4000607</v>
      </c>
      <c r="AF181" s="12">
        <v>1995971</v>
      </c>
      <c r="AG181" s="12">
        <v>2075076</v>
      </c>
      <c r="AH181" s="11">
        <v>4</v>
      </c>
      <c r="AI181" s="11">
        <v>4</v>
      </c>
      <c r="AJ181" s="13"/>
    </row>
    <row r="182" spans="1:36" x14ac:dyDescent="0.25">
      <c r="A182" t="str">
        <f>"040901"</f>
        <v>040901</v>
      </c>
      <c r="B182" t="s">
        <v>270</v>
      </c>
      <c r="C182" s="10">
        <v>12319921</v>
      </c>
      <c r="D182" s="10">
        <v>12753502</v>
      </c>
      <c r="E182" s="11">
        <v>3.52</v>
      </c>
      <c r="F182" s="12">
        <v>7203262</v>
      </c>
      <c r="G182" s="12">
        <v>7444299</v>
      </c>
      <c r="H182" s="12">
        <v>0</v>
      </c>
      <c r="I182" s="12">
        <v>31164</v>
      </c>
      <c r="J182" s="12">
        <v>32000</v>
      </c>
      <c r="K182" s="12">
        <v>0</v>
      </c>
      <c r="L182" s="12"/>
      <c r="M182" s="12"/>
      <c r="N182" s="12">
        <v>7235262</v>
      </c>
      <c r="O182" s="12">
        <v>7475463</v>
      </c>
      <c r="P182" s="11">
        <v>3.32</v>
      </c>
      <c r="Q182" s="12">
        <v>445393</v>
      </c>
      <c r="R182" s="12">
        <v>459413</v>
      </c>
      <c r="S182" s="12">
        <v>6634676</v>
      </c>
      <c r="T182" s="12">
        <v>6984886</v>
      </c>
      <c r="U182" s="12">
        <v>6789869</v>
      </c>
      <c r="V182" s="12">
        <v>6984886</v>
      </c>
      <c r="W182" s="12">
        <v>-155193</v>
      </c>
      <c r="X182" s="12">
        <v>0</v>
      </c>
      <c r="Y182" s="12">
        <v>625</v>
      </c>
      <c r="Z182" s="12">
        <v>640</v>
      </c>
      <c r="AA182" s="11">
        <v>2.4</v>
      </c>
      <c r="AB182" s="12">
        <v>467531</v>
      </c>
      <c r="AC182" s="12">
        <v>497000</v>
      </c>
      <c r="AD182" s="12">
        <v>450000</v>
      </c>
      <c r="AE182" s="12">
        <v>450000</v>
      </c>
      <c r="AF182" s="12">
        <v>843195</v>
      </c>
      <c r="AG182" s="12">
        <v>845000</v>
      </c>
      <c r="AH182" s="11">
        <v>6.84</v>
      </c>
      <c r="AI182" s="11">
        <v>6.63</v>
      </c>
      <c r="AJ182" s="13"/>
    </row>
    <row r="183" spans="1:36" x14ac:dyDescent="0.25">
      <c r="A183" t="str">
        <f>"070600"</f>
        <v>070600</v>
      </c>
      <c r="B183" t="s">
        <v>271</v>
      </c>
      <c r="C183" s="10">
        <v>127201994</v>
      </c>
      <c r="D183" s="10">
        <v>127885274</v>
      </c>
      <c r="E183" s="11">
        <v>0.54</v>
      </c>
      <c r="F183" s="12">
        <v>33001508</v>
      </c>
      <c r="G183" s="12">
        <v>33496850</v>
      </c>
      <c r="H183" s="12"/>
      <c r="I183" s="12"/>
      <c r="J183" s="12"/>
      <c r="K183" s="12"/>
      <c r="L183" s="12"/>
      <c r="M183" s="12"/>
      <c r="N183" s="12">
        <v>33001508</v>
      </c>
      <c r="O183" s="12">
        <v>33496850</v>
      </c>
      <c r="P183" s="11">
        <v>1.5</v>
      </c>
      <c r="Q183" s="12">
        <v>776746</v>
      </c>
      <c r="R183" s="12">
        <v>910837</v>
      </c>
      <c r="S183" s="12">
        <v>32224762</v>
      </c>
      <c r="T183" s="12">
        <v>32864850</v>
      </c>
      <c r="U183" s="12">
        <v>32224762</v>
      </c>
      <c r="V183" s="12">
        <v>32586013</v>
      </c>
      <c r="W183" s="12">
        <v>0</v>
      </c>
      <c r="X183" s="12">
        <v>278837</v>
      </c>
      <c r="Y183" s="12">
        <v>6963</v>
      </c>
      <c r="Z183" s="12">
        <v>7039</v>
      </c>
      <c r="AA183" s="11">
        <v>1.0900000000000001</v>
      </c>
      <c r="AB183" s="12">
        <v>18613970</v>
      </c>
      <c r="AC183" s="12">
        <v>20000000</v>
      </c>
      <c r="AD183" s="12">
        <v>666042</v>
      </c>
      <c r="AE183" s="12">
        <v>500000</v>
      </c>
      <c r="AF183" s="12">
        <v>5088080</v>
      </c>
      <c r="AG183" s="12">
        <v>5113026</v>
      </c>
      <c r="AH183" s="11">
        <v>4</v>
      </c>
      <c r="AI183" s="11">
        <v>4</v>
      </c>
      <c r="AJ183" s="13"/>
    </row>
    <row r="184" spans="1:36" x14ac:dyDescent="0.25">
      <c r="A184" t="str">
        <f>"070902"</f>
        <v>070902</v>
      </c>
      <c r="B184" t="s">
        <v>272</v>
      </c>
      <c r="C184" s="10">
        <v>21376148</v>
      </c>
      <c r="D184" s="10">
        <v>22525858</v>
      </c>
      <c r="E184" s="11">
        <v>5.38</v>
      </c>
      <c r="F184" s="12">
        <v>7631798</v>
      </c>
      <c r="G184" s="12">
        <v>7811997</v>
      </c>
      <c r="H184" s="12"/>
      <c r="I184" s="12"/>
      <c r="J184" s="12"/>
      <c r="K184" s="12"/>
      <c r="L184" s="12"/>
      <c r="M184" s="12"/>
      <c r="N184" s="12">
        <v>7631798</v>
      </c>
      <c r="O184" s="12">
        <v>7811997</v>
      </c>
      <c r="P184" s="11">
        <v>2.36</v>
      </c>
      <c r="Q184" s="12">
        <v>431792</v>
      </c>
      <c r="R184" s="12">
        <v>426017</v>
      </c>
      <c r="S184" s="12">
        <v>7386430</v>
      </c>
      <c r="T184" s="12">
        <v>7385980</v>
      </c>
      <c r="U184" s="12">
        <v>7200006</v>
      </c>
      <c r="V184" s="12">
        <v>7385980</v>
      </c>
      <c r="W184" s="12">
        <v>186424</v>
      </c>
      <c r="X184" s="12">
        <v>0</v>
      </c>
      <c r="Y184" s="12">
        <v>1026</v>
      </c>
      <c r="Z184" s="12">
        <v>1074</v>
      </c>
      <c r="AA184" s="11">
        <v>4.68</v>
      </c>
      <c r="AB184" s="12">
        <v>2819281</v>
      </c>
      <c r="AC184" s="12">
        <v>3069281</v>
      </c>
      <c r="AD184" s="12">
        <v>697791</v>
      </c>
      <c r="AE184" s="12">
        <v>803834</v>
      </c>
      <c r="AF184" s="12">
        <v>1605650</v>
      </c>
      <c r="AG184" s="12">
        <v>1408000</v>
      </c>
      <c r="AH184" s="11">
        <v>7.51</v>
      </c>
      <c r="AI184" s="11">
        <v>6.25</v>
      </c>
      <c r="AJ184" s="13"/>
    </row>
    <row r="185" spans="1:36" x14ac:dyDescent="0.25">
      <c r="A185" t="str">
        <f>"280216"</f>
        <v>280216</v>
      </c>
      <c r="B185" t="s">
        <v>273</v>
      </c>
      <c r="C185" s="10">
        <v>86409734</v>
      </c>
      <c r="D185" s="10">
        <v>89479090</v>
      </c>
      <c r="E185" s="11">
        <v>3.55</v>
      </c>
      <c r="F185" s="12">
        <v>52317479</v>
      </c>
      <c r="G185" s="12">
        <v>54267649</v>
      </c>
      <c r="H185" s="12">
        <v>1007988</v>
      </c>
      <c r="I185" s="12">
        <v>1008088</v>
      </c>
      <c r="J185" s="12"/>
      <c r="K185" s="12"/>
      <c r="L185" s="12"/>
      <c r="M185" s="12"/>
      <c r="N185" s="12">
        <v>53325467</v>
      </c>
      <c r="O185" s="12">
        <v>55275737</v>
      </c>
      <c r="P185" s="11">
        <v>3.66</v>
      </c>
      <c r="Q185" s="12">
        <v>1873401</v>
      </c>
      <c r="R185" s="12">
        <v>1760350</v>
      </c>
      <c r="S185" s="12">
        <v>52941547</v>
      </c>
      <c r="T185" s="12">
        <v>52538398</v>
      </c>
      <c r="U185" s="12">
        <v>50444078</v>
      </c>
      <c r="V185" s="12">
        <v>52507299</v>
      </c>
      <c r="W185" s="12">
        <v>2497469</v>
      </c>
      <c r="X185" s="12">
        <v>31099</v>
      </c>
      <c r="Y185" s="12">
        <v>3590</v>
      </c>
      <c r="Z185" s="12">
        <v>3570</v>
      </c>
      <c r="AA185" s="11">
        <v>-0.56000000000000005</v>
      </c>
      <c r="AB185" s="12">
        <v>5172407</v>
      </c>
      <c r="AC185" s="12">
        <v>5397616</v>
      </c>
      <c r="AD185" s="12">
        <v>5996515</v>
      </c>
      <c r="AE185" s="12">
        <v>5650000</v>
      </c>
      <c r="AF185" s="12">
        <v>2863375</v>
      </c>
      <c r="AG185" s="12">
        <v>1233240</v>
      </c>
      <c r="AH185" s="11">
        <v>3.31</v>
      </c>
      <c r="AI185" s="11">
        <v>1.38</v>
      </c>
      <c r="AJ185" s="13"/>
    </row>
    <row r="186" spans="1:36" x14ac:dyDescent="0.25">
      <c r="A186" t="str">
        <f>"660409"</f>
        <v>660409</v>
      </c>
      <c r="B186" t="s">
        <v>274</v>
      </c>
      <c r="C186" s="10">
        <v>34147076</v>
      </c>
      <c r="D186" s="10">
        <v>34830065</v>
      </c>
      <c r="E186" s="11">
        <v>2</v>
      </c>
      <c r="F186" s="12">
        <v>29793303</v>
      </c>
      <c r="G186" s="12">
        <v>30647732</v>
      </c>
      <c r="H186" s="12"/>
      <c r="I186" s="12"/>
      <c r="J186" s="12"/>
      <c r="K186" s="12"/>
      <c r="L186" s="12"/>
      <c r="M186" s="12"/>
      <c r="N186" s="12">
        <v>29793303</v>
      </c>
      <c r="O186" s="12">
        <v>30647732</v>
      </c>
      <c r="P186" s="11">
        <v>2.87</v>
      </c>
      <c r="Q186" s="12">
        <v>0</v>
      </c>
      <c r="R186" s="12">
        <v>0</v>
      </c>
      <c r="S186" s="12">
        <v>29793303</v>
      </c>
      <c r="T186" s="12">
        <v>31139782</v>
      </c>
      <c r="U186" s="12">
        <v>29793303</v>
      </c>
      <c r="V186" s="12">
        <v>30647732</v>
      </c>
      <c r="W186" s="12">
        <v>0</v>
      </c>
      <c r="X186" s="12">
        <v>492050</v>
      </c>
      <c r="Y186" s="12">
        <v>977</v>
      </c>
      <c r="Z186" s="12">
        <v>979</v>
      </c>
      <c r="AA186" s="11">
        <v>0.2</v>
      </c>
      <c r="AB186" s="12">
        <v>17403074</v>
      </c>
      <c r="AC186" s="12">
        <v>13160065</v>
      </c>
      <c r="AD186" s="12">
        <v>1568534</v>
      </c>
      <c r="AE186" s="12">
        <v>1403538</v>
      </c>
      <c r="AF186" s="12">
        <v>1365882</v>
      </c>
      <c r="AG186" s="12">
        <v>1393202</v>
      </c>
      <c r="AH186" s="11">
        <v>4</v>
      </c>
      <c r="AI186" s="11">
        <v>4</v>
      </c>
      <c r="AJ186" s="13"/>
    </row>
    <row r="187" spans="1:36" x14ac:dyDescent="0.25">
      <c r="A187" t="str">
        <f>"580401"</f>
        <v>580401</v>
      </c>
      <c r="B187" t="s">
        <v>275</v>
      </c>
      <c r="C187" s="10">
        <v>60330370</v>
      </c>
      <c r="D187" s="10">
        <v>61606082</v>
      </c>
      <c r="E187" s="11">
        <v>2.11</v>
      </c>
      <c r="F187" s="12">
        <v>44719437</v>
      </c>
      <c r="G187" s="12">
        <v>45937729</v>
      </c>
      <c r="H187" s="12"/>
      <c r="I187" s="12"/>
      <c r="J187" s="12"/>
      <c r="K187" s="12"/>
      <c r="L187" s="12"/>
      <c r="M187" s="12"/>
      <c r="N187" s="12">
        <v>44719437</v>
      </c>
      <c r="O187" s="12">
        <v>45937729</v>
      </c>
      <c r="P187" s="11">
        <v>2.72</v>
      </c>
      <c r="Q187" s="12">
        <v>738088</v>
      </c>
      <c r="R187" s="12">
        <v>1635619</v>
      </c>
      <c r="S187" s="12">
        <v>44037320</v>
      </c>
      <c r="T187" s="12">
        <v>44969710</v>
      </c>
      <c r="U187" s="12">
        <v>43981349</v>
      </c>
      <c r="V187" s="12">
        <v>44302110</v>
      </c>
      <c r="W187" s="12">
        <v>55971</v>
      </c>
      <c r="X187" s="12">
        <v>667600</v>
      </c>
      <c r="Y187" s="12">
        <v>2199</v>
      </c>
      <c r="Z187" s="12">
        <v>2181</v>
      </c>
      <c r="AA187" s="11">
        <v>-0.82</v>
      </c>
      <c r="AB187" s="12">
        <v>3057838</v>
      </c>
      <c r="AC187" s="12">
        <v>4112333</v>
      </c>
      <c r="AD187" s="12">
        <v>1559686</v>
      </c>
      <c r="AE187" s="12">
        <v>1333716</v>
      </c>
      <c r="AF187" s="12">
        <v>2412752</v>
      </c>
      <c r="AG187" s="12">
        <v>2461300</v>
      </c>
      <c r="AH187" s="11">
        <v>4</v>
      </c>
      <c r="AI187" s="11">
        <v>4</v>
      </c>
      <c r="AJ187" s="13"/>
    </row>
    <row r="188" spans="1:36" x14ac:dyDescent="0.25">
      <c r="A188" t="str">
        <f>"141401"</f>
        <v>141401</v>
      </c>
      <c r="B188" t="s">
        <v>276</v>
      </c>
      <c r="C188" s="10">
        <v>58226079</v>
      </c>
      <c r="D188" s="10">
        <v>58877065</v>
      </c>
      <c r="E188" s="11">
        <v>1.1200000000000001</v>
      </c>
      <c r="F188" s="12">
        <v>17259821</v>
      </c>
      <c r="G188" s="12">
        <v>17518718</v>
      </c>
      <c r="H188" s="12"/>
      <c r="I188" s="12"/>
      <c r="J188" s="12"/>
      <c r="K188" s="12"/>
      <c r="L188" s="12"/>
      <c r="M188" s="12"/>
      <c r="N188" s="12">
        <v>17259821</v>
      </c>
      <c r="O188" s="12">
        <v>17518718</v>
      </c>
      <c r="P188" s="11">
        <v>1.5</v>
      </c>
      <c r="Q188" s="12">
        <v>778604</v>
      </c>
      <c r="R188" s="12">
        <v>182998</v>
      </c>
      <c r="S188" s="12">
        <v>16481217</v>
      </c>
      <c r="T188" s="12">
        <v>16842515</v>
      </c>
      <c r="U188" s="12">
        <v>16481217</v>
      </c>
      <c r="V188" s="12">
        <v>17335720</v>
      </c>
      <c r="W188" s="12">
        <v>0</v>
      </c>
      <c r="X188" s="12">
        <v>-493205</v>
      </c>
      <c r="Y188" s="12">
        <v>2373</v>
      </c>
      <c r="Z188" s="12">
        <v>2293</v>
      </c>
      <c r="AA188" s="11">
        <v>-3.37</v>
      </c>
      <c r="AB188" s="12">
        <v>6847709</v>
      </c>
      <c r="AC188" s="12">
        <v>6564418</v>
      </c>
      <c r="AD188" s="12">
        <v>1750000</v>
      </c>
      <c r="AE188" s="12">
        <v>1750000</v>
      </c>
      <c r="AF188" s="12">
        <v>2302229</v>
      </c>
      <c r="AG188" s="12">
        <v>2355083</v>
      </c>
      <c r="AH188" s="11">
        <v>3.95</v>
      </c>
      <c r="AI188" s="11">
        <v>4</v>
      </c>
      <c r="AJ188" s="13"/>
    </row>
    <row r="189" spans="1:36" x14ac:dyDescent="0.25">
      <c r="A189" t="str">
        <f>"420601"</f>
        <v>420601</v>
      </c>
      <c r="B189" t="s">
        <v>277</v>
      </c>
      <c r="C189" s="10">
        <v>17880606</v>
      </c>
      <c r="D189" s="10">
        <v>18531553</v>
      </c>
      <c r="E189" s="11">
        <v>3.64</v>
      </c>
      <c r="F189" s="12">
        <v>8243418</v>
      </c>
      <c r="G189" s="12">
        <v>8441260</v>
      </c>
      <c r="H189" s="12"/>
      <c r="I189" s="12"/>
      <c r="J189" s="12"/>
      <c r="K189" s="12"/>
      <c r="L189" s="12"/>
      <c r="M189" s="12"/>
      <c r="N189" s="12">
        <v>8243418</v>
      </c>
      <c r="O189" s="12">
        <v>8441260</v>
      </c>
      <c r="P189" s="11">
        <v>2.4</v>
      </c>
      <c r="Q189" s="12">
        <v>0</v>
      </c>
      <c r="R189" s="12">
        <v>0</v>
      </c>
      <c r="S189" s="12">
        <v>8243418</v>
      </c>
      <c r="T189" s="12">
        <v>8551772</v>
      </c>
      <c r="U189" s="12">
        <v>8243418</v>
      </c>
      <c r="V189" s="12">
        <v>8441260</v>
      </c>
      <c r="W189" s="12">
        <v>0</v>
      </c>
      <c r="X189" s="12">
        <v>110512</v>
      </c>
      <c r="Y189" s="12">
        <v>649</v>
      </c>
      <c r="Z189" s="12">
        <v>649</v>
      </c>
      <c r="AA189" s="11">
        <v>0</v>
      </c>
      <c r="AB189" s="12">
        <v>2272864</v>
      </c>
      <c r="AC189" s="12">
        <v>2323706</v>
      </c>
      <c r="AD189" s="12">
        <v>226109</v>
      </c>
      <c r="AE189" s="12">
        <v>350000</v>
      </c>
      <c r="AF189" s="12">
        <v>715275</v>
      </c>
      <c r="AG189" s="12">
        <v>740542</v>
      </c>
      <c r="AH189" s="11">
        <v>4</v>
      </c>
      <c r="AI189" s="11">
        <v>4</v>
      </c>
      <c r="AJ189" s="13"/>
    </row>
    <row r="190" spans="1:36" x14ac:dyDescent="0.25">
      <c r="A190" t="str">
        <f>"261301"</f>
        <v>261301</v>
      </c>
      <c r="B190" t="s">
        <v>278</v>
      </c>
      <c r="C190" s="10">
        <v>127036967</v>
      </c>
      <c r="D190" s="10">
        <v>129015913</v>
      </c>
      <c r="E190" s="11">
        <v>1.56</v>
      </c>
      <c r="F190" s="12">
        <v>72652229</v>
      </c>
      <c r="G190" s="12">
        <v>74992736</v>
      </c>
      <c r="H190" s="12">
        <v>386788</v>
      </c>
      <c r="I190" s="12">
        <v>390688</v>
      </c>
      <c r="J190" s="12"/>
      <c r="K190" s="12"/>
      <c r="L190" s="12"/>
      <c r="M190" s="12"/>
      <c r="N190" s="12">
        <v>73039017</v>
      </c>
      <c r="O190" s="12">
        <v>75383424</v>
      </c>
      <c r="P190" s="11">
        <v>3.21</v>
      </c>
      <c r="Q190" s="12">
        <v>1788961</v>
      </c>
      <c r="R190" s="12">
        <v>1900331</v>
      </c>
      <c r="S190" s="12">
        <v>71250056</v>
      </c>
      <c r="T190" s="12">
        <v>73483093</v>
      </c>
      <c r="U190" s="12">
        <v>70863268</v>
      </c>
      <c r="V190" s="12">
        <v>73092405</v>
      </c>
      <c r="W190" s="12">
        <v>386788</v>
      </c>
      <c r="X190" s="12">
        <v>390688</v>
      </c>
      <c r="Y190" s="12">
        <v>5802</v>
      </c>
      <c r="Z190" s="12">
        <v>5693</v>
      </c>
      <c r="AA190" s="11">
        <v>-1.88</v>
      </c>
      <c r="AB190" s="12">
        <v>19889775</v>
      </c>
      <c r="AC190" s="12">
        <v>20043814</v>
      </c>
      <c r="AD190" s="12">
        <v>5192934</v>
      </c>
      <c r="AE190" s="12">
        <v>3918584</v>
      </c>
      <c r="AF190" s="12">
        <v>5081479</v>
      </c>
      <c r="AG190" s="12">
        <v>5160000</v>
      </c>
      <c r="AH190" s="11">
        <v>4</v>
      </c>
      <c r="AI190" s="11">
        <v>4</v>
      </c>
      <c r="AJ190" s="13"/>
    </row>
    <row r="191" spans="1:36" x14ac:dyDescent="0.25">
      <c r="A191" t="str">
        <f>"061101"</f>
        <v>061101</v>
      </c>
      <c r="B191" t="s">
        <v>279</v>
      </c>
      <c r="C191" s="10">
        <v>22674271</v>
      </c>
      <c r="D191" s="10">
        <v>23134545</v>
      </c>
      <c r="E191" s="11">
        <v>2.0299999999999998</v>
      </c>
      <c r="F191" s="12">
        <v>7006464</v>
      </c>
      <c r="G191" s="12">
        <v>7006464</v>
      </c>
      <c r="H191" s="12"/>
      <c r="I191" s="12"/>
      <c r="J191" s="12"/>
      <c r="K191" s="12"/>
      <c r="L191" s="12"/>
      <c r="M191" s="12"/>
      <c r="N191" s="12">
        <v>7006464</v>
      </c>
      <c r="O191" s="12">
        <v>7006464</v>
      </c>
      <c r="P191" s="11">
        <v>0</v>
      </c>
      <c r="Q191" s="12">
        <v>0</v>
      </c>
      <c r="R191" s="12">
        <v>0</v>
      </c>
      <c r="S191" s="12">
        <v>7223522</v>
      </c>
      <c r="T191" s="12">
        <v>7272069</v>
      </c>
      <c r="U191" s="12">
        <v>7006464</v>
      </c>
      <c r="V191" s="12">
        <v>7006464</v>
      </c>
      <c r="W191" s="12">
        <v>217058</v>
      </c>
      <c r="X191" s="12">
        <v>265605</v>
      </c>
      <c r="Y191" s="12">
        <v>1133</v>
      </c>
      <c r="Z191" s="12">
        <v>1140</v>
      </c>
      <c r="AA191" s="11">
        <v>0.62</v>
      </c>
      <c r="AB191" s="12">
        <v>7794782</v>
      </c>
      <c r="AC191" s="12">
        <v>7820676</v>
      </c>
      <c r="AD191" s="12">
        <v>1763728</v>
      </c>
      <c r="AE191" s="12">
        <v>1750000</v>
      </c>
      <c r="AF191" s="12">
        <v>2361202</v>
      </c>
      <c r="AG191" s="12">
        <v>2100000</v>
      </c>
      <c r="AH191" s="11">
        <v>10.41</v>
      </c>
      <c r="AI191" s="11">
        <v>9.08</v>
      </c>
      <c r="AJ191" s="13"/>
    </row>
    <row r="192" spans="1:36" x14ac:dyDescent="0.25">
      <c r="A192" t="str">
        <f>"590501"</f>
        <v>590501</v>
      </c>
      <c r="B192" t="s">
        <v>280</v>
      </c>
      <c r="C192" s="10">
        <v>43123663</v>
      </c>
      <c r="D192" s="10">
        <v>43606807</v>
      </c>
      <c r="E192" s="11">
        <v>1.1200000000000001</v>
      </c>
      <c r="F192" s="12">
        <v>19371656</v>
      </c>
      <c r="G192" s="12">
        <v>19739717</v>
      </c>
      <c r="H192" s="12"/>
      <c r="I192" s="12"/>
      <c r="J192" s="12"/>
      <c r="K192" s="12"/>
      <c r="L192" s="12"/>
      <c r="M192" s="12"/>
      <c r="N192" s="12">
        <v>19371656</v>
      </c>
      <c r="O192" s="12">
        <v>19739717</v>
      </c>
      <c r="P192" s="11">
        <v>1.9</v>
      </c>
      <c r="Q192" s="12">
        <v>0</v>
      </c>
      <c r="R192" s="12">
        <v>0</v>
      </c>
      <c r="S192" s="12">
        <v>19493867</v>
      </c>
      <c r="T192" s="12">
        <v>19990047</v>
      </c>
      <c r="U192" s="12">
        <v>19371656</v>
      </c>
      <c r="V192" s="12">
        <v>19739717</v>
      </c>
      <c r="W192" s="12">
        <v>122211</v>
      </c>
      <c r="X192" s="12">
        <v>250330</v>
      </c>
      <c r="Y192" s="12">
        <v>1390</v>
      </c>
      <c r="Z192" s="12">
        <v>1413</v>
      </c>
      <c r="AA192" s="11">
        <v>1.65</v>
      </c>
      <c r="AB192" s="12">
        <v>1071679</v>
      </c>
      <c r="AC192" s="12">
        <v>1074358</v>
      </c>
      <c r="AD192" s="12">
        <v>1687128</v>
      </c>
      <c r="AE192" s="12">
        <v>1597056</v>
      </c>
      <c r="AF192" s="12">
        <v>5503669</v>
      </c>
      <c r="AG192" s="12">
        <v>5906613</v>
      </c>
      <c r="AH192" s="11">
        <v>12.76</v>
      </c>
      <c r="AI192" s="11">
        <v>13.55</v>
      </c>
      <c r="AJ192" s="13"/>
    </row>
    <row r="193" spans="1:36" x14ac:dyDescent="0.25">
      <c r="A193" t="str">
        <f>"280522"</f>
        <v>280522</v>
      </c>
      <c r="B193" t="s">
        <v>281</v>
      </c>
      <c r="C193" s="10">
        <v>162299331</v>
      </c>
      <c r="D193" s="10">
        <v>165707424</v>
      </c>
      <c r="E193" s="11">
        <v>2.1</v>
      </c>
      <c r="F193" s="12">
        <v>120240900</v>
      </c>
      <c r="G193" s="12">
        <v>123823161</v>
      </c>
      <c r="H193" s="12"/>
      <c r="I193" s="12"/>
      <c r="J193" s="12"/>
      <c r="K193" s="12"/>
      <c r="L193" s="12"/>
      <c r="M193" s="12"/>
      <c r="N193" s="12">
        <v>120240900</v>
      </c>
      <c r="O193" s="12">
        <v>123823161</v>
      </c>
      <c r="P193" s="11">
        <v>2.98</v>
      </c>
      <c r="Q193" s="12">
        <v>1536690</v>
      </c>
      <c r="R193" s="12">
        <v>2632809</v>
      </c>
      <c r="S193" s="12">
        <v>118704210</v>
      </c>
      <c r="T193" s="12">
        <v>121190352</v>
      </c>
      <c r="U193" s="12">
        <v>118704210</v>
      </c>
      <c r="V193" s="12">
        <v>121190352</v>
      </c>
      <c r="W193" s="12">
        <v>0</v>
      </c>
      <c r="X193" s="12">
        <v>0</v>
      </c>
      <c r="Y193" s="12">
        <v>5738</v>
      </c>
      <c r="Z193" s="12">
        <v>5614</v>
      </c>
      <c r="AA193" s="11">
        <v>-2.16</v>
      </c>
      <c r="AB193" s="12">
        <v>28794352</v>
      </c>
      <c r="AC193" s="12">
        <v>22029596</v>
      </c>
      <c r="AD193" s="12">
        <v>5500000</v>
      </c>
      <c r="AE193" s="12">
        <v>5500000</v>
      </c>
      <c r="AF193" s="12">
        <v>6491973</v>
      </c>
      <c r="AG193" s="12">
        <v>6628297</v>
      </c>
      <c r="AH193" s="11">
        <v>4</v>
      </c>
      <c r="AI193" s="11">
        <v>4</v>
      </c>
      <c r="AJ193" s="13"/>
    </row>
    <row r="194" spans="1:36" x14ac:dyDescent="0.25">
      <c r="A194" t="str">
        <f>"421001"</f>
        <v>421001</v>
      </c>
      <c r="B194" t="s">
        <v>282</v>
      </c>
      <c r="C194" s="10">
        <v>80728938</v>
      </c>
      <c r="D194" s="10">
        <v>82898692</v>
      </c>
      <c r="E194" s="11">
        <v>2.69</v>
      </c>
      <c r="F194" s="12">
        <v>59483104</v>
      </c>
      <c r="G194" s="12">
        <v>61666302</v>
      </c>
      <c r="H194" s="12"/>
      <c r="I194" s="12"/>
      <c r="J194" s="12"/>
      <c r="K194" s="12"/>
      <c r="L194" s="12"/>
      <c r="M194" s="12"/>
      <c r="N194" s="12">
        <v>59483104</v>
      </c>
      <c r="O194" s="12">
        <v>61666302</v>
      </c>
      <c r="P194" s="11">
        <v>3.67</v>
      </c>
      <c r="Q194" s="12">
        <v>547430</v>
      </c>
      <c r="R194" s="12">
        <v>585411</v>
      </c>
      <c r="S194" s="12">
        <v>58936248</v>
      </c>
      <c r="T194" s="12">
        <v>61175891</v>
      </c>
      <c r="U194" s="12">
        <v>58935674</v>
      </c>
      <c r="V194" s="12">
        <v>61080891</v>
      </c>
      <c r="W194" s="12">
        <v>574</v>
      </c>
      <c r="X194" s="12">
        <v>95000</v>
      </c>
      <c r="Y194" s="12">
        <v>4226</v>
      </c>
      <c r="Z194" s="12">
        <v>4275</v>
      </c>
      <c r="AA194" s="11">
        <v>1.1599999999999999</v>
      </c>
      <c r="AB194" s="12">
        <v>16291539</v>
      </c>
      <c r="AC194" s="12">
        <v>18181539</v>
      </c>
      <c r="AD194" s="12">
        <v>725000</v>
      </c>
      <c r="AE194" s="12">
        <v>750000</v>
      </c>
      <c r="AF194" s="12">
        <v>3206170</v>
      </c>
      <c r="AG194" s="12">
        <v>3274498</v>
      </c>
      <c r="AH194" s="11">
        <v>3.97</v>
      </c>
      <c r="AI194" s="11">
        <v>3.95</v>
      </c>
      <c r="AJ194" s="13"/>
    </row>
    <row r="195" spans="1:36" x14ac:dyDescent="0.25">
      <c r="A195" t="str">
        <f>"022001"</f>
        <v>022001</v>
      </c>
      <c r="B195" t="s">
        <v>283</v>
      </c>
      <c r="C195" s="10">
        <v>16163076</v>
      </c>
      <c r="D195" s="10">
        <v>16006172</v>
      </c>
      <c r="E195" s="11">
        <v>-0.97</v>
      </c>
      <c r="F195" s="12">
        <v>2470783</v>
      </c>
      <c r="G195" s="12">
        <v>2522246</v>
      </c>
      <c r="H195" s="12"/>
      <c r="I195" s="12"/>
      <c r="J195" s="12"/>
      <c r="K195" s="12"/>
      <c r="L195" s="12">
        <v>0</v>
      </c>
      <c r="M195" s="12">
        <v>5296</v>
      </c>
      <c r="N195" s="12">
        <v>2470783</v>
      </c>
      <c r="O195" s="12">
        <v>2516950</v>
      </c>
      <c r="P195" s="11">
        <v>1.87</v>
      </c>
      <c r="Q195" s="12">
        <v>0</v>
      </c>
      <c r="R195" s="12">
        <v>0</v>
      </c>
      <c r="S195" s="12">
        <v>2470783</v>
      </c>
      <c r="T195" s="12">
        <v>2522246</v>
      </c>
      <c r="U195" s="12">
        <v>2470783</v>
      </c>
      <c r="V195" s="12">
        <v>2522246</v>
      </c>
      <c r="W195" s="12">
        <v>0</v>
      </c>
      <c r="X195" s="12">
        <v>0</v>
      </c>
      <c r="Y195" s="12">
        <v>629</v>
      </c>
      <c r="Z195" s="12">
        <v>650</v>
      </c>
      <c r="AA195" s="11">
        <v>3.34</v>
      </c>
      <c r="AB195" s="12">
        <v>1347167</v>
      </c>
      <c r="AC195" s="12">
        <v>3374197</v>
      </c>
      <c r="AD195" s="12">
        <v>117353</v>
      </c>
      <c r="AE195" s="12">
        <v>306530</v>
      </c>
      <c r="AF195" s="12">
        <v>2807405</v>
      </c>
      <c r="AG195" s="12">
        <v>640247</v>
      </c>
      <c r="AH195" s="11">
        <v>17.37</v>
      </c>
      <c r="AI195" s="11">
        <v>4</v>
      </c>
      <c r="AJ195" s="13"/>
    </row>
    <row r="196" spans="1:36" x14ac:dyDescent="0.25">
      <c r="A196" t="str">
        <f>"580514"</f>
        <v>580514</v>
      </c>
      <c r="B196" t="s">
        <v>284</v>
      </c>
      <c r="C196" s="10">
        <v>5687131</v>
      </c>
      <c r="D196" s="10">
        <v>5708219</v>
      </c>
      <c r="E196" s="11">
        <v>0.37</v>
      </c>
      <c r="F196" s="12">
        <v>5082291</v>
      </c>
      <c r="G196" s="12">
        <v>5082291</v>
      </c>
      <c r="H196" s="12"/>
      <c r="I196" s="12"/>
      <c r="J196" s="12"/>
      <c r="K196" s="12"/>
      <c r="L196" s="12"/>
      <c r="M196" s="12"/>
      <c r="N196" s="12">
        <v>5082291</v>
      </c>
      <c r="O196" s="12">
        <v>5082291</v>
      </c>
      <c r="P196" s="11">
        <v>0</v>
      </c>
      <c r="Q196" s="12">
        <v>0</v>
      </c>
      <c r="R196" s="12">
        <v>0</v>
      </c>
      <c r="S196" s="12">
        <v>5222919</v>
      </c>
      <c r="T196" s="12">
        <v>5190158</v>
      </c>
      <c r="U196" s="12">
        <v>5082291</v>
      </c>
      <c r="V196" s="12">
        <v>5082291</v>
      </c>
      <c r="W196" s="12">
        <v>140628</v>
      </c>
      <c r="X196" s="12">
        <v>107867</v>
      </c>
      <c r="Y196" s="12">
        <v>48</v>
      </c>
      <c r="Z196" s="12">
        <v>51</v>
      </c>
      <c r="AA196" s="11">
        <v>6.25</v>
      </c>
      <c r="AB196" s="12">
        <v>2957537</v>
      </c>
      <c r="AC196" s="12">
        <v>2956317</v>
      </c>
      <c r="AD196" s="12">
        <v>150000</v>
      </c>
      <c r="AE196" s="12">
        <v>150000</v>
      </c>
      <c r="AF196" s="12">
        <v>227481</v>
      </c>
      <c r="AG196" s="12">
        <v>227500</v>
      </c>
      <c r="AH196" s="11">
        <v>4</v>
      </c>
      <c r="AI196" s="11">
        <v>3.99</v>
      </c>
      <c r="AJ196" s="13"/>
    </row>
    <row r="197" spans="1:36" x14ac:dyDescent="0.25">
      <c r="A197" t="str">
        <f>"581004"</f>
        <v>581004</v>
      </c>
      <c r="B197" t="s">
        <v>285</v>
      </c>
      <c r="C197" s="10">
        <v>3651419</v>
      </c>
      <c r="D197" s="10">
        <v>3705582</v>
      </c>
      <c r="E197" s="11">
        <v>1.48</v>
      </c>
      <c r="F197" s="12">
        <v>3200363</v>
      </c>
      <c r="G197" s="12">
        <v>3264370</v>
      </c>
      <c r="H197" s="12">
        <v>51000</v>
      </c>
      <c r="I197" s="12">
        <v>51000</v>
      </c>
      <c r="J197" s="12"/>
      <c r="K197" s="12"/>
      <c r="L197" s="12"/>
      <c r="M197" s="12"/>
      <c r="N197" s="12">
        <v>3251363</v>
      </c>
      <c r="O197" s="12">
        <v>3315370</v>
      </c>
      <c r="P197" s="11">
        <v>1.97</v>
      </c>
      <c r="Q197" s="12">
        <v>0</v>
      </c>
      <c r="R197" s="12">
        <v>0</v>
      </c>
      <c r="S197" s="12">
        <v>3200363</v>
      </c>
      <c r="T197" s="12">
        <v>3264370</v>
      </c>
      <c r="U197" s="12">
        <v>3200363</v>
      </c>
      <c r="V197" s="12">
        <v>3264370</v>
      </c>
      <c r="W197" s="12">
        <v>0</v>
      </c>
      <c r="X197" s="12">
        <v>0</v>
      </c>
      <c r="Y197" s="12">
        <v>69</v>
      </c>
      <c r="Z197" s="12">
        <v>70</v>
      </c>
      <c r="AA197" s="11">
        <v>1.45</v>
      </c>
      <c r="AB197" s="12">
        <v>0</v>
      </c>
      <c r="AC197" s="12">
        <v>0</v>
      </c>
      <c r="AD197" s="12">
        <v>20000</v>
      </c>
      <c r="AE197" s="12">
        <v>0</v>
      </c>
      <c r="AF197" s="12">
        <v>64633</v>
      </c>
      <c r="AG197" s="12">
        <v>0</v>
      </c>
      <c r="AH197" s="11">
        <v>1.77</v>
      </c>
      <c r="AI197" s="11">
        <v>0</v>
      </c>
      <c r="AJ197" s="13"/>
    </row>
    <row r="198" spans="1:36" x14ac:dyDescent="0.25">
      <c r="A198" t="str">
        <f>"280222"</f>
        <v>280222</v>
      </c>
      <c r="B198" t="s">
        <v>286</v>
      </c>
      <c r="C198" s="10">
        <v>30230573</v>
      </c>
      <c r="D198" s="10">
        <v>31078736</v>
      </c>
      <c r="E198" s="11">
        <v>2.81</v>
      </c>
      <c r="F198" s="12">
        <v>22839920</v>
      </c>
      <c r="G198" s="12">
        <v>23466342</v>
      </c>
      <c r="H198" s="12"/>
      <c r="I198" s="12"/>
      <c r="J198" s="12"/>
      <c r="K198" s="12"/>
      <c r="L198" s="12"/>
      <c r="M198" s="12"/>
      <c r="N198" s="12">
        <v>22839920</v>
      </c>
      <c r="O198" s="12">
        <v>23466342</v>
      </c>
      <c r="P198" s="11">
        <v>2.74</v>
      </c>
      <c r="Q198" s="12">
        <v>530936</v>
      </c>
      <c r="R198" s="12">
        <v>553114</v>
      </c>
      <c r="S198" s="12">
        <v>22309084</v>
      </c>
      <c r="T198" s="12">
        <v>22913328</v>
      </c>
      <c r="U198" s="12">
        <v>22308984</v>
      </c>
      <c r="V198" s="12">
        <v>22913228</v>
      </c>
      <c r="W198" s="12">
        <v>100</v>
      </c>
      <c r="X198" s="12">
        <v>100</v>
      </c>
      <c r="Y198" s="12">
        <v>1443</v>
      </c>
      <c r="Z198" s="12">
        <v>1439</v>
      </c>
      <c r="AA198" s="11">
        <v>-0.28000000000000003</v>
      </c>
      <c r="AB198" s="12">
        <v>6101496</v>
      </c>
      <c r="AC198" s="12">
        <v>5988000</v>
      </c>
      <c r="AD198" s="12">
        <v>1096034</v>
      </c>
      <c r="AE198" s="12">
        <v>1300000</v>
      </c>
      <c r="AF198" s="12">
        <v>1209223</v>
      </c>
      <c r="AG198" s="12">
        <v>1243149</v>
      </c>
      <c r="AH198" s="11">
        <v>4</v>
      </c>
      <c r="AI198" s="11">
        <v>4</v>
      </c>
      <c r="AJ198" s="13"/>
    </row>
    <row r="199" spans="1:36" x14ac:dyDescent="0.25">
      <c r="A199" t="str">
        <f>"442115"</f>
        <v>442115</v>
      </c>
      <c r="B199" t="s">
        <v>287</v>
      </c>
      <c r="C199" s="10">
        <v>21231803</v>
      </c>
      <c r="D199" s="10">
        <v>21690646</v>
      </c>
      <c r="E199" s="11">
        <v>2.16</v>
      </c>
      <c r="F199" s="12">
        <v>14633509</v>
      </c>
      <c r="G199" s="12">
        <v>15024588</v>
      </c>
      <c r="H199" s="12"/>
      <c r="I199" s="12"/>
      <c r="J199" s="12"/>
      <c r="K199" s="12"/>
      <c r="L199" s="12"/>
      <c r="M199" s="12"/>
      <c r="N199" s="12">
        <v>14633509</v>
      </c>
      <c r="O199" s="12">
        <v>15024588</v>
      </c>
      <c r="P199" s="11">
        <v>2.67</v>
      </c>
      <c r="Q199" s="12">
        <v>304775</v>
      </c>
      <c r="R199" s="12">
        <v>427566</v>
      </c>
      <c r="S199" s="12">
        <v>14328734</v>
      </c>
      <c r="T199" s="12">
        <v>14597022</v>
      </c>
      <c r="U199" s="12">
        <v>14328734</v>
      </c>
      <c r="V199" s="12">
        <v>14597022</v>
      </c>
      <c r="W199" s="12">
        <v>0</v>
      </c>
      <c r="X199" s="12">
        <v>0</v>
      </c>
      <c r="Y199" s="12">
        <v>820</v>
      </c>
      <c r="Z199" s="12">
        <v>823</v>
      </c>
      <c r="AA199" s="11">
        <v>0.37</v>
      </c>
      <c r="AB199" s="12">
        <v>2661007</v>
      </c>
      <c r="AC199" s="12">
        <v>3203323</v>
      </c>
      <c r="AD199" s="12">
        <v>275000</v>
      </c>
      <c r="AE199" s="12">
        <v>350000</v>
      </c>
      <c r="AF199" s="12">
        <v>1878983</v>
      </c>
      <c r="AG199" s="12">
        <v>865626</v>
      </c>
      <c r="AH199" s="11">
        <v>8.85</v>
      </c>
      <c r="AI199" s="11">
        <v>3.99</v>
      </c>
      <c r="AJ199" s="13"/>
    </row>
    <row r="200" spans="1:36" x14ac:dyDescent="0.25">
      <c r="A200" t="str">
        <f>"270601"</f>
        <v>270601</v>
      </c>
      <c r="B200" t="s">
        <v>288</v>
      </c>
      <c r="C200" s="10">
        <v>28210880</v>
      </c>
      <c r="D200" s="10">
        <v>29327099</v>
      </c>
      <c r="E200" s="11">
        <v>3.96</v>
      </c>
      <c r="F200" s="12">
        <v>10309451</v>
      </c>
      <c r="G200" s="12">
        <v>10309451</v>
      </c>
      <c r="H200" s="12">
        <v>28198</v>
      </c>
      <c r="I200" s="12">
        <v>30547</v>
      </c>
      <c r="J200" s="12"/>
      <c r="K200" s="12"/>
      <c r="L200" s="12"/>
      <c r="M200" s="12"/>
      <c r="N200" s="12">
        <v>10337649</v>
      </c>
      <c r="O200" s="12">
        <v>10339998</v>
      </c>
      <c r="P200" s="11">
        <v>0.02</v>
      </c>
      <c r="Q200" s="12">
        <v>134860</v>
      </c>
      <c r="R200" s="12">
        <v>0</v>
      </c>
      <c r="S200" s="12">
        <v>10254530</v>
      </c>
      <c r="T200" s="12">
        <v>10831833</v>
      </c>
      <c r="U200" s="12">
        <v>10174591</v>
      </c>
      <c r="V200" s="12">
        <v>10309451</v>
      </c>
      <c r="W200" s="12">
        <v>79939</v>
      </c>
      <c r="X200" s="12">
        <v>522382</v>
      </c>
      <c r="Y200" s="12">
        <v>1354</v>
      </c>
      <c r="Z200" s="12">
        <v>1358</v>
      </c>
      <c r="AA200" s="11">
        <v>0.3</v>
      </c>
      <c r="AB200" s="12">
        <v>1421410</v>
      </c>
      <c r="AC200" s="12">
        <v>1250000</v>
      </c>
      <c r="AD200" s="12">
        <v>218835</v>
      </c>
      <c r="AE200" s="12">
        <v>0</v>
      </c>
      <c r="AF200" s="12">
        <v>2693903</v>
      </c>
      <c r="AG200" s="12">
        <v>1600000</v>
      </c>
      <c r="AH200" s="11">
        <v>9.5500000000000007</v>
      </c>
      <c r="AI200" s="11">
        <v>5.46</v>
      </c>
      <c r="AJ200" s="13"/>
    </row>
    <row r="201" spans="1:36" x14ac:dyDescent="0.25">
      <c r="A201" s="16" t="str">
        <f>"061503"</f>
        <v>061503</v>
      </c>
      <c r="B201" s="16" t="s">
        <v>289</v>
      </c>
      <c r="C201" s="18">
        <v>12576393</v>
      </c>
      <c r="D201" s="18">
        <v>12787393</v>
      </c>
      <c r="E201" s="15">
        <v>1.68</v>
      </c>
      <c r="F201" s="19">
        <v>3795168</v>
      </c>
      <c r="G201" s="19">
        <v>3879588</v>
      </c>
      <c r="H201" s="19"/>
      <c r="I201" s="19"/>
      <c r="J201" s="19"/>
      <c r="K201" s="19"/>
      <c r="L201" s="19"/>
      <c r="M201" s="19"/>
      <c r="N201" s="19">
        <v>3795168</v>
      </c>
      <c r="O201" s="19">
        <v>3879588</v>
      </c>
      <c r="P201" s="15">
        <v>2.2200000000000002</v>
      </c>
      <c r="Q201" s="19">
        <v>0</v>
      </c>
      <c r="R201" s="19">
        <v>0</v>
      </c>
      <c r="S201" s="19">
        <v>3795168</v>
      </c>
      <c r="T201" s="19">
        <v>3879588</v>
      </c>
      <c r="U201" s="19">
        <v>3795168</v>
      </c>
      <c r="V201" s="19">
        <v>3879588</v>
      </c>
      <c r="W201" s="19">
        <v>0</v>
      </c>
      <c r="X201" s="19">
        <v>0</v>
      </c>
      <c r="Y201" s="19">
        <v>440</v>
      </c>
      <c r="Z201" s="19">
        <v>417</v>
      </c>
      <c r="AA201" s="15">
        <v>-5.23</v>
      </c>
      <c r="AB201" s="19">
        <v>1599643</v>
      </c>
      <c r="AC201" s="19">
        <v>1189006</v>
      </c>
      <c r="AD201" s="19">
        <v>1145262</v>
      </c>
      <c r="AE201" s="19">
        <v>1212899</v>
      </c>
      <c r="AF201" s="19">
        <v>503056</v>
      </c>
      <c r="AG201" s="19">
        <v>511496</v>
      </c>
      <c r="AH201" s="15">
        <v>4</v>
      </c>
      <c r="AI201" s="15">
        <v>4</v>
      </c>
      <c r="AJ201" s="13"/>
    </row>
    <row r="202" spans="1:36" x14ac:dyDescent="0.25">
      <c r="A202" t="str">
        <f>"640502"</f>
        <v>640502</v>
      </c>
      <c r="B202" t="s">
        <v>290</v>
      </c>
      <c r="C202" s="10">
        <v>11987328</v>
      </c>
      <c r="D202" s="10">
        <v>11173603</v>
      </c>
      <c r="E202" s="11">
        <v>-6.79</v>
      </c>
      <c r="F202" s="12">
        <v>4879574</v>
      </c>
      <c r="G202" s="12">
        <v>4995486</v>
      </c>
      <c r="H202" s="12"/>
      <c r="I202" s="12"/>
      <c r="J202" s="12"/>
      <c r="K202" s="12"/>
      <c r="L202" s="12"/>
      <c r="M202" s="12"/>
      <c r="N202" s="12">
        <v>4879574</v>
      </c>
      <c r="O202" s="12">
        <v>4995486</v>
      </c>
      <c r="P202" s="11">
        <v>2.38</v>
      </c>
      <c r="Q202" s="12">
        <v>96438</v>
      </c>
      <c r="R202" s="12">
        <v>133106</v>
      </c>
      <c r="S202" s="12">
        <v>4783136</v>
      </c>
      <c r="T202" s="12">
        <v>4862380</v>
      </c>
      <c r="U202" s="12">
        <v>4783136</v>
      </c>
      <c r="V202" s="12">
        <v>4862380</v>
      </c>
      <c r="W202" s="12">
        <v>0</v>
      </c>
      <c r="X202" s="12">
        <v>0</v>
      </c>
      <c r="Y202" s="12">
        <v>476</v>
      </c>
      <c r="Z202" s="12">
        <v>493</v>
      </c>
      <c r="AA202" s="11">
        <v>3.57</v>
      </c>
      <c r="AB202" s="12">
        <v>413900</v>
      </c>
      <c r="AC202" s="12">
        <v>1888350</v>
      </c>
      <c r="AD202" s="12">
        <v>338123</v>
      </c>
      <c r="AE202" s="12">
        <v>319625</v>
      </c>
      <c r="AF202" s="12">
        <v>1770080</v>
      </c>
      <c r="AG202" s="12">
        <v>548234</v>
      </c>
      <c r="AH202" s="11">
        <v>14.77</v>
      </c>
      <c r="AI202" s="11">
        <v>4.91</v>
      </c>
      <c r="AJ202" s="13"/>
    </row>
    <row r="203" spans="1:36" x14ac:dyDescent="0.25">
      <c r="A203" t="str">
        <f>"640601"</f>
        <v>640601</v>
      </c>
      <c r="B203" t="s">
        <v>291</v>
      </c>
      <c r="C203" s="10">
        <v>10857000</v>
      </c>
      <c r="D203" s="10">
        <v>11575397</v>
      </c>
      <c r="E203" s="11">
        <v>6.62</v>
      </c>
      <c r="F203" s="12">
        <v>3000000</v>
      </c>
      <c r="G203" s="12">
        <v>3184141</v>
      </c>
      <c r="H203" s="12"/>
      <c r="I203" s="12"/>
      <c r="J203" s="12"/>
      <c r="K203" s="12"/>
      <c r="L203" s="12"/>
      <c r="M203" s="12"/>
      <c r="N203" s="12">
        <v>3000000</v>
      </c>
      <c r="O203" s="12">
        <v>3184141</v>
      </c>
      <c r="P203" s="11">
        <v>6.14</v>
      </c>
      <c r="Q203" s="12">
        <v>86514</v>
      </c>
      <c r="R203" s="12">
        <v>155870</v>
      </c>
      <c r="S203" s="12">
        <v>3451597</v>
      </c>
      <c r="T203" s="12">
        <v>3028271</v>
      </c>
      <c r="U203" s="12">
        <v>2913486</v>
      </c>
      <c r="V203" s="12">
        <v>3028271</v>
      </c>
      <c r="W203" s="12">
        <v>538111</v>
      </c>
      <c r="X203" s="12">
        <v>0</v>
      </c>
      <c r="Y203" s="12">
        <v>525</v>
      </c>
      <c r="Z203" s="12">
        <v>485</v>
      </c>
      <c r="AA203" s="11">
        <v>-7.62</v>
      </c>
      <c r="AB203" s="12">
        <v>2771318</v>
      </c>
      <c r="AC203" s="12">
        <v>890318</v>
      </c>
      <c r="AD203" s="12">
        <v>262531</v>
      </c>
      <c r="AE203" s="12">
        <v>224353</v>
      </c>
      <c r="AF203" s="12">
        <v>747463</v>
      </c>
      <c r="AG203" s="12">
        <v>580904</v>
      </c>
      <c r="AH203" s="11">
        <v>6.88</v>
      </c>
      <c r="AI203" s="11">
        <v>5.0199999999999996</v>
      </c>
      <c r="AJ203" s="13"/>
    </row>
    <row r="204" spans="1:36" x14ac:dyDescent="0.25">
      <c r="A204" t="str">
        <f>"270701"</f>
        <v>270701</v>
      </c>
      <c r="B204" t="s">
        <v>292</v>
      </c>
      <c r="C204" s="10">
        <v>19890000</v>
      </c>
      <c r="D204" s="10">
        <v>20500000</v>
      </c>
      <c r="E204" s="11">
        <v>3.07</v>
      </c>
      <c r="F204" s="12">
        <v>5580146</v>
      </c>
      <c r="G204" s="12">
        <v>5580146</v>
      </c>
      <c r="H204" s="12">
        <v>75000</v>
      </c>
      <c r="I204" s="12">
        <v>80000</v>
      </c>
      <c r="J204" s="12"/>
      <c r="K204" s="12"/>
      <c r="L204" s="12"/>
      <c r="M204" s="12"/>
      <c r="N204" s="12">
        <v>5655146</v>
      </c>
      <c r="O204" s="12">
        <v>5660146</v>
      </c>
      <c r="P204" s="11">
        <v>0.09</v>
      </c>
      <c r="Q204" s="12">
        <v>0</v>
      </c>
      <c r="R204" s="12">
        <v>0</v>
      </c>
      <c r="S204" s="12">
        <v>5732392</v>
      </c>
      <c r="T204" s="12">
        <v>5810747</v>
      </c>
      <c r="U204" s="12">
        <v>5580146</v>
      </c>
      <c r="V204" s="12">
        <v>5580146</v>
      </c>
      <c r="W204" s="12">
        <v>152246</v>
      </c>
      <c r="X204" s="12">
        <v>230601</v>
      </c>
      <c r="Y204" s="12">
        <v>807</v>
      </c>
      <c r="Z204" s="12">
        <v>810</v>
      </c>
      <c r="AA204" s="11">
        <v>0.37</v>
      </c>
      <c r="AB204" s="12">
        <v>2701864</v>
      </c>
      <c r="AC204" s="12">
        <v>2701864</v>
      </c>
      <c r="AD204" s="12">
        <v>780000</v>
      </c>
      <c r="AE204" s="12">
        <v>600000</v>
      </c>
      <c r="AF204" s="12">
        <v>795600</v>
      </c>
      <c r="AG204" s="12">
        <v>820000</v>
      </c>
      <c r="AH204" s="11">
        <v>4</v>
      </c>
      <c r="AI204" s="11">
        <v>4</v>
      </c>
      <c r="AJ204" s="13"/>
    </row>
    <row r="205" spans="1:36" x14ac:dyDescent="0.25">
      <c r="A205" t="str">
        <f>"210402"</f>
        <v>210402</v>
      </c>
      <c r="B205" t="s">
        <v>293</v>
      </c>
      <c r="C205" s="10">
        <v>18399325</v>
      </c>
      <c r="D205" s="10">
        <v>18975788</v>
      </c>
      <c r="E205" s="11">
        <v>3.13</v>
      </c>
      <c r="F205" s="12">
        <v>7424728</v>
      </c>
      <c r="G205" s="12">
        <v>7647470</v>
      </c>
      <c r="H205" s="12"/>
      <c r="I205" s="12"/>
      <c r="J205" s="12"/>
      <c r="K205" s="12"/>
      <c r="L205" s="12"/>
      <c r="M205" s="12"/>
      <c r="N205" s="12">
        <v>7424728</v>
      </c>
      <c r="O205" s="12">
        <v>7647470</v>
      </c>
      <c r="P205" s="11">
        <v>3</v>
      </c>
      <c r="Q205" s="12">
        <v>33460</v>
      </c>
      <c r="R205" s="12">
        <v>132903</v>
      </c>
      <c r="S205" s="12">
        <v>7512779</v>
      </c>
      <c r="T205" s="12">
        <v>7651444</v>
      </c>
      <c r="U205" s="12">
        <v>7391268</v>
      </c>
      <c r="V205" s="12">
        <v>7514567</v>
      </c>
      <c r="W205" s="12">
        <v>121511</v>
      </c>
      <c r="X205" s="12">
        <v>136877</v>
      </c>
      <c r="Y205" s="12">
        <v>1011</v>
      </c>
      <c r="Z205" s="12">
        <v>1011</v>
      </c>
      <c r="AA205" s="11">
        <v>0</v>
      </c>
      <c r="AB205" s="12">
        <v>4116476</v>
      </c>
      <c r="AC205" s="12">
        <v>3222613</v>
      </c>
      <c r="AD205" s="12">
        <v>600000</v>
      </c>
      <c r="AE205" s="12">
        <v>600000</v>
      </c>
      <c r="AF205" s="12">
        <v>943557</v>
      </c>
      <c r="AG205" s="12">
        <v>873557</v>
      </c>
      <c r="AH205" s="11">
        <v>5.13</v>
      </c>
      <c r="AI205" s="11">
        <v>4.5999999999999996</v>
      </c>
      <c r="AJ205" s="13"/>
    </row>
    <row r="206" spans="1:36" x14ac:dyDescent="0.25">
      <c r="A206" t="str">
        <f>"120701"</f>
        <v>120701</v>
      </c>
      <c r="B206" t="s">
        <v>294</v>
      </c>
      <c r="C206" s="10">
        <v>6967898</v>
      </c>
      <c r="D206" s="10">
        <v>7109635</v>
      </c>
      <c r="E206" s="11">
        <v>2.0299999999999998</v>
      </c>
      <c r="F206" s="12">
        <v>2679889</v>
      </c>
      <c r="G206" s="12">
        <v>2748571</v>
      </c>
      <c r="H206" s="12"/>
      <c r="I206" s="12"/>
      <c r="J206" s="12"/>
      <c r="K206" s="12"/>
      <c r="L206" s="12"/>
      <c r="M206" s="12"/>
      <c r="N206" s="12">
        <v>2679889</v>
      </c>
      <c r="O206" s="12">
        <v>2748571</v>
      </c>
      <c r="P206" s="11">
        <v>2.56</v>
      </c>
      <c r="Q206" s="12">
        <v>0</v>
      </c>
      <c r="R206" s="12">
        <v>15084</v>
      </c>
      <c r="S206" s="12">
        <v>2653687</v>
      </c>
      <c r="T206" s="12">
        <v>2733487</v>
      </c>
      <c r="U206" s="12">
        <v>2679889</v>
      </c>
      <c r="V206" s="12">
        <v>2733487</v>
      </c>
      <c r="W206" s="12">
        <v>-26202</v>
      </c>
      <c r="X206" s="12">
        <v>0</v>
      </c>
      <c r="Y206" s="12">
        <v>264</v>
      </c>
      <c r="Z206" s="12">
        <v>265</v>
      </c>
      <c r="AA206" s="11">
        <v>0.38</v>
      </c>
      <c r="AB206" s="12">
        <v>456403</v>
      </c>
      <c r="AC206" s="12">
        <v>410000</v>
      </c>
      <c r="AD206" s="12">
        <v>325000</v>
      </c>
      <c r="AE206" s="12">
        <v>330000</v>
      </c>
      <c r="AF206" s="12">
        <v>268002</v>
      </c>
      <c r="AG206" s="12">
        <v>275000</v>
      </c>
      <c r="AH206" s="11">
        <v>3.85</v>
      </c>
      <c r="AI206" s="11">
        <v>3.87</v>
      </c>
      <c r="AJ206" s="13"/>
    </row>
    <row r="207" spans="1:36" x14ac:dyDescent="0.25">
      <c r="A207" t="str">
        <f>"280217"</f>
        <v>280217</v>
      </c>
      <c r="B207" t="s">
        <v>295</v>
      </c>
      <c r="C207" s="10">
        <v>37806671</v>
      </c>
      <c r="D207" s="10">
        <v>38783000</v>
      </c>
      <c r="E207" s="11">
        <v>2.58</v>
      </c>
      <c r="F207" s="12">
        <v>27117906</v>
      </c>
      <c r="G207" s="12">
        <v>27836616</v>
      </c>
      <c r="H207" s="12"/>
      <c r="I207" s="12"/>
      <c r="J207" s="12"/>
      <c r="K207" s="12"/>
      <c r="L207" s="12"/>
      <c r="M207" s="12"/>
      <c r="N207" s="12">
        <v>27117906</v>
      </c>
      <c r="O207" s="12">
        <v>27836616</v>
      </c>
      <c r="P207" s="11">
        <v>2.65</v>
      </c>
      <c r="Q207" s="12">
        <v>738245</v>
      </c>
      <c r="R207" s="12">
        <v>843847</v>
      </c>
      <c r="S207" s="12">
        <v>26379661</v>
      </c>
      <c r="T207" s="12">
        <v>26992769</v>
      </c>
      <c r="U207" s="12">
        <v>26379661</v>
      </c>
      <c r="V207" s="12">
        <v>26992769</v>
      </c>
      <c r="W207" s="12">
        <v>0</v>
      </c>
      <c r="X207" s="12">
        <v>0</v>
      </c>
      <c r="Y207" s="12">
        <v>2022</v>
      </c>
      <c r="Z207" s="12">
        <v>2039</v>
      </c>
      <c r="AA207" s="11">
        <v>0.84</v>
      </c>
      <c r="AB207" s="12">
        <v>6223991</v>
      </c>
      <c r="AC207" s="12">
        <v>6898466</v>
      </c>
      <c r="AD207" s="12">
        <v>1256500</v>
      </c>
      <c r="AE207" s="12">
        <v>1256500</v>
      </c>
      <c r="AF207" s="12">
        <v>1512266</v>
      </c>
      <c r="AG207" s="12">
        <v>1551320</v>
      </c>
      <c r="AH207" s="11">
        <v>4</v>
      </c>
      <c r="AI207" s="11">
        <v>4</v>
      </c>
      <c r="AJ207" s="13"/>
    </row>
    <row r="208" spans="1:36" x14ac:dyDescent="0.25">
      <c r="A208" t="str">
        <f>"041101"</f>
        <v>041101</v>
      </c>
      <c r="B208" t="s">
        <v>296</v>
      </c>
      <c r="C208" s="10">
        <v>18287965</v>
      </c>
      <c r="D208" s="10">
        <v>18960520</v>
      </c>
      <c r="E208" s="11">
        <v>3.68</v>
      </c>
      <c r="F208" s="12">
        <v>4300000</v>
      </c>
      <c r="G208" s="12">
        <v>4300000</v>
      </c>
      <c r="H208" s="12"/>
      <c r="I208" s="12"/>
      <c r="J208" s="12"/>
      <c r="K208" s="12"/>
      <c r="L208" s="12"/>
      <c r="M208" s="12"/>
      <c r="N208" s="12">
        <v>4300000</v>
      </c>
      <c r="O208" s="12">
        <v>4300000</v>
      </c>
      <c r="P208" s="11">
        <v>0</v>
      </c>
      <c r="Q208" s="12">
        <v>0</v>
      </c>
      <c r="R208" s="12">
        <v>0</v>
      </c>
      <c r="S208" s="12">
        <v>4319737</v>
      </c>
      <c r="T208" s="12">
        <v>4411877</v>
      </c>
      <c r="U208" s="12">
        <v>4300000</v>
      </c>
      <c r="V208" s="12">
        <v>4300000</v>
      </c>
      <c r="W208" s="12">
        <v>19737</v>
      </c>
      <c r="X208" s="12">
        <v>111877</v>
      </c>
      <c r="Y208" s="12">
        <v>661</v>
      </c>
      <c r="Z208" s="12">
        <v>678</v>
      </c>
      <c r="AA208" s="11">
        <v>2.57</v>
      </c>
      <c r="AB208" s="12">
        <v>3354469</v>
      </c>
      <c r="AC208" s="12">
        <v>3814469</v>
      </c>
      <c r="AD208" s="12">
        <v>297590</v>
      </c>
      <c r="AE208" s="12">
        <v>195817</v>
      </c>
      <c r="AF208" s="12">
        <v>2243594</v>
      </c>
      <c r="AG208" s="12">
        <v>2064023</v>
      </c>
      <c r="AH208" s="11">
        <v>12.27</v>
      </c>
      <c r="AI208" s="11">
        <v>10.89</v>
      </c>
      <c r="AJ208" s="13"/>
    </row>
    <row r="209" spans="1:36" x14ac:dyDescent="0.25">
      <c r="A209" t="str">
        <f>"062201"</f>
        <v>062201</v>
      </c>
      <c r="B209" t="s">
        <v>297</v>
      </c>
      <c r="C209" s="10">
        <v>31818588</v>
      </c>
      <c r="D209" s="10">
        <v>32441792</v>
      </c>
      <c r="E209" s="11">
        <v>1.96</v>
      </c>
      <c r="F209" s="12">
        <v>15822024</v>
      </c>
      <c r="G209" s="12">
        <v>16059354</v>
      </c>
      <c r="H209" s="12"/>
      <c r="I209" s="12"/>
      <c r="J209" s="12"/>
      <c r="K209" s="12"/>
      <c r="L209" s="12"/>
      <c r="M209" s="12"/>
      <c r="N209" s="12">
        <v>15822024</v>
      </c>
      <c r="O209" s="12">
        <v>16059354</v>
      </c>
      <c r="P209" s="11">
        <v>1.5</v>
      </c>
      <c r="Q209" s="12">
        <v>0</v>
      </c>
      <c r="R209" s="12">
        <v>0</v>
      </c>
      <c r="S209" s="12">
        <v>15822024</v>
      </c>
      <c r="T209" s="12">
        <v>16124368</v>
      </c>
      <c r="U209" s="12">
        <v>15822024</v>
      </c>
      <c r="V209" s="12">
        <v>16059354</v>
      </c>
      <c r="W209" s="12">
        <v>0</v>
      </c>
      <c r="X209" s="12">
        <v>65014</v>
      </c>
      <c r="Y209" s="12">
        <v>1457</v>
      </c>
      <c r="Z209" s="12">
        <v>1420</v>
      </c>
      <c r="AA209" s="11">
        <v>-2.54</v>
      </c>
      <c r="AB209" s="12">
        <v>1217776</v>
      </c>
      <c r="AC209" s="12">
        <v>1417776</v>
      </c>
      <c r="AD209" s="12">
        <v>1029582</v>
      </c>
      <c r="AE209" s="12">
        <v>1000000</v>
      </c>
      <c r="AF209" s="12">
        <v>3629377</v>
      </c>
      <c r="AG209" s="12">
        <v>3000000</v>
      </c>
      <c r="AH209" s="11">
        <v>11.41</v>
      </c>
      <c r="AI209" s="11">
        <v>9.25</v>
      </c>
      <c r="AJ209" s="13"/>
    </row>
    <row r="210" spans="1:36" x14ac:dyDescent="0.25">
      <c r="A210" t="str">
        <f>"280209"</f>
        <v>280209</v>
      </c>
      <c r="B210" t="s">
        <v>298</v>
      </c>
      <c r="C210" s="10">
        <v>175028809</v>
      </c>
      <c r="D210" s="10">
        <v>179926080</v>
      </c>
      <c r="E210" s="11">
        <v>2.8</v>
      </c>
      <c r="F210" s="12">
        <v>87047027</v>
      </c>
      <c r="G210" s="12">
        <v>86942571</v>
      </c>
      <c r="H210" s="12"/>
      <c r="I210" s="12"/>
      <c r="J210" s="12"/>
      <c r="K210" s="12"/>
      <c r="L210" s="12"/>
      <c r="M210" s="12"/>
      <c r="N210" s="12">
        <v>87047027</v>
      </c>
      <c r="O210" s="12">
        <v>86942571</v>
      </c>
      <c r="P210" s="11">
        <v>-0.12</v>
      </c>
      <c r="Q210" s="12">
        <v>552671</v>
      </c>
      <c r="R210" s="12">
        <v>338366</v>
      </c>
      <c r="S210" s="12">
        <v>87423391</v>
      </c>
      <c r="T210" s="12">
        <v>89296015</v>
      </c>
      <c r="U210" s="12">
        <v>86494356</v>
      </c>
      <c r="V210" s="12">
        <v>86604205</v>
      </c>
      <c r="W210" s="12">
        <v>929035</v>
      </c>
      <c r="X210" s="12">
        <v>2691810</v>
      </c>
      <c r="Y210" s="12">
        <v>7114</v>
      </c>
      <c r="Z210" s="12">
        <v>7169</v>
      </c>
      <c r="AA210" s="11">
        <v>0.77</v>
      </c>
      <c r="AB210" s="12">
        <v>41580802</v>
      </c>
      <c r="AC210" s="12">
        <v>44500000</v>
      </c>
      <c r="AD210" s="12">
        <v>8000000</v>
      </c>
      <c r="AE210" s="12">
        <v>8500000</v>
      </c>
      <c r="AF210" s="12">
        <v>10452435</v>
      </c>
      <c r="AG210" s="12">
        <v>7197043</v>
      </c>
      <c r="AH210" s="11">
        <v>5.97</v>
      </c>
      <c r="AI210" s="11">
        <v>4</v>
      </c>
      <c r="AJ210" s="13"/>
    </row>
    <row r="211" spans="1:36" x14ac:dyDescent="0.25">
      <c r="A211" t="str">
        <f>"060301"</f>
        <v>060301</v>
      </c>
      <c r="B211" t="s">
        <v>299</v>
      </c>
      <c r="C211" s="10">
        <v>18217558</v>
      </c>
      <c r="D211" s="10">
        <v>17741437</v>
      </c>
      <c r="E211" s="11">
        <v>-2.61</v>
      </c>
      <c r="F211" s="12">
        <v>5275809</v>
      </c>
      <c r="G211" s="12">
        <v>5400172</v>
      </c>
      <c r="H211" s="12"/>
      <c r="I211" s="12"/>
      <c r="J211" s="12"/>
      <c r="K211" s="12"/>
      <c r="L211" s="12"/>
      <c r="M211" s="12"/>
      <c r="N211" s="12">
        <v>5275809</v>
      </c>
      <c r="O211" s="12">
        <v>5400172</v>
      </c>
      <c r="P211" s="11">
        <v>2.36</v>
      </c>
      <c r="Q211" s="12">
        <v>0</v>
      </c>
      <c r="R211" s="12">
        <v>0</v>
      </c>
      <c r="S211" s="12">
        <v>5275809</v>
      </c>
      <c r="T211" s="12">
        <v>5402850</v>
      </c>
      <c r="U211" s="12">
        <v>5275809</v>
      </c>
      <c r="V211" s="12">
        <v>5400172</v>
      </c>
      <c r="W211" s="12">
        <v>0</v>
      </c>
      <c r="X211" s="12">
        <v>2678</v>
      </c>
      <c r="Y211" s="12">
        <v>753</v>
      </c>
      <c r="Z211" s="12">
        <v>756</v>
      </c>
      <c r="AA211" s="11">
        <v>0.4</v>
      </c>
      <c r="AB211" s="12">
        <v>2647115</v>
      </c>
      <c r="AC211" s="12">
        <v>2896215</v>
      </c>
      <c r="AD211" s="12">
        <v>1358322</v>
      </c>
      <c r="AE211" s="12">
        <v>600000</v>
      </c>
      <c r="AF211" s="12">
        <v>1212187</v>
      </c>
      <c r="AG211" s="12">
        <v>823309</v>
      </c>
      <c r="AH211" s="11">
        <v>6.65</v>
      </c>
      <c r="AI211" s="11">
        <v>4.6399999999999997</v>
      </c>
      <c r="AJ211" s="13"/>
    </row>
    <row r="212" spans="1:36" x14ac:dyDescent="0.25">
      <c r="A212" t="str">
        <f>"021601"</f>
        <v>021601</v>
      </c>
      <c r="B212" t="s">
        <v>300</v>
      </c>
      <c r="C212" s="10">
        <v>9901419</v>
      </c>
      <c r="D212" s="10">
        <v>10332959</v>
      </c>
      <c r="E212" s="11">
        <v>4.3600000000000003</v>
      </c>
      <c r="F212" s="12">
        <v>1678442</v>
      </c>
      <c r="G212" s="12">
        <v>1711843</v>
      </c>
      <c r="H212" s="12"/>
      <c r="I212" s="12"/>
      <c r="J212" s="12"/>
      <c r="K212" s="12"/>
      <c r="L212" s="12"/>
      <c r="M212" s="12"/>
      <c r="N212" s="12">
        <v>1678442</v>
      </c>
      <c r="O212" s="12">
        <v>1711843</v>
      </c>
      <c r="P212" s="11">
        <v>1.99</v>
      </c>
      <c r="Q212" s="12">
        <v>0</v>
      </c>
      <c r="R212" s="12">
        <v>21027</v>
      </c>
      <c r="S212" s="12">
        <v>1678477</v>
      </c>
      <c r="T212" s="12">
        <v>1738934</v>
      </c>
      <c r="U212" s="12">
        <v>1678442</v>
      </c>
      <c r="V212" s="12">
        <v>1690816</v>
      </c>
      <c r="W212" s="12">
        <v>35</v>
      </c>
      <c r="X212" s="12">
        <v>48118</v>
      </c>
      <c r="Y212" s="12">
        <v>366</v>
      </c>
      <c r="Z212" s="12">
        <v>358</v>
      </c>
      <c r="AA212" s="11">
        <v>-2.19</v>
      </c>
      <c r="AB212" s="12">
        <v>695651</v>
      </c>
      <c r="AC212" s="12">
        <v>695988</v>
      </c>
      <c r="AD212" s="12">
        <v>57796</v>
      </c>
      <c r="AE212" s="12">
        <v>140000</v>
      </c>
      <c r="AF212" s="12">
        <v>745693</v>
      </c>
      <c r="AG212" s="12">
        <v>413318</v>
      </c>
      <c r="AH212" s="11">
        <v>7.53</v>
      </c>
      <c r="AI212" s="11">
        <v>4</v>
      </c>
      <c r="AJ212" s="13"/>
    </row>
    <row r="213" spans="1:36" x14ac:dyDescent="0.25">
      <c r="A213" t="str">
        <f>"141604"</f>
        <v>141604</v>
      </c>
      <c r="B213" t="s">
        <v>301</v>
      </c>
      <c r="C213" s="10">
        <v>84172397</v>
      </c>
      <c r="D213" s="10">
        <v>82993530</v>
      </c>
      <c r="E213" s="11">
        <v>-1.4</v>
      </c>
      <c r="F213" s="12">
        <v>38727313</v>
      </c>
      <c r="G213" s="12">
        <v>39741467</v>
      </c>
      <c r="H213" s="12"/>
      <c r="I213" s="12"/>
      <c r="J213" s="12"/>
      <c r="K213" s="12"/>
      <c r="L213" s="12"/>
      <c r="M213" s="12"/>
      <c r="N213" s="12">
        <v>38727313</v>
      </c>
      <c r="O213" s="12">
        <v>39741467</v>
      </c>
      <c r="P213" s="11">
        <v>2.62</v>
      </c>
      <c r="Q213" s="12">
        <v>885830</v>
      </c>
      <c r="R213" s="12">
        <v>849056</v>
      </c>
      <c r="S213" s="12">
        <v>37841483</v>
      </c>
      <c r="T213" s="12">
        <v>38892411</v>
      </c>
      <c r="U213" s="12">
        <v>37841483</v>
      </c>
      <c r="V213" s="12">
        <v>38892411</v>
      </c>
      <c r="W213" s="12">
        <v>0</v>
      </c>
      <c r="X213" s="12">
        <v>0</v>
      </c>
      <c r="Y213" s="12">
        <v>4812</v>
      </c>
      <c r="Z213" s="12">
        <v>4788</v>
      </c>
      <c r="AA213" s="11">
        <v>-0.5</v>
      </c>
      <c r="AB213" s="12">
        <v>10209389</v>
      </c>
      <c r="AC213" s="12">
        <v>9860459</v>
      </c>
      <c r="AD213" s="12">
        <v>1203650</v>
      </c>
      <c r="AE213" s="12">
        <v>1650000</v>
      </c>
      <c r="AF213" s="12">
        <v>3355185</v>
      </c>
      <c r="AG213" s="12">
        <v>3319741</v>
      </c>
      <c r="AH213" s="11">
        <v>3.99</v>
      </c>
      <c r="AI213" s="11">
        <v>4</v>
      </c>
      <c r="AJ213" s="13"/>
    </row>
    <row r="214" spans="1:36" x14ac:dyDescent="0.25">
      <c r="A214" t="str">
        <f>"460500"</f>
        <v>460500</v>
      </c>
      <c r="B214" t="s">
        <v>302</v>
      </c>
      <c r="C214" s="10">
        <v>70782921</v>
      </c>
      <c r="D214" s="10">
        <v>71992850</v>
      </c>
      <c r="E214" s="11">
        <v>1.71</v>
      </c>
      <c r="F214" s="12">
        <v>20225920</v>
      </c>
      <c r="G214" s="12">
        <v>20634275</v>
      </c>
      <c r="H214" s="12"/>
      <c r="I214" s="12"/>
      <c r="J214" s="12"/>
      <c r="K214" s="12"/>
      <c r="L214" s="12"/>
      <c r="M214" s="12"/>
      <c r="N214" s="12">
        <v>20225920</v>
      </c>
      <c r="O214" s="12">
        <v>20634275</v>
      </c>
      <c r="P214" s="11">
        <v>2.02</v>
      </c>
      <c r="Q214" s="12">
        <v>9058</v>
      </c>
      <c r="R214" s="12">
        <v>0</v>
      </c>
      <c r="S214" s="12">
        <v>20216862</v>
      </c>
      <c r="T214" s="12">
        <v>20634275</v>
      </c>
      <c r="U214" s="12">
        <v>20216862</v>
      </c>
      <c r="V214" s="12">
        <v>20634275</v>
      </c>
      <c r="W214" s="12">
        <v>0</v>
      </c>
      <c r="X214" s="12">
        <v>0</v>
      </c>
      <c r="Y214" s="12">
        <v>3393</v>
      </c>
      <c r="Z214" s="12">
        <v>3390</v>
      </c>
      <c r="AA214" s="11">
        <v>-0.09</v>
      </c>
      <c r="AB214" s="12">
        <v>6552669</v>
      </c>
      <c r="AC214" s="12">
        <v>5852669</v>
      </c>
      <c r="AD214" s="12">
        <v>817552</v>
      </c>
      <c r="AE214" s="12">
        <v>1350086</v>
      </c>
      <c r="AF214" s="12">
        <v>2831318</v>
      </c>
      <c r="AG214" s="12">
        <v>1741525</v>
      </c>
      <c r="AH214" s="11">
        <v>4</v>
      </c>
      <c r="AI214" s="11">
        <v>2.42</v>
      </c>
      <c r="AJ214" s="13"/>
    </row>
    <row r="215" spans="1:36" x14ac:dyDescent="0.25">
      <c r="A215" s="16" t="s">
        <v>5746</v>
      </c>
      <c r="B215" s="16" t="s">
        <v>5747</v>
      </c>
      <c r="C215" s="18">
        <v>21058918</v>
      </c>
      <c r="D215" s="18">
        <v>21500482</v>
      </c>
      <c r="E215" s="15">
        <v>2.1</v>
      </c>
      <c r="F215" s="19">
        <v>10350093</v>
      </c>
      <c r="G215" s="19">
        <v>10621234</v>
      </c>
      <c r="H215" s="19"/>
      <c r="I215" s="19"/>
      <c r="J215" s="19"/>
      <c r="K215" s="19"/>
      <c r="L215" s="19"/>
      <c r="M215" s="19"/>
      <c r="N215" s="19">
        <v>10350093</v>
      </c>
      <c r="O215" s="19">
        <v>10621234</v>
      </c>
      <c r="P215" s="15">
        <v>2.62</v>
      </c>
      <c r="Q215" s="19">
        <v>249476</v>
      </c>
      <c r="R215" s="19">
        <v>346466</v>
      </c>
      <c r="S215" s="19">
        <v>10100617</v>
      </c>
      <c r="T215" s="19">
        <v>10274768</v>
      </c>
      <c r="U215" s="19">
        <v>10100617</v>
      </c>
      <c r="V215" s="19">
        <v>10274768</v>
      </c>
      <c r="W215" s="19">
        <v>0</v>
      </c>
      <c r="X215" s="19">
        <v>0</v>
      </c>
      <c r="Y215" s="19">
        <v>808</v>
      </c>
      <c r="Z215" s="19">
        <v>812</v>
      </c>
      <c r="AA215" s="15">
        <v>0.5</v>
      </c>
      <c r="AB215" s="19">
        <v>676180</v>
      </c>
      <c r="AC215" s="19">
        <v>2630000</v>
      </c>
      <c r="AD215" s="19">
        <v>1550254</v>
      </c>
      <c r="AE215" s="19">
        <v>1400000</v>
      </c>
      <c r="AF215" s="19">
        <v>2457558</v>
      </c>
      <c r="AG215" s="19">
        <v>1230000</v>
      </c>
      <c r="AH215" s="15">
        <v>11.67</v>
      </c>
      <c r="AI215" s="15">
        <v>5.72</v>
      </c>
      <c r="AJ215" s="13"/>
    </row>
    <row r="216" spans="1:36" x14ac:dyDescent="0.25">
      <c r="A216" t="str">
        <f>"650902"</f>
        <v>650902</v>
      </c>
      <c r="B216" t="s">
        <v>303</v>
      </c>
      <c r="C216" s="10">
        <v>22618072</v>
      </c>
      <c r="D216" s="10">
        <v>23407831</v>
      </c>
      <c r="E216" s="11">
        <v>3.49</v>
      </c>
      <c r="F216" s="12">
        <v>9919641</v>
      </c>
      <c r="G216" s="12">
        <v>10168670</v>
      </c>
      <c r="H216" s="12"/>
      <c r="I216" s="12"/>
      <c r="J216" s="12"/>
      <c r="K216" s="12"/>
      <c r="L216" s="12"/>
      <c r="M216" s="12"/>
      <c r="N216" s="12">
        <v>9919641</v>
      </c>
      <c r="O216" s="12">
        <v>10168670</v>
      </c>
      <c r="P216" s="11">
        <v>2.5099999999999998</v>
      </c>
      <c r="Q216" s="12">
        <v>0</v>
      </c>
      <c r="R216" s="12">
        <v>0</v>
      </c>
      <c r="S216" s="12">
        <v>9919641</v>
      </c>
      <c r="T216" s="12">
        <v>10168670</v>
      </c>
      <c r="U216" s="12">
        <v>9919641</v>
      </c>
      <c r="V216" s="12">
        <v>10168670</v>
      </c>
      <c r="W216" s="12">
        <v>0</v>
      </c>
      <c r="X216" s="12">
        <v>0</v>
      </c>
      <c r="Y216" s="12">
        <v>987</v>
      </c>
      <c r="Z216" s="12">
        <v>976</v>
      </c>
      <c r="AA216" s="11">
        <v>-1.1100000000000001</v>
      </c>
      <c r="AB216" s="12">
        <v>975182</v>
      </c>
      <c r="AC216" s="12">
        <v>1019538</v>
      </c>
      <c r="AD216" s="12">
        <v>350000</v>
      </c>
      <c r="AE216" s="12">
        <v>350000</v>
      </c>
      <c r="AF216" s="12">
        <v>873996</v>
      </c>
      <c r="AG216" s="12">
        <v>883996</v>
      </c>
      <c r="AH216" s="11">
        <v>3.86</v>
      </c>
      <c r="AI216" s="11">
        <v>3.78</v>
      </c>
      <c r="AJ216" s="13"/>
    </row>
    <row r="217" spans="1:36" x14ac:dyDescent="0.25">
      <c r="A217" t="str">
        <f>"280218"</f>
        <v>280218</v>
      </c>
      <c r="B217" t="s">
        <v>304</v>
      </c>
      <c r="C217" s="10">
        <v>112661581</v>
      </c>
      <c r="D217" s="10">
        <v>115805283</v>
      </c>
      <c r="E217" s="11">
        <v>2.79</v>
      </c>
      <c r="F217" s="12">
        <v>97228089</v>
      </c>
      <c r="G217" s="12">
        <v>100667313</v>
      </c>
      <c r="H217" s="12"/>
      <c r="I217" s="12"/>
      <c r="J217" s="12"/>
      <c r="K217" s="12"/>
      <c r="L217" s="12"/>
      <c r="M217" s="12"/>
      <c r="N217" s="12">
        <v>97228089</v>
      </c>
      <c r="O217" s="12">
        <v>100667313</v>
      </c>
      <c r="P217" s="11">
        <v>3.54</v>
      </c>
      <c r="Q217" s="12">
        <v>6012928</v>
      </c>
      <c r="R217" s="12">
        <v>6023704</v>
      </c>
      <c r="S217" s="12">
        <v>91215575</v>
      </c>
      <c r="T217" s="12">
        <v>94643858</v>
      </c>
      <c r="U217" s="12">
        <v>91215161</v>
      </c>
      <c r="V217" s="12">
        <v>94643609</v>
      </c>
      <c r="W217" s="12">
        <v>414</v>
      </c>
      <c r="X217" s="12">
        <v>249</v>
      </c>
      <c r="Y217" s="12">
        <v>3820</v>
      </c>
      <c r="Z217" s="12">
        <v>3882</v>
      </c>
      <c r="AA217" s="11">
        <v>1.62</v>
      </c>
      <c r="AB217" s="12">
        <v>20795606</v>
      </c>
      <c r="AC217" s="12">
        <v>14669001</v>
      </c>
      <c r="AD217" s="12">
        <v>2775000</v>
      </c>
      <c r="AE217" s="12">
        <v>2500000</v>
      </c>
      <c r="AF217" s="12">
        <v>4501839</v>
      </c>
      <c r="AG217" s="12">
        <v>4632211</v>
      </c>
      <c r="AH217" s="11">
        <v>4</v>
      </c>
      <c r="AI217" s="11">
        <v>4</v>
      </c>
      <c r="AJ217" s="13"/>
    </row>
    <row r="218" spans="1:36" x14ac:dyDescent="0.25">
      <c r="A218" t="str">
        <f>"480404"</f>
        <v>480404</v>
      </c>
      <c r="B218" t="s">
        <v>305</v>
      </c>
      <c r="C218" s="10">
        <v>10575644</v>
      </c>
      <c r="D218" s="10">
        <v>10908902</v>
      </c>
      <c r="E218" s="11">
        <v>3.15</v>
      </c>
      <c r="F218" s="12">
        <v>8878348</v>
      </c>
      <c r="G218" s="12">
        <v>9094845</v>
      </c>
      <c r="H218" s="12"/>
      <c r="I218" s="12"/>
      <c r="J218" s="12"/>
      <c r="K218" s="12"/>
      <c r="L218" s="12"/>
      <c r="M218" s="12"/>
      <c r="N218" s="12">
        <v>8878348</v>
      </c>
      <c r="O218" s="12">
        <v>9094845</v>
      </c>
      <c r="P218" s="11">
        <v>2.44</v>
      </c>
      <c r="Q218" s="12">
        <v>539270</v>
      </c>
      <c r="R218" s="12">
        <v>541895</v>
      </c>
      <c r="S218" s="12">
        <v>8339078</v>
      </c>
      <c r="T218" s="12">
        <v>8552950</v>
      </c>
      <c r="U218" s="12">
        <v>8339078</v>
      </c>
      <c r="V218" s="12">
        <v>8552950</v>
      </c>
      <c r="W218" s="12">
        <v>0</v>
      </c>
      <c r="X218" s="12">
        <v>0</v>
      </c>
      <c r="Y218" s="12">
        <v>216</v>
      </c>
      <c r="Z218" s="12">
        <v>216</v>
      </c>
      <c r="AA218" s="11">
        <v>0</v>
      </c>
      <c r="AB218" s="12">
        <v>1706300</v>
      </c>
      <c r="AC218" s="12">
        <v>1586300</v>
      </c>
      <c r="AD218" s="12">
        <v>1116144</v>
      </c>
      <c r="AE218" s="12">
        <v>878733</v>
      </c>
      <c r="AF218" s="12">
        <v>422833</v>
      </c>
      <c r="AG218" s="12">
        <v>436356</v>
      </c>
      <c r="AH218" s="11">
        <v>4</v>
      </c>
      <c r="AI218" s="11">
        <v>4</v>
      </c>
      <c r="AJ218" s="13"/>
    </row>
    <row r="219" spans="1:36" x14ac:dyDescent="0.25">
      <c r="A219" t="str">
        <f>"260401"</f>
        <v>260401</v>
      </c>
      <c r="B219" t="s">
        <v>306</v>
      </c>
      <c r="C219" s="10">
        <v>104023965</v>
      </c>
      <c r="D219" s="10">
        <v>106693649</v>
      </c>
      <c r="E219" s="11">
        <v>2.57</v>
      </c>
      <c r="F219" s="12">
        <v>51636492</v>
      </c>
      <c r="G219" s="12">
        <v>52933230</v>
      </c>
      <c r="H219" s="12"/>
      <c r="I219" s="12"/>
      <c r="J219" s="12"/>
      <c r="K219" s="12"/>
      <c r="L219" s="12"/>
      <c r="M219" s="12"/>
      <c r="N219" s="12">
        <v>51636492</v>
      </c>
      <c r="O219" s="12">
        <v>52933230</v>
      </c>
      <c r="P219" s="11">
        <v>2.5099999999999998</v>
      </c>
      <c r="Q219" s="12">
        <v>2797090</v>
      </c>
      <c r="R219" s="12">
        <v>3005000</v>
      </c>
      <c r="S219" s="12">
        <v>48839402</v>
      </c>
      <c r="T219" s="12">
        <v>49928230</v>
      </c>
      <c r="U219" s="12">
        <v>48839402</v>
      </c>
      <c r="V219" s="12">
        <v>49928230</v>
      </c>
      <c r="W219" s="12">
        <v>0</v>
      </c>
      <c r="X219" s="12">
        <v>0</v>
      </c>
      <c r="Y219" s="12">
        <v>4083</v>
      </c>
      <c r="Z219" s="12">
        <v>4070</v>
      </c>
      <c r="AA219" s="11">
        <v>-0.32</v>
      </c>
      <c r="AB219" s="12">
        <v>12309231</v>
      </c>
      <c r="AC219" s="12">
        <v>12819521</v>
      </c>
      <c r="AD219" s="12">
        <v>2000000</v>
      </c>
      <c r="AE219" s="12">
        <v>2000000</v>
      </c>
      <c r="AF219" s="12">
        <v>4160959</v>
      </c>
      <c r="AG219" s="12">
        <v>4267746</v>
      </c>
      <c r="AH219" s="11">
        <v>4</v>
      </c>
      <c r="AI219" s="11">
        <v>4</v>
      </c>
      <c r="AJ219" s="13"/>
    </row>
    <row r="220" spans="1:36" x14ac:dyDescent="0.25">
      <c r="A220" t="str">
        <f>"220401"</f>
        <v>220401</v>
      </c>
      <c r="B220" t="s">
        <v>307</v>
      </c>
      <c r="C220" s="10">
        <v>22253928</v>
      </c>
      <c r="D220" s="10">
        <v>22849750</v>
      </c>
      <c r="E220" s="11">
        <v>2.68</v>
      </c>
      <c r="F220" s="12">
        <v>7670718</v>
      </c>
      <c r="G220" s="12">
        <v>7813094</v>
      </c>
      <c r="H220" s="12"/>
      <c r="I220" s="12"/>
      <c r="J220" s="12"/>
      <c r="K220" s="12"/>
      <c r="L220" s="12"/>
      <c r="M220" s="12"/>
      <c r="N220" s="12">
        <v>7670718</v>
      </c>
      <c r="O220" s="12">
        <v>7813094</v>
      </c>
      <c r="P220" s="11">
        <v>1.86</v>
      </c>
      <c r="Q220" s="12">
        <v>155896</v>
      </c>
      <c r="R220" s="12">
        <v>154656</v>
      </c>
      <c r="S220" s="12">
        <v>7565065</v>
      </c>
      <c r="T220" s="12">
        <v>7658438</v>
      </c>
      <c r="U220" s="12">
        <v>7514822</v>
      </c>
      <c r="V220" s="12">
        <v>7658438</v>
      </c>
      <c r="W220" s="12">
        <v>50243</v>
      </c>
      <c r="X220" s="12">
        <v>0</v>
      </c>
      <c r="Y220" s="12">
        <v>1494</v>
      </c>
      <c r="Z220" s="12">
        <v>1458</v>
      </c>
      <c r="AA220" s="11">
        <v>-2.41</v>
      </c>
      <c r="AB220" s="12">
        <v>2172957</v>
      </c>
      <c r="AC220" s="12">
        <v>2152192</v>
      </c>
      <c r="AD220" s="12">
        <v>1045752</v>
      </c>
      <c r="AE220" s="12">
        <v>1010000</v>
      </c>
      <c r="AF220" s="12">
        <v>1699784</v>
      </c>
      <c r="AG220" s="12">
        <v>800000</v>
      </c>
      <c r="AH220" s="11">
        <v>7.64</v>
      </c>
      <c r="AI220" s="11">
        <v>3.5</v>
      </c>
      <c r="AJ220" s="13"/>
    </row>
    <row r="221" spans="1:36" x14ac:dyDescent="0.25">
      <c r="A221" t="str">
        <f>"020702"</f>
        <v>020702</v>
      </c>
      <c r="B221" t="s">
        <v>308</v>
      </c>
      <c r="C221" s="10">
        <v>15523697</v>
      </c>
      <c r="D221" s="10">
        <v>15893344</v>
      </c>
      <c r="E221" s="11">
        <v>2.38</v>
      </c>
      <c r="F221" s="12">
        <v>2931286</v>
      </c>
      <c r="G221" s="12">
        <v>2957668</v>
      </c>
      <c r="H221" s="12"/>
      <c r="I221" s="12"/>
      <c r="J221" s="12"/>
      <c r="K221" s="12"/>
      <c r="L221" s="12"/>
      <c r="M221" s="12"/>
      <c r="N221" s="12">
        <v>2931286</v>
      </c>
      <c r="O221" s="12">
        <v>2957668</v>
      </c>
      <c r="P221" s="11">
        <v>0.9</v>
      </c>
      <c r="Q221" s="12">
        <v>0</v>
      </c>
      <c r="R221" s="12">
        <v>0</v>
      </c>
      <c r="S221" s="12">
        <v>2931286</v>
      </c>
      <c r="T221" s="12">
        <v>2957668</v>
      </c>
      <c r="U221" s="12">
        <v>2931286</v>
      </c>
      <c r="V221" s="12">
        <v>2957668</v>
      </c>
      <c r="W221" s="12">
        <v>0</v>
      </c>
      <c r="X221" s="12">
        <v>0</v>
      </c>
      <c r="Y221" s="12">
        <v>561</v>
      </c>
      <c r="Z221" s="12">
        <v>560</v>
      </c>
      <c r="AA221" s="11">
        <v>-0.18</v>
      </c>
      <c r="AB221" s="12">
        <v>4254369</v>
      </c>
      <c r="AC221" s="12">
        <v>5112357</v>
      </c>
      <c r="AD221" s="12">
        <v>225000</v>
      </c>
      <c r="AE221" s="12">
        <v>225000</v>
      </c>
      <c r="AF221" s="12">
        <v>1520283</v>
      </c>
      <c r="AG221" s="12">
        <v>770827</v>
      </c>
      <c r="AH221" s="11">
        <v>9.7899999999999991</v>
      </c>
      <c r="AI221" s="11">
        <v>4.8499999999999996</v>
      </c>
      <c r="AJ221" s="13"/>
    </row>
    <row r="222" spans="1:36" x14ac:dyDescent="0.25">
      <c r="A222" t="str">
        <f>"240401"</f>
        <v>240401</v>
      </c>
      <c r="B222" t="s">
        <v>309</v>
      </c>
      <c r="C222" s="10">
        <v>20154146</v>
      </c>
      <c r="D222" s="10">
        <v>20951633</v>
      </c>
      <c r="E222" s="11">
        <v>3.96</v>
      </c>
      <c r="F222" s="12">
        <v>10749133</v>
      </c>
      <c r="G222" s="12">
        <v>11097133</v>
      </c>
      <c r="H222" s="12"/>
      <c r="I222" s="12"/>
      <c r="J222" s="12"/>
      <c r="K222" s="12"/>
      <c r="L222" s="12"/>
      <c r="M222" s="12"/>
      <c r="N222" s="12">
        <v>10749133</v>
      </c>
      <c r="O222" s="12">
        <v>11097133</v>
      </c>
      <c r="P222" s="11">
        <v>3.24</v>
      </c>
      <c r="Q222" s="12">
        <v>544918</v>
      </c>
      <c r="R222" s="12">
        <v>668319</v>
      </c>
      <c r="S222" s="12">
        <v>10204215</v>
      </c>
      <c r="T222" s="12">
        <v>10428814</v>
      </c>
      <c r="U222" s="12">
        <v>10204215</v>
      </c>
      <c r="V222" s="12">
        <v>10428814</v>
      </c>
      <c r="W222" s="12">
        <v>0</v>
      </c>
      <c r="X222" s="12">
        <v>0</v>
      </c>
      <c r="Y222" s="12">
        <v>859</v>
      </c>
      <c r="Z222" s="12">
        <v>859</v>
      </c>
      <c r="AA222" s="11">
        <v>0</v>
      </c>
      <c r="AB222" s="12">
        <v>4150870</v>
      </c>
      <c r="AC222" s="12">
        <v>3835867</v>
      </c>
      <c r="AD222" s="12">
        <v>706796</v>
      </c>
      <c r="AE222" s="12">
        <v>400000</v>
      </c>
      <c r="AF222" s="12">
        <v>806166</v>
      </c>
      <c r="AG222" s="12">
        <v>838065</v>
      </c>
      <c r="AH222" s="11">
        <v>4</v>
      </c>
      <c r="AI222" s="11">
        <v>4</v>
      </c>
      <c r="AJ222" s="13"/>
    </row>
    <row r="223" spans="1:36" x14ac:dyDescent="0.25">
      <c r="A223" t="str">
        <f>"430700"</f>
        <v>430700</v>
      </c>
      <c r="B223" t="s">
        <v>310</v>
      </c>
      <c r="C223" s="10">
        <v>52455000</v>
      </c>
      <c r="D223" s="10">
        <v>55390357</v>
      </c>
      <c r="E223" s="11">
        <v>5.6</v>
      </c>
      <c r="F223" s="12">
        <v>18874664</v>
      </c>
      <c r="G223" s="12">
        <v>19472250</v>
      </c>
      <c r="H223" s="12"/>
      <c r="I223" s="12"/>
      <c r="J223" s="12"/>
      <c r="K223" s="12"/>
      <c r="L223" s="12"/>
      <c r="M223" s="12"/>
      <c r="N223" s="12">
        <v>18874664</v>
      </c>
      <c r="O223" s="12">
        <v>19472250</v>
      </c>
      <c r="P223" s="11">
        <v>3.17</v>
      </c>
      <c r="Q223" s="12">
        <v>0</v>
      </c>
      <c r="R223" s="12">
        <v>0</v>
      </c>
      <c r="S223" s="12">
        <v>18874664</v>
      </c>
      <c r="T223" s="12">
        <v>19472250</v>
      </c>
      <c r="U223" s="12">
        <v>18874664</v>
      </c>
      <c r="V223" s="12">
        <v>19472250</v>
      </c>
      <c r="W223" s="12">
        <v>0</v>
      </c>
      <c r="X223" s="12">
        <v>0</v>
      </c>
      <c r="Y223" s="12">
        <v>2200</v>
      </c>
      <c r="Z223" s="12">
        <v>2200</v>
      </c>
      <c r="AA223" s="11">
        <v>0</v>
      </c>
      <c r="AB223" s="12">
        <v>697836</v>
      </c>
      <c r="AC223" s="12">
        <v>750000</v>
      </c>
      <c r="AD223" s="12">
        <v>500000</v>
      </c>
      <c r="AE223" s="12">
        <v>700000</v>
      </c>
      <c r="AF223" s="12">
        <v>2009984</v>
      </c>
      <c r="AG223" s="12">
        <v>2215000</v>
      </c>
      <c r="AH223" s="11">
        <v>3.83</v>
      </c>
      <c r="AI223" s="11">
        <v>4</v>
      </c>
      <c r="AJ223" s="13"/>
    </row>
    <row r="224" spans="1:36" x14ac:dyDescent="0.25">
      <c r="A224" t="str">
        <f>"081401"</f>
        <v>081401</v>
      </c>
      <c r="B224" t="s">
        <v>311</v>
      </c>
      <c r="C224" s="10">
        <v>10908695</v>
      </c>
      <c r="D224" s="10">
        <v>11166271</v>
      </c>
      <c r="E224" s="11">
        <v>2.36</v>
      </c>
      <c r="F224" s="12">
        <v>3206923</v>
      </c>
      <c r="G224" s="12">
        <v>3251500</v>
      </c>
      <c r="H224" s="12"/>
      <c r="I224" s="12"/>
      <c r="J224" s="12"/>
      <c r="K224" s="12"/>
      <c r="L224" s="12"/>
      <c r="M224" s="12"/>
      <c r="N224" s="12">
        <v>3206923</v>
      </c>
      <c r="O224" s="12">
        <v>3251500</v>
      </c>
      <c r="P224" s="11">
        <v>1.39</v>
      </c>
      <c r="Q224" s="12">
        <v>138374</v>
      </c>
      <c r="R224" s="12">
        <v>93853</v>
      </c>
      <c r="S224" s="12">
        <v>3068549</v>
      </c>
      <c r="T224" s="12">
        <v>3157647</v>
      </c>
      <c r="U224" s="12">
        <v>3068549</v>
      </c>
      <c r="V224" s="12">
        <v>3157647</v>
      </c>
      <c r="W224" s="12">
        <v>0</v>
      </c>
      <c r="X224" s="12">
        <v>0</v>
      </c>
      <c r="Y224" s="12">
        <v>342</v>
      </c>
      <c r="Z224" s="12">
        <v>323</v>
      </c>
      <c r="AA224" s="11">
        <v>-5.56</v>
      </c>
      <c r="AB224" s="12">
        <v>2684671</v>
      </c>
      <c r="AC224" s="12">
        <v>3184671</v>
      </c>
      <c r="AD224" s="12">
        <v>380000</v>
      </c>
      <c r="AE224" s="12">
        <v>380000</v>
      </c>
      <c r="AF224" s="12">
        <v>963356</v>
      </c>
      <c r="AG224" s="12">
        <v>446651</v>
      </c>
      <c r="AH224" s="11">
        <v>8.83</v>
      </c>
      <c r="AI224" s="11">
        <v>4</v>
      </c>
      <c r="AJ224" s="13"/>
    </row>
    <row r="225" spans="1:36" x14ac:dyDescent="0.25">
      <c r="A225" t="str">
        <f>"100902"</f>
        <v>100902</v>
      </c>
      <c r="B225" t="s">
        <v>312</v>
      </c>
      <c r="C225" s="10">
        <v>14790612</v>
      </c>
      <c r="D225" s="10">
        <v>14892359</v>
      </c>
      <c r="E225" s="11">
        <v>0.69</v>
      </c>
      <c r="F225" s="12">
        <v>8652540</v>
      </c>
      <c r="G225" s="12">
        <v>8921260</v>
      </c>
      <c r="H225" s="12"/>
      <c r="I225" s="12"/>
      <c r="J225" s="12"/>
      <c r="K225" s="12"/>
      <c r="L225" s="12"/>
      <c r="M225" s="12"/>
      <c r="N225" s="12">
        <v>8652540</v>
      </c>
      <c r="O225" s="12">
        <v>8921260</v>
      </c>
      <c r="P225" s="11">
        <v>3.11</v>
      </c>
      <c r="Q225" s="12">
        <v>252919</v>
      </c>
      <c r="R225" s="12">
        <v>286572</v>
      </c>
      <c r="S225" s="12">
        <v>8399621</v>
      </c>
      <c r="T225" s="12">
        <v>8634688</v>
      </c>
      <c r="U225" s="12">
        <v>8399621</v>
      </c>
      <c r="V225" s="12">
        <v>8634688</v>
      </c>
      <c r="W225" s="12">
        <v>0</v>
      </c>
      <c r="X225" s="12">
        <v>0</v>
      </c>
      <c r="Y225" s="12">
        <v>516</v>
      </c>
      <c r="Z225" s="12">
        <v>516</v>
      </c>
      <c r="AA225" s="11">
        <v>0</v>
      </c>
      <c r="AB225" s="12">
        <v>3532977</v>
      </c>
      <c r="AC225" s="12">
        <v>3500000</v>
      </c>
      <c r="AD225" s="12">
        <v>800600</v>
      </c>
      <c r="AE225" s="12">
        <v>800600</v>
      </c>
      <c r="AF225" s="12">
        <v>591624</v>
      </c>
      <c r="AG225" s="12">
        <v>595694</v>
      </c>
      <c r="AH225" s="11">
        <v>4</v>
      </c>
      <c r="AI225" s="11">
        <v>4</v>
      </c>
      <c r="AJ225" s="13"/>
    </row>
    <row r="226" spans="1:36" x14ac:dyDescent="0.25">
      <c r="A226" t="str">
        <f>"470202"</f>
        <v>470202</v>
      </c>
      <c r="B226" t="s">
        <v>313</v>
      </c>
      <c r="C226" s="10">
        <v>9305500</v>
      </c>
      <c r="D226" s="10">
        <v>9885000</v>
      </c>
      <c r="E226" s="11">
        <v>6.23</v>
      </c>
      <c r="F226" s="12">
        <v>2380115</v>
      </c>
      <c r="G226" s="12">
        <v>2427365</v>
      </c>
      <c r="H226" s="12"/>
      <c r="I226" s="12"/>
      <c r="J226" s="12"/>
      <c r="K226" s="12"/>
      <c r="L226" s="12"/>
      <c r="M226" s="12"/>
      <c r="N226" s="12">
        <v>2380115</v>
      </c>
      <c r="O226" s="12">
        <v>2427365</v>
      </c>
      <c r="P226" s="11">
        <v>1.99</v>
      </c>
      <c r="Q226" s="12">
        <v>0</v>
      </c>
      <c r="R226" s="12">
        <v>0</v>
      </c>
      <c r="S226" s="12">
        <v>2396674</v>
      </c>
      <c r="T226" s="12">
        <v>2454230</v>
      </c>
      <c r="U226" s="12">
        <v>2380115</v>
      </c>
      <c r="V226" s="12">
        <v>2427365</v>
      </c>
      <c r="W226" s="12">
        <v>16559</v>
      </c>
      <c r="X226" s="12">
        <v>26865</v>
      </c>
      <c r="Y226" s="12">
        <v>375</v>
      </c>
      <c r="Z226" s="12">
        <v>375</v>
      </c>
      <c r="AA226" s="11">
        <v>0</v>
      </c>
      <c r="AB226" s="12">
        <v>2771986</v>
      </c>
      <c r="AC226" s="12">
        <v>2413686</v>
      </c>
      <c r="AD226" s="12">
        <v>284253</v>
      </c>
      <c r="AE226" s="12">
        <v>365000</v>
      </c>
      <c r="AF226" s="12">
        <v>411400</v>
      </c>
      <c r="AG226" s="12">
        <v>398953</v>
      </c>
      <c r="AH226" s="11">
        <v>4.42</v>
      </c>
      <c r="AI226" s="11">
        <v>4.04</v>
      </c>
      <c r="AJ226" s="13"/>
    </row>
    <row r="227" spans="1:36" x14ac:dyDescent="0.25">
      <c r="A227" t="str">
        <f>"540801"</f>
        <v>540801</v>
      </c>
      <c r="B227" t="s">
        <v>314</v>
      </c>
      <c r="C227" s="10">
        <v>10347770</v>
      </c>
      <c r="D227" s="10">
        <v>10559629</v>
      </c>
      <c r="E227" s="11">
        <v>2.0499999999999998</v>
      </c>
      <c r="F227" s="12">
        <v>6533636</v>
      </c>
      <c r="G227" s="12">
        <v>6663883</v>
      </c>
      <c r="H227" s="12"/>
      <c r="I227" s="12"/>
      <c r="J227" s="12"/>
      <c r="K227" s="12"/>
      <c r="L227" s="12"/>
      <c r="M227" s="12"/>
      <c r="N227" s="12">
        <v>6533636</v>
      </c>
      <c r="O227" s="12">
        <v>6663883</v>
      </c>
      <c r="P227" s="11">
        <v>1.99</v>
      </c>
      <c r="Q227" s="12">
        <v>94163</v>
      </c>
      <c r="R227" s="12">
        <v>46508</v>
      </c>
      <c r="S227" s="12">
        <v>6661859</v>
      </c>
      <c r="T227" s="12">
        <v>6669879</v>
      </c>
      <c r="U227" s="12">
        <v>6439473</v>
      </c>
      <c r="V227" s="12">
        <v>6617375</v>
      </c>
      <c r="W227" s="12">
        <v>222386</v>
      </c>
      <c r="X227" s="12">
        <v>52504</v>
      </c>
      <c r="Y227" s="12">
        <v>310</v>
      </c>
      <c r="Z227" s="12">
        <v>303</v>
      </c>
      <c r="AA227" s="11">
        <v>-2.2599999999999998</v>
      </c>
      <c r="AB227" s="12">
        <v>4093986</v>
      </c>
      <c r="AC227" s="12">
        <v>3285670</v>
      </c>
      <c r="AD227" s="12">
        <v>400000</v>
      </c>
      <c r="AE227" s="12">
        <v>350000</v>
      </c>
      <c r="AF227" s="12">
        <v>413908</v>
      </c>
      <c r="AG227" s="12">
        <v>422385</v>
      </c>
      <c r="AH227" s="11">
        <v>4</v>
      </c>
      <c r="AI227" s="11">
        <v>4</v>
      </c>
      <c r="AJ227" s="13"/>
    </row>
    <row r="228" spans="1:36" x14ac:dyDescent="0.25">
      <c r="A228" t="str">
        <f>"280100"</f>
        <v>280100</v>
      </c>
      <c r="B228" t="s">
        <v>315</v>
      </c>
      <c r="C228" s="10">
        <v>85907869</v>
      </c>
      <c r="D228" s="10">
        <v>88209126</v>
      </c>
      <c r="E228" s="11">
        <v>2.68</v>
      </c>
      <c r="F228" s="12">
        <v>66804233</v>
      </c>
      <c r="G228" s="12">
        <v>68134737</v>
      </c>
      <c r="H228" s="12"/>
      <c r="I228" s="12"/>
      <c r="J228" s="12"/>
      <c r="K228" s="12"/>
      <c r="L228" s="12"/>
      <c r="M228" s="12"/>
      <c r="N228" s="12">
        <v>66804233</v>
      </c>
      <c r="O228" s="12">
        <v>68134737</v>
      </c>
      <c r="P228" s="11">
        <v>1.99</v>
      </c>
      <c r="Q228" s="12">
        <v>979588</v>
      </c>
      <c r="R228" s="12">
        <v>899064</v>
      </c>
      <c r="S228" s="12">
        <v>65824645</v>
      </c>
      <c r="T228" s="12">
        <v>67235673</v>
      </c>
      <c r="U228" s="12">
        <v>65824645</v>
      </c>
      <c r="V228" s="12">
        <v>67235673</v>
      </c>
      <c r="W228" s="12">
        <v>0</v>
      </c>
      <c r="X228" s="12">
        <v>0</v>
      </c>
      <c r="Y228" s="12">
        <v>3462</v>
      </c>
      <c r="Z228" s="12">
        <v>3348</v>
      </c>
      <c r="AA228" s="11">
        <v>-3.29</v>
      </c>
      <c r="AB228" s="12">
        <v>10707396</v>
      </c>
      <c r="AC228" s="12">
        <v>8232396</v>
      </c>
      <c r="AD228" s="12">
        <v>2475000</v>
      </c>
      <c r="AE228" s="12">
        <v>1975000</v>
      </c>
      <c r="AF228" s="12">
        <v>3436315</v>
      </c>
      <c r="AG228" s="12">
        <v>3528365</v>
      </c>
      <c r="AH228" s="11">
        <v>4</v>
      </c>
      <c r="AI228" s="11">
        <v>4</v>
      </c>
      <c r="AJ228" s="13"/>
    </row>
    <row r="229" spans="1:36" x14ac:dyDescent="0.25">
      <c r="A229" t="str">
        <f>"630300"</f>
        <v>630300</v>
      </c>
      <c r="B229" t="s">
        <v>316</v>
      </c>
      <c r="C229" s="10">
        <v>43050269</v>
      </c>
      <c r="D229" s="10">
        <v>44309688</v>
      </c>
      <c r="E229" s="11">
        <v>2.93</v>
      </c>
      <c r="F229" s="12">
        <v>20543320</v>
      </c>
      <c r="G229" s="12">
        <v>21055520</v>
      </c>
      <c r="H229" s="12"/>
      <c r="I229" s="12"/>
      <c r="J229" s="12"/>
      <c r="K229" s="12"/>
      <c r="L229" s="12"/>
      <c r="M229" s="12"/>
      <c r="N229" s="12">
        <v>20543320</v>
      </c>
      <c r="O229" s="12">
        <v>21055520</v>
      </c>
      <c r="P229" s="11">
        <v>2.4900000000000002</v>
      </c>
      <c r="Q229" s="12">
        <v>628190</v>
      </c>
      <c r="R229" s="12">
        <v>620200</v>
      </c>
      <c r="S229" s="12">
        <v>19915130</v>
      </c>
      <c r="T229" s="12">
        <v>20435320</v>
      </c>
      <c r="U229" s="12">
        <v>19915130</v>
      </c>
      <c r="V229" s="12">
        <v>20435320</v>
      </c>
      <c r="W229" s="12">
        <v>0</v>
      </c>
      <c r="X229" s="12">
        <v>0</v>
      </c>
      <c r="Y229" s="12">
        <v>2036</v>
      </c>
      <c r="Z229" s="12">
        <v>2054</v>
      </c>
      <c r="AA229" s="11">
        <v>0.88</v>
      </c>
      <c r="AB229" s="12">
        <v>4598117</v>
      </c>
      <c r="AC229" s="12">
        <v>4745320</v>
      </c>
      <c r="AD229" s="12">
        <v>2405047</v>
      </c>
      <c r="AE229" s="12">
        <v>2405047</v>
      </c>
      <c r="AF229" s="12">
        <v>5414914</v>
      </c>
      <c r="AG229" s="12">
        <v>6400000</v>
      </c>
      <c r="AH229" s="11">
        <v>12.58</v>
      </c>
      <c r="AI229" s="11">
        <v>14.44</v>
      </c>
      <c r="AJ229" s="13"/>
    </row>
    <row r="230" spans="1:36" x14ac:dyDescent="0.25">
      <c r="A230" t="str">
        <f>"630918"</f>
        <v>630918</v>
      </c>
      <c r="B230" t="s">
        <v>317</v>
      </c>
      <c r="C230" s="10">
        <v>4600025</v>
      </c>
      <c r="D230" s="10">
        <v>4779935</v>
      </c>
      <c r="E230" s="11">
        <v>3.91</v>
      </c>
      <c r="F230" s="12">
        <v>2904765</v>
      </c>
      <c r="G230" s="12">
        <v>2975130</v>
      </c>
      <c r="H230" s="12"/>
      <c r="I230" s="12"/>
      <c r="J230" s="12"/>
      <c r="K230" s="12"/>
      <c r="L230" s="12"/>
      <c r="M230" s="12"/>
      <c r="N230" s="12">
        <v>2904765</v>
      </c>
      <c r="O230" s="12">
        <v>2975130</v>
      </c>
      <c r="P230" s="11">
        <v>2.42</v>
      </c>
      <c r="Q230" s="12">
        <v>84926</v>
      </c>
      <c r="R230" s="12">
        <v>70365</v>
      </c>
      <c r="S230" s="12">
        <v>2819839</v>
      </c>
      <c r="T230" s="12">
        <v>2904765</v>
      </c>
      <c r="U230" s="12">
        <v>2819839</v>
      </c>
      <c r="V230" s="12">
        <v>2904765</v>
      </c>
      <c r="W230" s="12">
        <v>0</v>
      </c>
      <c r="X230" s="12">
        <v>0</v>
      </c>
      <c r="Y230" s="12">
        <v>174</v>
      </c>
      <c r="Z230" s="12">
        <v>156</v>
      </c>
      <c r="AA230" s="11">
        <v>-10.34</v>
      </c>
      <c r="AB230" s="12">
        <v>182375</v>
      </c>
      <c r="AC230" s="12">
        <v>150000</v>
      </c>
      <c r="AD230" s="12">
        <v>212769</v>
      </c>
      <c r="AE230" s="12">
        <v>150000</v>
      </c>
      <c r="AF230" s="12">
        <v>121223</v>
      </c>
      <c r="AG230" s="12">
        <v>191000</v>
      </c>
      <c r="AH230" s="11">
        <v>2.64</v>
      </c>
      <c r="AI230" s="11">
        <v>4</v>
      </c>
      <c r="AJ230" s="13"/>
    </row>
    <row r="231" spans="1:36" x14ac:dyDescent="0.25">
      <c r="A231" t="str">
        <f>"170500"</f>
        <v>170500</v>
      </c>
      <c r="B231" t="s">
        <v>318</v>
      </c>
      <c r="C231" s="10">
        <v>61506612</v>
      </c>
      <c r="D231" s="10">
        <v>64494134</v>
      </c>
      <c r="E231" s="11">
        <v>4.8600000000000003</v>
      </c>
      <c r="F231" s="12">
        <v>14413802</v>
      </c>
      <c r="G231" s="12">
        <v>14722462</v>
      </c>
      <c r="H231" s="12"/>
      <c r="I231" s="12"/>
      <c r="J231" s="12"/>
      <c r="K231" s="12"/>
      <c r="L231" s="12"/>
      <c r="M231" s="12"/>
      <c r="N231" s="12">
        <v>14413802</v>
      </c>
      <c r="O231" s="12">
        <v>14722462</v>
      </c>
      <c r="P231" s="11">
        <v>2.14</v>
      </c>
      <c r="Q231" s="12">
        <v>0</v>
      </c>
      <c r="R231" s="12">
        <v>0</v>
      </c>
      <c r="S231" s="12">
        <v>14413802</v>
      </c>
      <c r="T231" s="12">
        <v>14722462</v>
      </c>
      <c r="U231" s="12">
        <v>14413802</v>
      </c>
      <c r="V231" s="12">
        <v>14722462</v>
      </c>
      <c r="W231" s="12">
        <v>0</v>
      </c>
      <c r="X231" s="12">
        <v>0</v>
      </c>
      <c r="Y231" s="12">
        <v>2676</v>
      </c>
      <c r="Z231" s="12">
        <v>2680</v>
      </c>
      <c r="AA231" s="11">
        <v>0.15</v>
      </c>
      <c r="AB231" s="12">
        <v>918152</v>
      </c>
      <c r="AC231" s="12">
        <v>752550</v>
      </c>
      <c r="AD231" s="12">
        <v>434873</v>
      </c>
      <c r="AE231" s="12">
        <v>1269402</v>
      </c>
      <c r="AF231" s="12">
        <v>3890073</v>
      </c>
      <c r="AG231" s="12">
        <v>1934000</v>
      </c>
      <c r="AH231" s="11">
        <v>6.32</v>
      </c>
      <c r="AI231" s="11">
        <v>3</v>
      </c>
      <c r="AJ231" s="13"/>
    </row>
    <row r="232" spans="1:36" x14ac:dyDescent="0.25">
      <c r="A232" t="str">
        <f>"430901"</f>
        <v>430901</v>
      </c>
      <c r="B232" t="s">
        <v>319</v>
      </c>
      <c r="C232" s="10">
        <v>32049580</v>
      </c>
      <c r="D232" s="10">
        <v>33346300</v>
      </c>
      <c r="E232" s="11">
        <v>4.05</v>
      </c>
      <c r="F232" s="12">
        <v>13953151</v>
      </c>
      <c r="G232" s="12">
        <v>14275216</v>
      </c>
      <c r="H232" s="12"/>
      <c r="I232" s="12"/>
      <c r="J232" s="12"/>
      <c r="K232" s="12"/>
      <c r="L232" s="12"/>
      <c r="M232" s="12"/>
      <c r="N232" s="12">
        <v>13953151</v>
      </c>
      <c r="O232" s="12">
        <v>14275216</v>
      </c>
      <c r="P232" s="11">
        <v>2.31</v>
      </c>
      <c r="Q232" s="12">
        <v>0</v>
      </c>
      <c r="R232" s="12">
        <v>0</v>
      </c>
      <c r="S232" s="12">
        <v>13960322</v>
      </c>
      <c r="T232" s="12">
        <v>14283738</v>
      </c>
      <c r="U232" s="12">
        <v>13953151</v>
      </c>
      <c r="V232" s="12">
        <v>14275216</v>
      </c>
      <c r="W232" s="12">
        <v>7171</v>
      </c>
      <c r="X232" s="12">
        <v>8522</v>
      </c>
      <c r="Y232" s="12">
        <v>1218</v>
      </c>
      <c r="Z232" s="12">
        <v>1230</v>
      </c>
      <c r="AA232" s="11">
        <v>0.99</v>
      </c>
      <c r="AB232" s="12">
        <v>7938745</v>
      </c>
      <c r="AC232" s="12">
        <v>5750000</v>
      </c>
      <c r="AD232" s="12">
        <v>580000</v>
      </c>
      <c r="AE232" s="12">
        <v>580000</v>
      </c>
      <c r="AF232" s="12">
        <v>1281983</v>
      </c>
      <c r="AG232" s="12">
        <v>1333852</v>
      </c>
      <c r="AH232" s="11">
        <v>4</v>
      </c>
      <c r="AI232" s="11">
        <v>4</v>
      </c>
      <c r="AJ232" s="13"/>
    </row>
    <row r="233" spans="1:36" x14ac:dyDescent="0.25">
      <c r="A233" t="str">
        <f>"440601"</f>
        <v>440601</v>
      </c>
      <c r="B233" t="s">
        <v>320</v>
      </c>
      <c r="C233" s="10">
        <v>69733196</v>
      </c>
      <c r="D233" s="10">
        <v>71339552</v>
      </c>
      <c r="E233" s="11">
        <v>2.2999999999999998</v>
      </c>
      <c r="F233" s="12">
        <v>49744442</v>
      </c>
      <c r="G233" s="12">
        <v>50584875</v>
      </c>
      <c r="H233" s="12"/>
      <c r="I233" s="12"/>
      <c r="J233" s="12"/>
      <c r="K233" s="12"/>
      <c r="L233" s="12"/>
      <c r="M233" s="12"/>
      <c r="N233" s="12">
        <v>49744442</v>
      </c>
      <c r="O233" s="12">
        <v>50584875</v>
      </c>
      <c r="P233" s="11">
        <v>1.69</v>
      </c>
      <c r="Q233" s="12">
        <v>857446</v>
      </c>
      <c r="R233" s="12">
        <v>403188</v>
      </c>
      <c r="S233" s="12">
        <v>49017847</v>
      </c>
      <c r="T233" s="12">
        <v>50181687</v>
      </c>
      <c r="U233" s="12">
        <v>48886996</v>
      </c>
      <c r="V233" s="12">
        <v>50181687</v>
      </c>
      <c r="W233" s="12">
        <v>130851</v>
      </c>
      <c r="X233" s="12">
        <v>0</v>
      </c>
      <c r="Y233" s="12">
        <v>2857</v>
      </c>
      <c r="Z233" s="12">
        <v>2900</v>
      </c>
      <c r="AA233" s="11">
        <v>1.51</v>
      </c>
      <c r="AB233" s="12">
        <v>12876964</v>
      </c>
      <c r="AC233" s="12">
        <v>8973154</v>
      </c>
      <c r="AD233" s="12">
        <v>2304207</v>
      </c>
      <c r="AE233" s="12">
        <v>1480434</v>
      </c>
      <c r="AF233" s="12">
        <v>2790339</v>
      </c>
      <c r="AG233" s="12">
        <v>2853582</v>
      </c>
      <c r="AH233" s="11">
        <v>4</v>
      </c>
      <c r="AI233" s="11">
        <v>4</v>
      </c>
      <c r="AJ233" s="13"/>
    </row>
    <row r="234" spans="1:36" x14ac:dyDescent="0.25">
      <c r="A234" t="str">
        <f>"511101"</f>
        <v>511101</v>
      </c>
      <c r="B234" t="s">
        <v>321</v>
      </c>
      <c r="C234" s="10">
        <v>34927600</v>
      </c>
      <c r="D234" s="10">
        <v>36676839</v>
      </c>
      <c r="E234" s="11">
        <v>5.01</v>
      </c>
      <c r="F234" s="12">
        <v>5905696</v>
      </c>
      <c r="G234" s="12">
        <v>6221928</v>
      </c>
      <c r="H234" s="12"/>
      <c r="I234" s="12"/>
      <c r="J234" s="12"/>
      <c r="K234" s="12"/>
      <c r="L234" s="12"/>
      <c r="M234" s="12"/>
      <c r="N234" s="12">
        <v>5905696</v>
      </c>
      <c r="O234" s="12">
        <v>6221928</v>
      </c>
      <c r="P234" s="11">
        <v>5.35</v>
      </c>
      <c r="Q234" s="12">
        <v>238968</v>
      </c>
      <c r="R234" s="12">
        <v>434066</v>
      </c>
      <c r="S234" s="12">
        <v>5666728</v>
      </c>
      <c r="T234" s="12">
        <v>5787863</v>
      </c>
      <c r="U234" s="12">
        <v>5666728</v>
      </c>
      <c r="V234" s="12">
        <v>5787862</v>
      </c>
      <c r="W234" s="12">
        <v>0</v>
      </c>
      <c r="X234" s="12">
        <v>1</v>
      </c>
      <c r="Y234" s="12">
        <v>1562</v>
      </c>
      <c r="Z234" s="12">
        <v>1567</v>
      </c>
      <c r="AA234" s="11">
        <v>0.32</v>
      </c>
      <c r="AB234" s="12">
        <v>7130000</v>
      </c>
      <c r="AC234" s="12">
        <v>6880000</v>
      </c>
      <c r="AD234" s="12">
        <v>2500000</v>
      </c>
      <c r="AE234" s="12">
        <v>2500000</v>
      </c>
      <c r="AF234" s="12">
        <v>1970000</v>
      </c>
      <c r="AG234" s="12">
        <v>1700000</v>
      </c>
      <c r="AH234" s="11">
        <v>5.64</v>
      </c>
      <c r="AI234" s="11">
        <v>4.6399999999999997</v>
      </c>
      <c r="AJ234" s="13"/>
    </row>
    <row r="235" spans="1:36" x14ac:dyDescent="0.25">
      <c r="A235" t="str">
        <f>"042801"</f>
        <v>042801</v>
      </c>
      <c r="B235" t="s">
        <v>322</v>
      </c>
      <c r="C235" s="10">
        <v>30025326</v>
      </c>
      <c r="D235" s="10">
        <v>31446194</v>
      </c>
      <c r="E235" s="11">
        <v>4.7300000000000004</v>
      </c>
      <c r="F235" s="12">
        <v>5045762</v>
      </c>
      <c r="G235" s="12">
        <v>5145785</v>
      </c>
      <c r="H235" s="12"/>
      <c r="I235" s="12"/>
      <c r="J235" s="12"/>
      <c r="K235" s="12"/>
      <c r="L235" s="12"/>
      <c r="M235" s="12"/>
      <c r="N235" s="12">
        <v>5045762</v>
      </c>
      <c r="O235" s="12">
        <v>5145785</v>
      </c>
      <c r="P235" s="11">
        <v>1.98</v>
      </c>
      <c r="Q235" s="12">
        <v>0</v>
      </c>
      <c r="R235" s="12">
        <v>0</v>
      </c>
      <c r="S235" s="12">
        <v>5045762</v>
      </c>
      <c r="T235" s="12">
        <v>5145785</v>
      </c>
      <c r="U235" s="12">
        <v>5045762</v>
      </c>
      <c r="V235" s="12">
        <v>5145785</v>
      </c>
      <c r="W235" s="12">
        <v>0</v>
      </c>
      <c r="X235" s="12">
        <v>0</v>
      </c>
      <c r="Y235" s="12">
        <v>1147</v>
      </c>
      <c r="Z235" s="12">
        <v>1105</v>
      </c>
      <c r="AA235" s="11">
        <v>-3.66</v>
      </c>
      <c r="AB235" s="12">
        <v>4530973</v>
      </c>
      <c r="AC235" s="12">
        <v>3895878</v>
      </c>
      <c r="AD235" s="12">
        <v>1924834</v>
      </c>
      <c r="AE235" s="12">
        <v>2086640</v>
      </c>
      <c r="AF235" s="12">
        <v>1030262</v>
      </c>
      <c r="AG235" s="12">
        <v>1048134</v>
      </c>
      <c r="AH235" s="11">
        <v>3.43</v>
      </c>
      <c r="AI235" s="11">
        <v>3.33</v>
      </c>
      <c r="AJ235" s="13"/>
    </row>
    <row r="236" spans="1:36" x14ac:dyDescent="0.25">
      <c r="A236" t="str">
        <f>"141501"</f>
        <v>141501</v>
      </c>
      <c r="B236" t="s">
        <v>323</v>
      </c>
      <c r="C236" s="10">
        <v>62639021</v>
      </c>
      <c r="D236" s="10">
        <v>62481712</v>
      </c>
      <c r="E236" s="11">
        <v>-0.25</v>
      </c>
      <c r="F236" s="12">
        <v>33126393</v>
      </c>
      <c r="G236" s="12">
        <v>33463153</v>
      </c>
      <c r="H236" s="12"/>
      <c r="I236" s="12"/>
      <c r="J236" s="12"/>
      <c r="K236" s="12"/>
      <c r="L236" s="12"/>
      <c r="M236" s="12"/>
      <c r="N236" s="12">
        <v>33126393</v>
      </c>
      <c r="O236" s="12">
        <v>33463153</v>
      </c>
      <c r="P236" s="11">
        <v>1.02</v>
      </c>
      <c r="Q236" s="12">
        <v>1430146</v>
      </c>
      <c r="R236" s="12">
        <v>915375</v>
      </c>
      <c r="S236" s="12">
        <v>33126560</v>
      </c>
      <c r="T236" s="12">
        <v>33463196</v>
      </c>
      <c r="U236" s="12">
        <v>31696247</v>
      </c>
      <c r="V236" s="12">
        <v>32547778</v>
      </c>
      <c r="W236" s="12">
        <v>1430313</v>
      </c>
      <c r="X236" s="12">
        <v>915418</v>
      </c>
      <c r="Y236" s="12">
        <v>2875</v>
      </c>
      <c r="Z236" s="12">
        <v>2895</v>
      </c>
      <c r="AA236" s="11">
        <v>0.7</v>
      </c>
      <c r="AB236" s="12">
        <v>9726668</v>
      </c>
      <c r="AC236" s="12">
        <v>9726668</v>
      </c>
      <c r="AD236" s="12">
        <v>1950000</v>
      </c>
      <c r="AE236" s="12">
        <v>1950000</v>
      </c>
      <c r="AF236" s="12">
        <v>2499269</v>
      </c>
      <c r="AG236" s="12">
        <v>2500000</v>
      </c>
      <c r="AH236" s="11">
        <v>3.99</v>
      </c>
      <c r="AI236" s="11">
        <v>4</v>
      </c>
      <c r="AJ236" s="13"/>
    </row>
    <row r="237" spans="1:36" x14ac:dyDescent="0.25">
      <c r="A237" t="str">
        <f>"640701"</f>
        <v>640701</v>
      </c>
      <c r="B237" t="s">
        <v>324</v>
      </c>
      <c r="C237" s="10">
        <v>26711169</v>
      </c>
      <c r="D237" s="10">
        <v>25909831</v>
      </c>
      <c r="E237" s="11">
        <v>-3</v>
      </c>
      <c r="F237" s="12">
        <v>7076119</v>
      </c>
      <c r="G237" s="12">
        <v>7076119</v>
      </c>
      <c r="H237" s="12"/>
      <c r="I237" s="12"/>
      <c r="J237" s="12"/>
      <c r="K237" s="12"/>
      <c r="L237" s="12"/>
      <c r="M237" s="12"/>
      <c r="N237" s="12">
        <v>7076119</v>
      </c>
      <c r="O237" s="12">
        <v>7076119</v>
      </c>
      <c r="P237" s="11">
        <v>0</v>
      </c>
      <c r="Q237" s="12">
        <v>612506</v>
      </c>
      <c r="R237" s="12">
        <v>488364</v>
      </c>
      <c r="S237" s="12">
        <v>6642992</v>
      </c>
      <c r="T237" s="12">
        <v>6647018</v>
      </c>
      <c r="U237" s="12">
        <v>6463613</v>
      </c>
      <c r="V237" s="12">
        <v>6587755</v>
      </c>
      <c r="W237" s="12">
        <v>179379</v>
      </c>
      <c r="X237" s="12">
        <v>59263</v>
      </c>
      <c r="Y237" s="12">
        <v>1065</v>
      </c>
      <c r="Z237" s="12">
        <v>1060</v>
      </c>
      <c r="AA237" s="11">
        <v>-0.47</v>
      </c>
      <c r="AB237" s="12">
        <v>1301668</v>
      </c>
      <c r="AC237" s="12">
        <v>2227643</v>
      </c>
      <c r="AD237" s="12">
        <v>175763</v>
      </c>
      <c r="AE237" s="12">
        <v>15000</v>
      </c>
      <c r="AF237" s="12">
        <v>6198231</v>
      </c>
      <c r="AG237" s="12">
        <v>5514231</v>
      </c>
      <c r="AH237" s="11">
        <v>23.2</v>
      </c>
      <c r="AI237" s="11">
        <v>21.28</v>
      </c>
      <c r="AJ237" s="13"/>
    </row>
    <row r="238" spans="1:36" x14ac:dyDescent="0.25">
      <c r="A238" t="str">
        <f>"280407"</f>
        <v>280407</v>
      </c>
      <c r="B238" t="s">
        <v>325</v>
      </c>
      <c r="C238" s="10">
        <v>223311165</v>
      </c>
      <c r="D238" s="10">
        <v>229845028</v>
      </c>
      <c r="E238" s="11">
        <v>2.93</v>
      </c>
      <c r="F238" s="12">
        <v>198564847</v>
      </c>
      <c r="G238" s="12">
        <v>203571382</v>
      </c>
      <c r="H238" s="12"/>
      <c r="I238" s="12"/>
      <c r="J238" s="12"/>
      <c r="K238" s="12"/>
      <c r="L238" s="12"/>
      <c r="M238" s="12"/>
      <c r="N238" s="12">
        <v>198564847</v>
      </c>
      <c r="O238" s="12">
        <v>203571382</v>
      </c>
      <c r="P238" s="11">
        <v>2.52</v>
      </c>
      <c r="Q238" s="12">
        <v>7085809</v>
      </c>
      <c r="R238" s="12">
        <v>6781559</v>
      </c>
      <c r="S238" s="12">
        <v>191479038</v>
      </c>
      <c r="T238" s="12">
        <v>197443579</v>
      </c>
      <c r="U238" s="12">
        <v>191479038</v>
      </c>
      <c r="V238" s="12">
        <v>196789823</v>
      </c>
      <c r="W238" s="12">
        <v>0</v>
      </c>
      <c r="X238" s="12">
        <v>653756</v>
      </c>
      <c r="Y238" s="12">
        <v>6527</v>
      </c>
      <c r="Z238" s="12">
        <v>6595</v>
      </c>
      <c r="AA238" s="11">
        <v>1.04</v>
      </c>
      <c r="AB238" s="12">
        <v>35461489</v>
      </c>
      <c r="AC238" s="12">
        <v>37792398</v>
      </c>
      <c r="AD238" s="12">
        <v>1520000</v>
      </c>
      <c r="AE238" s="12">
        <v>1600000</v>
      </c>
      <c r="AF238" s="12">
        <v>8933347</v>
      </c>
      <c r="AG238" s="12">
        <v>9193801</v>
      </c>
      <c r="AH238" s="11">
        <v>4</v>
      </c>
      <c r="AI238" s="11">
        <v>4</v>
      </c>
      <c r="AJ238" s="13"/>
    </row>
    <row r="239" spans="1:36" x14ac:dyDescent="0.25">
      <c r="A239" t="str">
        <f>"260501"</f>
        <v>260501</v>
      </c>
      <c r="B239" t="s">
        <v>326</v>
      </c>
      <c r="C239" s="10">
        <v>227552834</v>
      </c>
      <c r="D239" s="10">
        <v>231322140</v>
      </c>
      <c r="E239" s="11">
        <v>1.66</v>
      </c>
      <c r="F239" s="12">
        <v>106230060</v>
      </c>
      <c r="G239" s="12">
        <v>108379250</v>
      </c>
      <c r="H239" s="12"/>
      <c r="I239" s="12"/>
      <c r="J239" s="12"/>
      <c r="K239" s="12"/>
      <c r="L239" s="12"/>
      <c r="M239" s="12"/>
      <c r="N239" s="12">
        <v>106230060</v>
      </c>
      <c r="O239" s="12">
        <v>108379250</v>
      </c>
      <c r="P239" s="11">
        <v>2.02</v>
      </c>
      <c r="Q239" s="12">
        <v>2803030</v>
      </c>
      <c r="R239" s="12">
        <v>2707374</v>
      </c>
      <c r="S239" s="12">
        <v>103427030</v>
      </c>
      <c r="T239" s="12">
        <v>105671876</v>
      </c>
      <c r="U239" s="12">
        <v>103427030</v>
      </c>
      <c r="V239" s="12">
        <v>105671876</v>
      </c>
      <c r="W239" s="12">
        <v>0</v>
      </c>
      <c r="X239" s="12">
        <v>0</v>
      </c>
      <c r="Y239" s="12">
        <v>10693</v>
      </c>
      <c r="Z239" s="12">
        <v>10515</v>
      </c>
      <c r="AA239" s="11">
        <v>-1.66</v>
      </c>
      <c r="AB239" s="12">
        <v>25690471</v>
      </c>
      <c r="AC239" s="12">
        <v>30317496</v>
      </c>
      <c r="AD239" s="12">
        <v>6743718</v>
      </c>
      <c r="AE239" s="12">
        <v>6000000</v>
      </c>
      <c r="AF239" s="12">
        <v>9017137</v>
      </c>
      <c r="AG239" s="12">
        <v>9021563</v>
      </c>
      <c r="AH239" s="11">
        <v>3.96</v>
      </c>
      <c r="AI239" s="11">
        <v>3.9</v>
      </c>
      <c r="AJ239" s="13"/>
    </row>
    <row r="240" spans="1:36" x14ac:dyDescent="0.25">
      <c r="A240" t="str">
        <f>"010701"</f>
        <v>010701</v>
      </c>
      <c r="B240" t="s">
        <v>327</v>
      </c>
      <c r="C240" s="10">
        <v>7292926</v>
      </c>
      <c r="D240" s="10">
        <v>7405876</v>
      </c>
      <c r="E240" s="11">
        <v>1.55</v>
      </c>
      <c r="F240" s="12">
        <v>3208848</v>
      </c>
      <c r="G240" s="12">
        <v>3319583</v>
      </c>
      <c r="H240" s="12"/>
      <c r="I240" s="12"/>
      <c r="J240" s="12"/>
      <c r="K240" s="12"/>
      <c r="L240" s="12"/>
      <c r="M240" s="12"/>
      <c r="N240" s="12">
        <v>3208848</v>
      </c>
      <c r="O240" s="12">
        <v>3319583</v>
      </c>
      <c r="P240" s="11">
        <v>3.45</v>
      </c>
      <c r="Q240" s="12">
        <v>146245</v>
      </c>
      <c r="R240" s="12">
        <v>200413</v>
      </c>
      <c r="S240" s="12">
        <v>3062603</v>
      </c>
      <c r="T240" s="12">
        <v>3119170</v>
      </c>
      <c r="U240" s="12">
        <v>3062603</v>
      </c>
      <c r="V240" s="12">
        <v>3119170</v>
      </c>
      <c r="W240" s="12">
        <v>0</v>
      </c>
      <c r="X240" s="12">
        <v>0</v>
      </c>
      <c r="Y240" s="12">
        <v>324</v>
      </c>
      <c r="Z240" s="12">
        <v>320</v>
      </c>
      <c r="AA240" s="11">
        <v>-1.23</v>
      </c>
      <c r="AB240" s="12">
        <v>418132</v>
      </c>
      <c r="AC240" s="12">
        <v>435000</v>
      </c>
      <c r="AD240" s="12">
        <v>258439</v>
      </c>
      <c r="AE240" s="12">
        <v>119532</v>
      </c>
      <c r="AF240" s="12">
        <v>284287</v>
      </c>
      <c r="AG240" s="12">
        <v>290000</v>
      </c>
      <c r="AH240" s="11">
        <v>3.9</v>
      </c>
      <c r="AI240" s="11">
        <v>3.92</v>
      </c>
      <c r="AJ240" s="13"/>
    </row>
    <row r="241" spans="1:36" x14ac:dyDescent="0.25">
      <c r="A241" t="str">
        <f>"660407"</f>
        <v>660407</v>
      </c>
      <c r="B241" t="s">
        <v>328</v>
      </c>
      <c r="C241" s="10">
        <v>66689145</v>
      </c>
      <c r="D241" s="10">
        <v>68760410</v>
      </c>
      <c r="E241" s="11">
        <v>3.11</v>
      </c>
      <c r="F241" s="12">
        <v>58368438</v>
      </c>
      <c r="G241" s="12">
        <v>59443703</v>
      </c>
      <c r="H241" s="12"/>
      <c r="I241" s="12"/>
      <c r="J241" s="12"/>
      <c r="K241" s="12"/>
      <c r="L241" s="12"/>
      <c r="M241" s="12"/>
      <c r="N241" s="12">
        <v>58368438</v>
      </c>
      <c r="O241" s="12">
        <v>59443703</v>
      </c>
      <c r="P241" s="11">
        <v>1.84</v>
      </c>
      <c r="Q241" s="12">
        <v>1040101</v>
      </c>
      <c r="R241" s="12">
        <v>338422</v>
      </c>
      <c r="S241" s="12">
        <v>57377753</v>
      </c>
      <c r="T241" s="12">
        <v>60455893</v>
      </c>
      <c r="U241" s="12">
        <v>57328337</v>
      </c>
      <c r="V241" s="12">
        <v>59105281</v>
      </c>
      <c r="W241" s="12">
        <v>49416</v>
      </c>
      <c r="X241" s="12">
        <v>1350612</v>
      </c>
      <c r="Y241" s="12">
        <v>1878</v>
      </c>
      <c r="Z241" s="12">
        <v>1885</v>
      </c>
      <c r="AA241" s="11">
        <v>0.37</v>
      </c>
      <c r="AB241" s="12">
        <v>10892951</v>
      </c>
      <c r="AC241" s="12">
        <v>9750000</v>
      </c>
      <c r="AD241" s="12">
        <v>1000000</v>
      </c>
      <c r="AE241" s="12">
        <v>1000000</v>
      </c>
      <c r="AF241" s="12">
        <v>2667565</v>
      </c>
      <c r="AG241" s="12">
        <v>2750416</v>
      </c>
      <c r="AH241" s="11">
        <v>4</v>
      </c>
      <c r="AI241" s="11">
        <v>4</v>
      </c>
      <c r="AJ241" s="13"/>
    </row>
    <row r="242" spans="1:36" x14ac:dyDescent="0.25">
      <c r="A242" t="str">
        <f>"080601"</f>
        <v>080601</v>
      </c>
      <c r="B242" t="s">
        <v>329</v>
      </c>
      <c r="C242" s="10">
        <v>26168454</v>
      </c>
      <c r="D242" s="10">
        <v>26448955</v>
      </c>
      <c r="E242" s="11">
        <v>1.07</v>
      </c>
      <c r="F242" s="12">
        <v>6775660</v>
      </c>
      <c r="G242" s="12">
        <v>6882610</v>
      </c>
      <c r="H242" s="12"/>
      <c r="I242" s="12"/>
      <c r="J242" s="12"/>
      <c r="K242" s="12"/>
      <c r="L242" s="12"/>
      <c r="M242" s="12"/>
      <c r="N242" s="12">
        <v>6775660</v>
      </c>
      <c r="O242" s="12">
        <v>6882610</v>
      </c>
      <c r="P242" s="11">
        <v>1.58</v>
      </c>
      <c r="Q242" s="12">
        <v>649001</v>
      </c>
      <c r="R242" s="12">
        <v>591898</v>
      </c>
      <c r="S242" s="12">
        <v>6126659</v>
      </c>
      <c r="T242" s="12">
        <v>6290712</v>
      </c>
      <c r="U242" s="12">
        <v>6126659</v>
      </c>
      <c r="V242" s="12">
        <v>6290712</v>
      </c>
      <c r="W242" s="12">
        <v>0</v>
      </c>
      <c r="X242" s="12">
        <v>0</v>
      </c>
      <c r="Y242" s="12">
        <v>1000</v>
      </c>
      <c r="Z242" s="12">
        <v>989</v>
      </c>
      <c r="AA242" s="11">
        <v>-1.1000000000000001</v>
      </c>
      <c r="AB242" s="12">
        <v>4008444</v>
      </c>
      <c r="AC242" s="12">
        <v>4303989</v>
      </c>
      <c r="AD242" s="12">
        <v>513200</v>
      </c>
      <c r="AE242" s="12">
        <v>513200</v>
      </c>
      <c r="AF242" s="12">
        <v>1046738</v>
      </c>
      <c r="AG242" s="12">
        <v>1057958</v>
      </c>
      <c r="AH242" s="11">
        <v>4</v>
      </c>
      <c r="AI242" s="11">
        <v>4</v>
      </c>
      <c r="AJ242" s="13"/>
    </row>
    <row r="243" spans="1:36" x14ac:dyDescent="0.25">
      <c r="A243" t="str">
        <f>"581010"</f>
        <v>581010</v>
      </c>
      <c r="B243" t="s">
        <v>330</v>
      </c>
      <c r="C243" s="10">
        <v>18365500</v>
      </c>
      <c r="D243" s="10">
        <v>19038000</v>
      </c>
      <c r="E243" s="11">
        <v>3.66</v>
      </c>
      <c r="F243" s="12">
        <v>14304000</v>
      </c>
      <c r="G243" s="12">
        <v>14964200</v>
      </c>
      <c r="H243" s="12"/>
      <c r="I243" s="12"/>
      <c r="J243" s="12"/>
      <c r="K243" s="12"/>
      <c r="L243" s="12"/>
      <c r="M243" s="12"/>
      <c r="N243" s="12">
        <v>14304000</v>
      </c>
      <c r="O243" s="12">
        <v>14964200</v>
      </c>
      <c r="P243" s="11">
        <v>4.62</v>
      </c>
      <c r="Q243" s="12">
        <v>637082</v>
      </c>
      <c r="R243" s="12">
        <v>636156</v>
      </c>
      <c r="S243" s="12">
        <v>13667810</v>
      </c>
      <c r="T243" s="12">
        <v>14042387</v>
      </c>
      <c r="U243" s="12">
        <v>13666918</v>
      </c>
      <c r="V243" s="12">
        <v>14328044</v>
      </c>
      <c r="W243" s="12">
        <v>892</v>
      </c>
      <c r="X243" s="12">
        <v>-285657</v>
      </c>
      <c r="Y243" s="12">
        <v>641</v>
      </c>
      <c r="Z243" s="12">
        <v>645</v>
      </c>
      <c r="AA243" s="11">
        <v>0.62</v>
      </c>
      <c r="AB243" s="12">
        <v>3227549</v>
      </c>
      <c r="AC243" s="12">
        <v>3518750</v>
      </c>
      <c r="AD243" s="12">
        <v>619039</v>
      </c>
      <c r="AE243" s="12">
        <v>600000</v>
      </c>
      <c r="AF243" s="12">
        <v>730068</v>
      </c>
      <c r="AG243" s="12">
        <v>761520</v>
      </c>
      <c r="AH243" s="11">
        <v>3.98</v>
      </c>
      <c r="AI243" s="11">
        <v>4</v>
      </c>
      <c r="AJ243" s="13"/>
    </row>
    <row r="244" spans="1:36" x14ac:dyDescent="0.25">
      <c r="A244" t="str">
        <f>"190701"</f>
        <v>190701</v>
      </c>
      <c r="B244" t="s">
        <v>331</v>
      </c>
      <c r="C244" s="10">
        <v>29809355</v>
      </c>
      <c r="D244" s="10">
        <v>30567000</v>
      </c>
      <c r="E244" s="11">
        <v>2.54</v>
      </c>
      <c r="F244" s="12">
        <v>16543789</v>
      </c>
      <c r="G244" s="12">
        <v>16873010</v>
      </c>
      <c r="H244" s="12"/>
      <c r="I244" s="12"/>
      <c r="J244" s="12"/>
      <c r="K244" s="12"/>
      <c r="L244" s="12"/>
      <c r="M244" s="12"/>
      <c r="N244" s="12">
        <v>16543789</v>
      </c>
      <c r="O244" s="12">
        <v>16873010</v>
      </c>
      <c r="P244" s="11">
        <v>1.99</v>
      </c>
      <c r="Q244" s="12">
        <v>586679</v>
      </c>
      <c r="R244" s="12">
        <v>589277</v>
      </c>
      <c r="S244" s="12">
        <v>15957110</v>
      </c>
      <c r="T244" s="12">
        <v>16283733</v>
      </c>
      <c r="U244" s="12">
        <v>15957110</v>
      </c>
      <c r="V244" s="12">
        <v>16283733</v>
      </c>
      <c r="W244" s="12">
        <v>0</v>
      </c>
      <c r="X244" s="12">
        <v>0</v>
      </c>
      <c r="Y244" s="12">
        <v>1160</v>
      </c>
      <c r="Z244" s="12">
        <v>1155</v>
      </c>
      <c r="AA244" s="11">
        <v>-0.43</v>
      </c>
      <c r="AB244" s="12">
        <v>1029987</v>
      </c>
      <c r="AC244" s="12">
        <v>1031622</v>
      </c>
      <c r="AD244" s="12">
        <v>779978</v>
      </c>
      <c r="AE244" s="12">
        <v>742330</v>
      </c>
      <c r="AF244" s="12">
        <v>1175484</v>
      </c>
      <c r="AG244" s="12">
        <v>1223000</v>
      </c>
      <c r="AH244" s="11">
        <v>3.94</v>
      </c>
      <c r="AI244" s="11">
        <v>4</v>
      </c>
      <c r="AJ244" s="13"/>
    </row>
    <row r="245" spans="1:36" x14ac:dyDescent="0.25">
      <c r="A245" t="str">
        <f>"640801"</f>
        <v>640801</v>
      </c>
      <c r="B245" t="s">
        <v>332</v>
      </c>
      <c r="C245" s="10">
        <v>20930570</v>
      </c>
      <c r="D245" s="10">
        <v>21663160</v>
      </c>
      <c r="E245" s="11">
        <v>3.5</v>
      </c>
      <c r="F245" s="12">
        <v>10670541</v>
      </c>
      <c r="G245" s="12">
        <v>10915045</v>
      </c>
      <c r="H245" s="12"/>
      <c r="I245" s="12"/>
      <c r="J245" s="12"/>
      <c r="K245" s="12"/>
      <c r="L245" s="12"/>
      <c r="M245" s="12"/>
      <c r="N245" s="12">
        <v>10670541</v>
      </c>
      <c r="O245" s="12">
        <v>10915045</v>
      </c>
      <c r="P245" s="11">
        <v>2.29</v>
      </c>
      <c r="Q245" s="12">
        <v>368572</v>
      </c>
      <c r="R245" s="12">
        <v>270748</v>
      </c>
      <c r="S245" s="12">
        <v>10301969</v>
      </c>
      <c r="T245" s="12">
        <v>10644297</v>
      </c>
      <c r="U245" s="12">
        <v>10301969</v>
      </c>
      <c r="V245" s="12">
        <v>10644297</v>
      </c>
      <c r="W245" s="12">
        <v>0</v>
      </c>
      <c r="X245" s="12">
        <v>0</v>
      </c>
      <c r="Y245" s="12">
        <v>1035</v>
      </c>
      <c r="Z245" s="12">
        <v>997</v>
      </c>
      <c r="AA245" s="11">
        <v>-3.67</v>
      </c>
      <c r="AB245" s="12">
        <v>100352</v>
      </c>
      <c r="AC245" s="12">
        <v>199400</v>
      </c>
      <c r="AD245" s="12">
        <v>245636</v>
      </c>
      <c r="AE245" s="12">
        <v>141199</v>
      </c>
      <c r="AF245" s="12">
        <v>1004107</v>
      </c>
      <c r="AG245" s="12">
        <v>837912</v>
      </c>
      <c r="AH245" s="11">
        <v>4.8</v>
      </c>
      <c r="AI245" s="11">
        <v>3.87</v>
      </c>
      <c r="AJ245" s="13"/>
    </row>
    <row r="246" spans="1:36" x14ac:dyDescent="0.25">
      <c r="A246" t="str">
        <f>"442111"</f>
        <v>442111</v>
      </c>
      <c r="B246" t="s">
        <v>333</v>
      </c>
      <c r="C246" s="10">
        <v>25693920</v>
      </c>
      <c r="D246" s="10">
        <v>26644165</v>
      </c>
      <c r="E246" s="11">
        <v>3.7</v>
      </c>
      <c r="F246" s="12">
        <v>16246256</v>
      </c>
      <c r="G246" s="12">
        <v>16530565</v>
      </c>
      <c r="H246" s="12"/>
      <c r="I246" s="12"/>
      <c r="J246" s="12"/>
      <c r="K246" s="12"/>
      <c r="L246" s="12"/>
      <c r="M246" s="12"/>
      <c r="N246" s="12">
        <v>16246256</v>
      </c>
      <c r="O246" s="12">
        <v>16530565</v>
      </c>
      <c r="P246" s="11">
        <v>1.75</v>
      </c>
      <c r="Q246" s="12">
        <v>0</v>
      </c>
      <c r="R246" s="12">
        <v>0</v>
      </c>
      <c r="S246" s="12">
        <v>16246256</v>
      </c>
      <c r="T246" s="12">
        <v>16604206</v>
      </c>
      <c r="U246" s="12">
        <v>16246256</v>
      </c>
      <c r="V246" s="12">
        <v>16530565</v>
      </c>
      <c r="W246" s="12">
        <v>0</v>
      </c>
      <c r="X246" s="12">
        <v>73641</v>
      </c>
      <c r="Y246" s="12">
        <v>841</v>
      </c>
      <c r="Z246" s="12">
        <v>818</v>
      </c>
      <c r="AA246" s="11">
        <v>-2.73</v>
      </c>
      <c r="AB246" s="12">
        <v>6880799</v>
      </c>
      <c r="AC246" s="12">
        <v>6351395</v>
      </c>
      <c r="AD246" s="12">
        <v>1971411</v>
      </c>
      <c r="AE246" s="12">
        <v>1971411</v>
      </c>
      <c r="AF246" s="12">
        <v>1027757</v>
      </c>
      <c r="AG246" s="12">
        <v>1065767</v>
      </c>
      <c r="AH246" s="11">
        <v>4</v>
      </c>
      <c r="AI246" s="11">
        <v>4</v>
      </c>
      <c r="AJ246" s="13"/>
    </row>
    <row r="247" spans="1:36" x14ac:dyDescent="0.25">
      <c r="A247" t="str">
        <f>"610501"</f>
        <v>610501</v>
      </c>
      <c r="B247" t="s">
        <v>334</v>
      </c>
      <c r="C247" s="10">
        <v>19628825</v>
      </c>
      <c r="D247" s="10">
        <v>21205803</v>
      </c>
      <c r="E247" s="11">
        <v>8.0299999999999994</v>
      </c>
      <c r="F247" s="12">
        <v>5999712</v>
      </c>
      <c r="G247" s="12">
        <v>6194703</v>
      </c>
      <c r="H247" s="12"/>
      <c r="I247" s="12"/>
      <c r="J247" s="12"/>
      <c r="K247" s="12"/>
      <c r="L247" s="12"/>
      <c r="M247" s="12"/>
      <c r="N247" s="12">
        <v>5999712</v>
      </c>
      <c r="O247" s="12">
        <v>6194703</v>
      </c>
      <c r="P247" s="11">
        <v>3.25</v>
      </c>
      <c r="Q247" s="12">
        <v>0</v>
      </c>
      <c r="R247" s="12">
        <v>116580</v>
      </c>
      <c r="S247" s="12">
        <v>6123196</v>
      </c>
      <c r="T247" s="12">
        <v>6193143</v>
      </c>
      <c r="U247" s="12">
        <v>5999712</v>
      </c>
      <c r="V247" s="12">
        <v>6078123</v>
      </c>
      <c r="W247" s="12">
        <v>123484</v>
      </c>
      <c r="X247" s="12">
        <v>115020</v>
      </c>
      <c r="Y247" s="12">
        <v>857</v>
      </c>
      <c r="Z247" s="12">
        <v>857</v>
      </c>
      <c r="AA247" s="11">
        <v>0</v>
      </c>
      <c r="AB247" s="12">
        <v>4587087</v>
      </c>
      <c r="AC247" s="12">
        <v>4537087</v>
      </c>
      <c r="AD247" s="12">
        <v>833230</v>
      </c>
      <c r="AE247" s="12">
        <v>875463</v>
      </c>
      <c r="AF247" s="12">
        <v>2762465</v>
      </c>
      <c r="AG247" s="12">
        <v>2772946</v>
      </c>
      <c r="AH247" s="11">
        <v>14.07</v>
      </c>
      <c r="AI247" s="11">
        <v>13.08</v>
      </c>
      <c r="AJ247" s="13"/>
    </row>
    <row r="248" spans="1:36" x14ac:dyDescent="0.25">
      <c r="A248" t="str">
        <f>"010802"</f>
        <v>010802</v>
      </c>
      <c r="B248" t="s">
        <v>335</v>
      </c>
      <c r="C248" s="10">
        <v>98484110</v>
      </c>
      <c r="D248" s="10">
        <v>100925515</v>
      </c>
      <c r="E248" s="11">
        <v>2.48</v>
      </c>
      <c r="F248" s="12">
        <v>70726397</v>
      </c>
      <c r="G248" s="12">
        <v>72297457</v>
      </c>
      <c r="H248" s="12"/>
      <c r="I248" s="12"/>
      <c r="J248" s="12"/>
      <c r="K248" s="12"/>
      <c r="L248" s="12"/>
      <c r="M248" s="12"/>
      <c r="N248" s="12">
        <v>70726397</v>
      </c>
      <c r="O248" s="12">
        <v>72297457</v>
      </c>
      <c r="P248" s="11">
        <v>2.2200000000000002</v>
      </c>
      <c r="Q248" s="12">
        <v>2468201</v>
      </c>
      <c r="R248" s="12">
        <v>1922825</v>
      </c>
      <c r="S248" s="12">
        <v>69044963</v>
      </c>
      <c r="T248" s="12">
        <v>70379411</v>
      </c>
      <c r="U248" s="12">
        <v>68258196</v>
      </c>
      <c r="V248" s="12">
        <v>70374632</v>
      </c>
      <c r="W248" s="12">
        <v>786767</v>
      </c>
      <c r="X248" s="12">
        <v>4779</v>
      </c>
      <c r="Y248" s="12">
        <v>4893</v>
      </c>
      <c r="Z248" s="12">
        <v>4980</v>
      </c>
      <c r="AA248" s="11">
        <v>1.78</v>
      </c>
      <c r="AB248" s="12">
        <v>7903261</v>
      </c>
      <c r="AC248" s="12">
        <v>8562841</v>
      </c>
      <c r="AD248" s="12">
        <v>605000</v>
      </c>
      <c r="AE248" s="12">
        <v>849500</v>
      </c>
      <c r="AF248" s="12">
        <v>3900000</v>
      </c>
      <c r="AG248" s="12">
        <v>4036240</v>
      </c>
      <c r="AH248" s="11">
        <v>3.96</v>
      </c>
      <c r="AI248" s="11">
        <v>4</v>
      </c>
      <c r="AJ248" s="13"/>
    </row>
    <row r="249" spans="1:36" x14ac:dyDescent="0.25">
      <c r="A249" t="str">
        <f>"630801"</f>
        <v>630801</v>
      </c>
      <c r="B249" t="s">
        <v>336</v>
      </c>
      <c r="C249" s="10">
        <v>20896487</v>
      </c>
      <c r="D249" s="10">
        <v>21483701</v>
      </c>
      <c r="E249" s="11">
        <v>2.81</v>
      </c>
      <c r="F249" s="12">
        <v>10872182</v>
      </c>
      <c r="G249" s="12">
        <v>10970032</v>
      </c>
      <c r="H249" s="12"/>
      <c r="I249" s="12"/>
      <c r="J249" s="12"/>
      <c r="K249" s="12"/>
      <c r="L249" s="12"/>
      <c r="M249" s="12"/>
      <c r="N249" s="12">
        <v>10872182</v>
      </c>
      <c r="O249" s="12">
        <v>10970032</v>
      </c>
      <c r="P249" s="11">
        <v>0.9</v>
      </c>
      <c r="Q249" s="12">
        <v>575065</v>
      </c>
      <c r="R249" s="12">
        <v>530275</v>
      </c>
      <c r="S249" s="12">
        <v>10297117</v>
      </c>
      <c r="T249" s="12">
        <v>10439757</v>
      </c>
      <c r="U249" s="12">
        <v>10297117</v>
      </c>
      <c r="V249" s="12">
        <v>10439757</v>
      </c>
      <c r="W249" s="12">
        <v>0</v>
      </c>
      <c r="X249" s="12">
        <v>0</v>
      </c>
      <c r="Y249" s="12">
        <v>738</v>
      </c>
      <c r="Z249" s="12">
        <v>743</v>
      </c>
      <c r="AA249" s="11">
        <v>0.68</v>
      </c>
      <c r="AB249" s="12">
        <v>2764666</v>
      </c>
      <c r="AC249" s="12">
        <v>2764666</v>
      </c>
      <c r="AD249" s="12">
        <v>1143326</v>
      </c>
      <c r="AE249" s="12">
        <v>1143326</v>
      </c>
      <c r="AF249" s="12">
        <v>1904843</v>
      </c>
      <c r="AG249" s="12">
        <v>1904843</v>
      </c>
      <c r="AH249" s="11">
        <v>9.1199999999999992</v>
      </c>
      <c r="AI249" s="11">
        <v>8.8699999999999992</v>
      </c>
      <c r="AJ249" s="13"/>
    </row>
    <row r="250" spans="1:36" x14ac:dyDescent="0.25">
      <c r="A250" t="str">
        <f>"480401"</f>
        <v>480401</v>
      </c>
      <c r="B250" t="s">
        <v>337</v>
      </c>
      <c r="C250" s="10">
        <v>23518765</v>
      </c>
      <c r="D250" s="10">
        <v>24070392</v>
      </c>
      <c r="E250" s="11">
        <v>2.35</v>
      </c>
      <c r="F250" s="12">
        <v>18952594</v>
      </c>
      <c r="G250" s="12">
        <v>19449221</v>
      </c>
      <c r="H250" s="12"/>
      <c r="I250" s="12"/>
      <c r="J250" s="12"/>
      <c r="K250" s="12"/>
      <c r="L250" s="12"/>
      <c r="M250" s="12"/>
      <c r="N250" s="12">
        <v>18952594</v>
      </c>
      <c r="O250" s="12">
        <v>19449221</v>
      </c>
      <c r="P250" s="11">
        <v>2.62</v>
      </c>
      <c r="Q250" s="12">
        <v>810091</v>
      </c>
      <c r="R250" s="12">
        <v>787282</v>
      </c>
      <c r="S250" s="12">
        <v>18142503</v>
      </c>
      <c r="T250" s="12">
        <v>18661939</v>
      </c>
      <c r="U250" s="12">
        <v>18142503</v>
      </c>
      <c r="V250" s="12">
        <v>18661939</v>
      </c>
      <c r="W250" s="12">
        <v>0</v>
      </c>
      <c r="X250" s="12">
        <v>0</v>
      </c>
      <c r="Y250" s="12">
        <v>865</v>
      </c>
      <c r="Z250" s="12">
        <v>849</v>
      </c>
      <c r="AA250" s="11">
        <v>-1.85</v>
      </c>
      <c r="AB250" s="12">
        <v>2403332</v>
      </c>
      <c r="AC250" s="12">
        <v>2535000</v>
      </c>
      <c r="AD250" s="12">
        <v>645000</v>
      </c>
      <c r="AE250" s="12">
        <v>645000</v>
      </c>
      <c r="AF250" s="12">
        <v>914714</v>
      </c>
      <c r="AG250" s="12">
        <v>962800</v>
      </c>
      <c r="AH250" s="11">
        <v>3.89</v>
      </c>
      <c r="AI250" s="11">
        <v>4</v>
      </c>
      <c r="AJ250" s="13"/>
    </row>
    <row r="251" spans="1:36" x14ac:dyDescent="0.25">
      <c r="A251" t="str">
        <f>"580405"</f>
        <v>580405</v>
      </c>
      <c r="B251" t="s">
        <v>338</v>
      </c>
      <c r="C251" s="10">
        <v>248047565</v>
      </c>
      <c r="D251" s="10">
        <v>253611084</v>
      </c>
      <c r="E251" s="11">
        <v>2.2400000000000002</v>
      </c>
      <c r="F251" s="12">
        <v>199504372</v>
      </c>
      <c r="G251" s="12">
        <v>204436140</v>
      </c>
      <c r="H251" s="12"/>
      <c r="I251" s="12"/>
      <c r="J251" s="12"/>
      <c r="K251" s="12"/>
      <c r="L251" s="12"/>
      <c r="M251" s="12"/>
      <c r="N251" s="12">
        <v>199504372</v>
      </c>
      <c r="O251" s="12">
        <v>204436140</v>
      </c>
      <c r="P251" s="11">
        <v>2.4700000000000002</v>
      </c>
      <c r="Q251" s="12">
        <v>7009843</v>
      </c>
      <c r="R251" s="12">
        <v>7600356</v>
      </c>
      <c r="S251" s="12">
        <v>192494529</v>
      </c>
      <c r="T251" s="12">
        <v>196835784</v>
      </c>
      <c r="U251" s="12">
        <v>192494529</v>
      </c>
      <c r="V251" s="12">
        <v>196835784</v>
      </c>
      <c r="W251" s="12">
        <v>0</v>
      </c>
      <c r="X251" s="12">
        <v>0</v>
      </c>
      <c r="Y251" s="12">
        <v>8030</v>
      </c>
      <c r="Z251" s="12">
        <v>7413</v>
      </c>
      <c r="AA251" s="11">
        <v>-7.68</v>
      </c>
      <c r="AB251" s="12">
        <v>31734212</v>
      </c>
      <c r="AC251" s="12">
        <v>31004346</v>
      </c>
      <c r="AD251" s="12">
        <v>2500000</v>
      </c>
      <c r="AE251" s="12">
        <v>2500000</v>
      </c>
      <c r="AF251" s="12">
        <v>9921903</v>
      </c>
      <c r="AG251" s="12">
        <v>10144443</v>
      </c>
      <c r="AH251" s="11">
        <v>4</v>
      </c>
      <c r="AI251" s="11">
        <v>4</v>
      </c>
      <c r="AJ251" s="13"/>
    </row>
    <row r="252" spans="1:36" x14ac:dyDescent="0.25">
      <c r="A252" t="str">
        <f>"141601"</f>
        <v>141601</v>
      </c>
      <c r="B252" t="s">
        <v>339</v>
      </c>
      <c r="C252" s="10">
        <v>67795500</v>
      </c>
      <c r="D252" s="10">
        <v>70120000</v>
      </c>
      <c r="E252" s="11">
        <v>3.43</v>
      </c>
      <c r="F252" s="12">
        <v>34946164</v>
      </c>
      <c r="G252" s="12">
        <v>36711029</v>
      </c>
      <c r="H252" s="12"/>
      <c r="I252" s="12"/>
      <c r="J252" s="12"/>
      <c r="K252" s="12"/>
      <c r="L252" s="12"/>
      <c r="M252" s="12"/>
      <c r="N252" s="12">
        <v>34946164</v>
      </c>
      <c r="O252" s="12">
        <v>36711029</v>
      </c>
      <c r="P252" s="11">
        <v>5.05</v>
      </c>
      <c r="Q252" s="12">
        <v>576033</v>
      </c>
      <c r="R252" s="12">
        <v>1428029</v>
      </c>
      <c r="S252" s="12">
        <v>34370131</v>
      </c>
      <c r="T252" s="12">
        <v>35283000</v>
      </c>
      <c r="U252" s="12">
        <v>34370131</v>
      </c>
      <c r="V252" s="12">
        <v>35283000</v>
      </c>
      <c r="W252" s="12">
        <v>0</v>
      </c>
      <c r="X252" s="12">
        <v>0</v>
      </c>
      <c r="Y252" s="12">
        <v>3557</v>
      </c>
      <c r="Z252" s="12">
        <v>3504</v>
      </c>
      <c r="AA252" s="11">
        <v>-1.49</v>
      </c>
      <c r="AB252" s="12">
        <v>4248730</v>
      </c>
      <c r="AC252" s="12">
        <v>4257130</v>
      </c>
      <c r="AD252" s="12">
        <v>1725000</v>
      </c>
      <c r="AE252" s="12">
        <v>2500000</v>
      </c>
      <c r="AF252" s="12">
        <v>2671664</v>
      </c>
      <c r="AG252" s="12">
        <v>2769740</v>
      </c>
      <c r="AH252" s="11">
        <v>3.94</v>
      </c>
      <c r="AI252" s="11">
        <v>3.95</v>
      </c>
      <c r="AJ252" s="13"/>
    </row>
    <row r="253" spans="1:36" x14ac:dyDescent="0.25">
      <c r="A253" t="str">
        <f>"250701"</f>
        <v>250701</v>
      </c>
      <c r="B253" t="s">
        <v>340</v>
      </c>
      <c r="C253" s="10">
        <v>12581922</v>
      </c>
      <c r="D253" s="10">
        <v>12958886</v>
      </c>
      <c r="E253" s="11">
        <v>3</v>
      </c>
      <c r="F253" s="12">
        <v>7124209</v>
      </c>
      <c r="G253" s="12">
        <v>7330050</v>
      </c>
      <c r="H253" s="12">
        <v>126224</v>
      </c>
      <c r="I253" s="12">
        <v>132535</v>
      </c>
      <c r="J253" s="12"/>
      <c r="K253" s="12"/>
      <c r="L253" s="12"/>
      <c r="M253" s="12"/>
      <c r="N253" s="12">
        <v>7250433</v>
      </c>
      <c r="O253" s="12">
        <v>7462585</v>
      </c>
      <c r="P253" s="11">
        <v>2.93</v>
      </c>
      <c r="Q253" s="12">
        <v>228614</v>
      </c>
      <c r="R253" s="12">
        <v>242758</v>
      </c>
      <c r="S253" s="12">
        <v>6931495</v>
      </c>
      <c r="T253" s="12">
        <v>7087292</v>
      </c>
      <c r="U253" s="12">
        <v>6895595</v>
      </c>
      <c r="V253" s="12">
        <v>7087292</v>
      </c>
      <c r="W253" s="12">
        <v>35900</v>
      </c>
      <c r="X253" s="12">
        <v>0</v>
      </c>
      <c r="Y253" s="12">
        <v>532</v>
      </c>
      <c r="Z253" s="12">
        <v>540</v>
      </c>
      <c r="AA253" s="11">
        <v>1.5</v>
      </c>
      <c r="AB253" s="12">
        <v>1475585</v>
      </c>
      <c r="AC253" s="12">
        <v>1500000</v>
      </c>
      <c r="AD253" s="12">
        <v>130000</v>
      </c>
      <c r="AE253" s="12">
        <v>130000</v>
      </c>
      <c r="AF253" s="12">
        <v>488256</v>
      </c>
      <c r="AG253" s="12">
        <v>500000</v>
      </c>
      <c r="AH253" s="11">
        <v>3.88</v>
      </c>
      <c r="AI253" s="11">
        <v>3.86</v>
      </c>
      <c r="AJ253" s="13"/>
    </row>
    <row r="254" spans="1:36" x14ac:dyDescent="0.25">
      <c r="A254" t="str">
        <f>"511201"</f>
        <v>511201</v>
      </c>
      <c r="B254" t="s">
        <v>341</v>
      </c>
      <c r="C254" s="10">
        <v>7665488</v>
      </c>
      <c r="D254" s="10">
        <v>7779846</v>
      </c>
      <c r="E254" s="11">
        <v>1.49</v>
      </c>
      <c r="F254" s="12">
        <v>3435306</v>
      </c>
      <c r="G254" s="12">
        <v>3534497</v>
      </c>
      <c r="H254" s="12"/>
      <c r="I254" s="12"/>
      <c r="J254" s="12"/>
      <c r="K254" s="12"/>
      <c r="L254" s="12"/>
      <c r="M254" s="12"/>
      <c r="N254" s="12">
        <v>3435306</v>
      </c>
      <c r="O254" s="12">
        <v>3534497</v>
      </c>
      <c r="P254" s="11">
        <v>2.89</v>
      </c>
      <c r="Q254" s="12">
        <v>0</v>
      </c>
      <c r="R254" s="12">
        <v>0</v>
      </c>
      <c r="S254" s="12">
        <v>3435306</v>
      </c>
      <c r="T254" s="12">
        <v>3534497</v>
      </c>
      <c r="U254" s="12">
        <v>3435306</v>
      </c>
      <c r="V254" s="12">
        <v>3534497</v>
      </c>
      <c r="W254" s="12">
        <v>0</v>
      </c>
      <c r="X254" s="12">
        <v>0</v>
      </c>
      <c r="Y254" s="12">
        <v>280</v>
      </c>
      <c r="Z254" s="12">
        <v>275</v>
      </c>
      <c r="AA254" s="11">
        <v>-1.79</v>
      </c>
      <c r="AB254" s="12">
        <v>2787934</v>
      </c>
      <c r="AC254" s="12">
        <v>2255987</v>
      </c>
      <c r="AD254" s="12">
        <v>509681</v>
      </c>
      <c r="AE254" s="12">
        <v>414653</v>
      </c>
      <c r="AF254" s="12">
        <v>432426</v>
      </c>
      <c r="AG254" s="12">
        <v>310000</v>
      </c>
      <c r="AH254" s="11">
        <v>5.64</v>
      </c>
      <c r="AI254" s="11">
        <v>3.98</v>
      </c>
      <c r="AJ254" s="13"/>
    </row>
    <row r="255" spans="1:36" x14ac:dyDescent="0.25">
      <c r="A255" t="str">
        <f>"572901"</f>
        <v>572901</v>
      </c>
      <c r="B255" t="s">
        <v>342</v>
      </c>
      <c r="C255" s="10">
        <v>13996689</v>
      </c>
      <c r="D255" s="10">
        <v>14365769</v>
      </c>
      <c r="E255" s="11">
        <v>2.64</v>
      </c>
      <c r="F255" s="12">
        <v>8459688</v>
      </c>
      <c r="G255" s="12">
        <v>8657284</v>
      </c>
      <c r="H255" s="12"/>
      <c r="I255" s="12"/>
      <c r="J255" s="12"/>
      <c r="K255" s="12"/>
      <c r="L255" s="12"/>
      <c r="M255" s="12"/>
      <c r="N255" s="12">
        <v>8459688</v>
      </c>
      <c r="O255" s="12">
        <v>8657284</v>
      </c>
      <c r="P255" s="11">
        <v>2.34</v>
      </c>
      <c r="Q255" s="12">
        <v>458609</v>
      </c>
      <c r="R255" s="12">
        <v>462833</v>
      </c>
      <c r="S255" s="12">
        <v>8026558</v>
      </c>
      <c r="T255" s="12">
        <v>8206140</v>
      </c>
      <c r="U255" s="12">
        <v>8001079</v>
      </c>
      <c r="V255" s="12">
        <v>8194451</v>
      </c>
      <c r="W255" s="12">
        <v>25479</v>
      </c>
      <c r="X255" s="12">
        <v>11689</v>
      </c>
      <c r="Y255" s="12">
        <v>466</v>
      </c>
      <c r="Z255" s="12">
        <v>460</v>
      </c>
      <c r="AA255" s="11">
        <v>-1.29</v>
      </c>
      <c r="AB255" s="12">
        <v>4993780</v>
      </c>
      <c r="AC255" s="12">
        <v>2994642</v>
      </c>
      <c r="AD255" s="12">
        <v>378291</v>
      </c>
      <c r="AE255" s="12">
        <v>400000</v>
      </c>
      <c r="AF255" s="12">
        <v>665345</v>
      </c>
      <c r="AG255" s="12">
        <v>574630</v>
      </c>
      <c r="AH255" s="11">
        <v>4.75</v>
      </c>
      <c r="AI255" s="11">
        <v>4</v>
      </c>
      <c r="AJ255" s="13"/>
    </row>
    <row r="256" spans="1:36" x14ac:dyDescent="0.25">
      <c r="A256" t="str">
        <f>"580905"</f>
        <v>580905</v>
      </c>
      <c r="B256" t="s">
        <v>343</v>
      </c>
      <c r="C256" s="10">
        <v>50833896</v>
      </c>
      <c r="D256" s="10">
        <v>52483604</v>
      </c>
      <c r="E256" s="11">
        <v>3.25</v>
      </c>
      <c r="F256" s="12">
        <v>44856299</v>
      </c>
      <c r="G256" s="12">
        <v>46302022</v>
      </c>
      <c r="H256" s="12"/>
      <c r="I256" s="12"/>
      <c r="J256" s="12"/>
      <c r="K256" s="12"/>
      <c r="L256" s="12"/>
      <c r="M256" s="12"/>
      <c r="N256" s="12">
        <v>44856299</v>
      </c>
      <c r="O256" s="12">
        <v>46302022</v>
      </c>
      <c r="P256" s="11">
        <v>3.22</v>
      </c>
      <c r="Q256" s="12">
        <v>3999047</v>
      </c>
      <c r="R256" s="12">
        <v>4161508</v>
      </c>
      <c r="S256" s="12">
        <v>40857252</v>
      </c>
      <c r="T256" s="12">
        <v>42140514</v>
      </c>
      <c r="U256" s="12">
        <v>40857252</v>
      </c>
      <c r="V256" s="12">
        <v>42140514</v>
      </c>
      <c r="W256" s="12">
        <v>0</v>
      </c>
      <c r="X256" s="12">
        <v>0</v>
      </c>
      <c r="Y256" s="12">
        <v>2099</v>
      </c>
      <c r="Z256" s="12">
        <v>2112</v>
      </c>
      <c r="AA256" s="11">
        <v>0.62</v>
      </c>
      <c r="AB256" s="12">
        <v>3659220</v>
      </c>
      <c r="AC256" s="12">
        <v>3659221</v>
      </c>
      <c r="AD256" s="12">
        <v>145149</v>
      </c>
      <c r="AE256" s="12">
        <v>145150</v>
      </c>
      <c r="AF256" s="12">
        <v>2033356</v>
      </c>
      <c r="AG256" s="12">
        <v>2099340</v>
      </c>
      <c r="AH256" s="11">
        <v>4</v>
      </c>
      <c r="AI256" s="11">
        <v>4</v>
      </c>
      <c r="AJ256" s="13"/>
    </row>
    <row r="257" spans="1:36" x14ac:dyDescent="0.25">
      <c r="A257" t="str">
        <f>"120906"</f>
        <v>120906</v>
      </c>
      <c r="B257" t="s">
        <v>344</v>
      </c>
      <c r="C257" s="10">
        <v>11161753</v>
      </c>
      <c r="D257" s="10">
        <v>11291458</v>
      </c>
      <c r="E257" s="11">
        <v>1.1599999999999999</v>
      </c>
      <c r="F257" s="12">
        <v>3910493</v>
      </c>
      <c r="G257" s="12">
        <v>3987703</v>
      </c>
      <c r="H257" s="12"/>
      <c r="I257" s="12"/>
      <c r="J257" s="12"/>
      <c r="K257" s="12"/>
      <c r="L257" s="12"/>
      <c r="M257" s="12"/>
      <c r="N257" s="12">
        <v>3910493</v>
      </c>
      <c r="O257" s="12">
        <v>3987703</v>
      </c>
      <c r="P257" s="11">
        <v>1.97</v>
      </c>
      <c r="Q257" s="12">
        <v>202539</v>
      </c>
      <c r="R257" s="12">
        <v>256166</v>
      </c>
      <c r="S257" s="12">
        <v>3939356</v>
      </c>
      <c r="T257" s="12">
        <v>4053067</v>
      </c>
      <c r="U257" s="12">
        <v>3707954</v>
      </c>
      <c r="V257" s="12">
        <v>3731537</v>
      </c>
      <c r="W257" s="12">
        <v>231402</v>
      </c>
      <c r="X257" s="12">
        <v>321530</v>
      </c>
      <c r="Y257" s="12">
        <v>322</v>
      </c>
      <c r="Z257" s="12">
        <v>321</v>
      </c>
      <c r="AA257" s="11">
        <v>-0.31</v>
      </c>
      <c r="AB257" s="12">
        <v>3408251</v>
      </c>
      <c r="AC257" s="12">
        <v>3808251</v>
      </c>
      <c r="AD257" s="12">
        <v>282114</v>
      </c>
      <c r="AE257" s="12">
        <v>182114</v>
      </c>
      <c r="AF257" s="12">
        <v>416921</v>
      </c>
      <c r="AG257" s="12">
        <v>451658</v>
      </c>
      <c r="AH257" s="11">
        <v>3.74</v>
      </c>
      <c r="AI257" s="11">
        <v>4</v>
      </c>
      <c r="AJ257" s="13"/>
    </row>
    <row r="258" spans="1:36" x14ac:dyDescent="0.25">
      <c r="A258" t="str">
        <f>"460701"</f>
        <v>460701</v>
      </c>
      <c r="B258" t="s">
        <v>345</v>
      </c>
      <c r="C258" s="10">
        <v>32525700</v>
      </c>
      <c r="D258" s="10">
        <v>33261000</v>
      </c>
      <c r="E258" s="11">
        <v>2.2599999999999998</v>
      </c>
      <c r="F258" s="12">
        <v>6610504</v>
      </c>
      <c r="G258" s="12">
        <v>6643557</v>
      </c>
      <c r="H258" s="12"/>
      <c r="I258" s="12"/>
      <c r="J258" s="12"/>
      <c r="K258" s="12"/>
      <c r="L258" s="12"/>
      <c r="M258" s="12"/>
      <c r="N258" s="12">
        <v>6610504</v>
      </c>
      <c r="O258" s="12">
        <v>6643557</v>
      </c>
      <c r="P258" s="11">
        <v>0.5</v>
      </c>
      <c r="Q258" s="12">
        <v>0</v>
      </c>
      <c r="R258" s="12">
        <v>0</v>
      </c>
      <c r="S258" s="12">
        <v>6666834</v>
      </c>
      <c r="T258" s="12">
        <v>6849148</v>
      </c>
      <c r="U258" s="12">
        <v>6610504</v>
      </c>
      <c r="V258" s="12">
        <v>6643557</v>
      </c>
      <c r="W258" s="12">
        <v>56330</v>
      </c>
      <c r="X258" s="12">
        <v>205591</v>
      </c>
      <c r="Y258" s="12">
        <v>1424</v>
      </c>
      <c r="Z258" s="12">
        <v>1424</v>
      </c>
      <c r="AA258" s="11">
        <v>0</v>
      </c>
      <c r="AB258" s="12">
        <v>12055351</v>
      </c>
      <c r="AC258" s="12">
        <v>7000000</v>
      </c>
      <c r="AD258" s="12">
        <v>1448506</v>
      </c>
      <c r="AE258" s="12">
        <v>1500000</v>
      </c>
      <c r="AF258" s="12">
        <v>645975</v>
      </c>
      <c r="AG258" s="12">
        <v>1330440</v>
      </c>
      <c r="AH258" s="11">
        <v>1.99</v>
      </c>
      <c r="AI258" s="11">
        <v>4</v>
      </c>
      <c r="AJ258" s="13"/>
    </row>
    <row r="259" spans="1:36" x14ac:dyDescent="0.25">
      <c r="A259" t="str">
        <f>"580406"</f>
        <v>580406</v>
      </c>
      <c r="B259" t="s">
        <v>346</v>
      </c>
      <c r="C259" s="10">
        <v>84174956</v>
      </c>
      <c r="D259" s="10">
        <v>86086696</v>
      </c>
      <c r="E259" s="11">
        <v>2.27</v>
      </c>
      <c r="F259" s="12">
        <v>63205986</v>
      </c>
      <c r="G259" s="12">
        <v>64588569</v>
      </c>
      <c r="H259" s="12"/>
      <c r="I259" s="12"/>
      <c r="J259" s="12"/>
      <c r="K259" s="12"/>
      <c r="L259" s="12"/>
      <c r="M259" s="12"/>
      <c r="N259" s="12">
        <v>63205986</v>
      </c>
      <c r="O259" s="12">
        <v>64588569</v>
      </c>
      <c r="P259" s="11">
        <v>2.19</v>
      </c>
      <c r="Q259" s="12">
        <v>1877361</v>
      </c>
      <c r="R259" s="12">
        <v>1798187</v>
      </c>
      <c r="S259" s="12">
        <v>61330132</v>
      </c>
      <c r="T259" s="12">
        <v>62791177</v>
      </c>
      <c r="U259" s="12">
        <v>61328625</v>
      </c>
      <c r="V259" s="12">
        <v>62790382</v>
      </c>
      <c r="W259" s="12">
        <v>1507</v>
      </c>
      <c r="X259" s="12">
        <v>795</v>
      </c>
      <c r="Y259" s="12">
        <v>3102</v>
      </c>
      <c r="Z259" s="12">
        <v>3022</v>
      </c>
      <c r="AA259" s="11">
        <v>-2.58</v>
      </c>
      <c r="AB259" s="12">
        <v>3321862</v>
      </c>
      <c r="AC259" s="12">
        <v>2896862</v>
      </c>
      <c r="AD259" s="12">
        <v>3200000</v>
      </c>
      <c r="AE259" s="12">
        <v>3200000</v>
      </c>
      <c r="AF259" s="12">
        <v>3366996</v>
      </c>
      <c r="AG259" s="12">
        <v>3443467</v>
      </c>
      <c r="AH259" s="11">
        <v>4</v>
      </c>
      <c r="AI259" s="11">
        <v>4</v>
      </c>
      <c r="AJ259" s="13"/>
    </row>
    <row r="260" spans="1:36" x14ac:dyDescent="0.25">
      <c r="A260" t="str">
        <f>"030501"</f>
        <v>030501</v>
      </c>
      <c r="B260" t="s">
        <v>347</v>
      </c>
      <c r="C260" s="10">
        <v>19883968</v>
      </c>
      <c r="D260" s="10">
        <v>19681543</v>
      </c>
      <c r="E260" s="11">
        <v>-1.02</v>
      </c>
      <c r="F260" s="12">
        <v>3939554</v>
      </c>
      <c r="G260" s="12">
        <v>4060911</v>
      </c>
      <c r="H260" s="12"/>
      <c r="I260" s="12"/>
      <c r="J260" s="12"/>
      <c r="K260" s="12"/>
      <c r="L260" s="12"/>
      <c r="M260" s="12"/>
      <c r="N260" s="12">
        <v>3939554</v>
      </c>
      <c r="O260" s="12">
        <v>4060911</v>
      </c>
      <c r="P260" s="11">
        <v>3.08</v>
      </c>
      <c r="Q260" s="12">
        <v>118922</v>
      </c>
      <c r="R260" s="12">
        <v>140017</v>
      </c>
      <c r="S260" s="12">
        <v>3820632</v>
      </c>
      <c r="T260" s="12">
        <v>3920894</v>
      </c>
      <c r="U260" s="12">
        <v>3820632</v>
      </c>
      <c r="V260" s="12">
        <v>3920894</v>
      </c>
      <c r="W260" s="12">
        <v>0</v>
      </c>
      <c r="X260" s="12">
        <v>0</v>
      </c>
      <c r="Y260" s="12">
        <v>760</v>
      </c>
      <c r="Z260" s="12">
        <v>760</v>
      </c>
      <c r="AA260" s="11">
        <v>0</v>
      </c>
      <c r="AB260" s="12">
        <v>2639128</v>
      </c>
      <c r="AC260" s="12">
        <v>2723497</v>
      </c>
      <c r="AD260" s="12">
        <v>500000</v>
      </c>
      <c r="AE260" s="12">
        <v>500000</v>
      </c>
      <c r="AF260" s="12">
        <v>640468</v>
      </c>
      <c r="AG260" s="12">
        <v>762735</v>
      </c>
      <c r="AH260" s="11">
        <v>3.22</v>
      </c>
      <c r="AI260" s="11">
        <v>3.88</v>
      </c>
      <c r="AJ260" s="13"/>
    </row>
    <row r="261" spans="1:36" x14ac:dyDescent="0.25">
      <c r="A261" t="str">
        <f>"660501"</f>
        <v>660501</v>
      </c>
      <c r="B261" t="s">
        <v>348</v>
      </c>
      <c r="C261" s="10">
        <v>111996711</v>
      </c>
      <c r="D261" s="10">
        <v>116705656</v>
      </c>
      <c r="E261" s="11">
        <v>4.2</v>
      </c>
      <c r="F261" s="12">
        <v>102802573</v>
      </c>
      <c r="G261" s="12">
        <v>106272988</v>
      </c>
      <c r="H261" s="12"/>
      <c r="I261" s="12"/>
      <c r="J261" s="12"/>
      <c r="K261" s="12"/>
      <c r="L261" s="12"/>
      <c r="M261" s="12"/>
      <c r="N261" s="12">
        <v>102802573</v>
      </c>
      <c r="O261" s="12">
        <v>106272988</v>
      </c>
      <c r="P261" s="11">
        <v>3.38</v>
      </c>
      <c r="Q261" s="12">
        <v>2556450</v>
      </c>
      <c r="R261" s="12">
        <v>3511247</v>
      </c>
      <c r="S261" s="12">
        <v>100259571</v>
      </c>
      <c r="T261" s="12">
        <v>102761741</v>
      </c>
      <c r="U261" s="12">
        <v>100246123</v>
      </c>
      <c r="V261" s="12">
        <v>102761741</v>
      </c>
      <c r="W261" s="12">
        <v>13448</v>
      </c>
      <c r="X261" s="12">
        <v>0</v>
      </c>
      <c r="Y261" s="12">
        <v>3604</v>
      </c>
      <c r="Z261" s="12">
        <v>3621</v>
      </c>
      <c r="AA261" s="11">
        <v>0.47</v>
      </c>
      <c r="AB261" s="12">
        <v>17995235</v>
      </c>
      <c r="AC261" s="12">
        <v>19044458</v>
      </c>
      <c r="AD261" s="12">
        <v>3178712</v>
      </c>
      <c r="AE261" s="12">
        <v>3375000</v>
      </c>
      <c r="AF261" s="12">
        <v>4479869</v>
      </c>
      <c r="AG261" s="12">
        <v>4668226</v>
      </c>
      <c r="AH261" s="11">
        <v>4</v>
      </c>
      <c r="AI261" s="11">
        <v>4</v>
      </c>
      <c r="AJ261" s="13"/>
    </row>
    <row r="262" spans="1:36" x14ac:dyDescent="0.25">
      <c r="A262" t="str">
        <f>"230301"</f>
        <v>230301</v>
      </c>
      <c r="B262" t="s">
        <v>349</v>
      </c>
      <c r="C262" s="10">
        <v>10246941</v>
      </c>
      <c r="D262" s="10">
        <v>10750767</v>
      </c>
      <c r="E262" s="11">
        <v>4.92</v>
      </c>
      <c r="F262" s="12">
        <v>3674345</v>
      </c>
      <c r="G262" s="12">
        <v>3783473</v>
      </c>
      <c r="H262" s="12"/>
      <c r="I262" s="12"/>
      <c r="J262" s="12"/>
      <c r="K262" s="12"/>
      <c r="L262" s="12"/>
      <c r="M262" s="12"/>
      <c r="N262" s="12">
        <v>3674345</v>
      </c>
      <c r="O262" s="12">
        <v>3783473</v>
      </c>
      <c r="P262" s="11">
        <v>2.97</v>
      </c>
      <c r="Q262" s="12">
        <v>93696</v>
      </c>
      <c r="R262" s="12">
        <v>160992</v>
      </c>
      <c r="S262" s="12">
        <v>3602026</v>
      </c>
      <c r="T262" s="12">
        <v>3663131</v>
      </c>
      <c r="U262" s="12">
        <v>3580649</v>
      </c>
      <c r="V262" s="12">
        <v>3622481</v>
      </c>
      <c r="W262" s="12">
        <v>21377</v>
      </c>
      <c r="X262" s="12">
        <v>40650</v>
      </c>
      <c r="Y262" s="12">
        <v>421</v>
      </c>
      <c r="Z262" s="12">
        <v>395</v>
      </c>
      <c r="AA262" s="11">
        <v>-6.18</v>
      </c>
      <c r="AB262" s="12">
        <v>2457591</v>
      </c>
      <c r="AC262" s="12">
        <v>2485595</v>
      </c>
      <c r="AD262" s="12">
        <v>818878</v>
      </c>
      <c r="AE262" s="12">
        <v>818878</v>
      </c>
      <c r="AF262" s="12">
        <v>326608</v>
      </c>
      <c r="AG262" s="12">
        <v>323825</v>
      </c>
      <c r="AH262" s="11">
        <v>3.19</v>
      </c>
      <c r="AI262" s="11">
        <v>3.01</v>
      </c>
      <c r="AJ262" s="13"/>
    </row>
    <row r="263" spans="1:36" x14ac:dyDescent="0.25">
      <c r="A263" t="str">
        <f>"641001"</f>
        <v>641001</v>
      </c>
      <c r="B263" t="s">
        <v>350</v>
      </c>
      <c r="C263" s="10">
        <v>12232000</v>
      </c>
      <c r="D263" s="10">
        <v>12394002</v>
      </c>
      <c r="E263" s="11">
        <v>1.32</v>
      </c>
      <c r="F263" s="12">
        <v>3507584</v>
      </c>
      <c r="G263" s="12">
        <v>3560198</v>
      </c>
      <c r="H263" s="12"/>
      <c r="I263" s="12"/>
      <c r="J263" s="12"/>
      <c r="K263" s="12"/>
      <c r="L263" s="12"/>
      <c r="M263" s="12"/>
      <c r="N263" s="12">
        <v>3507584</v>
      </c>
      <c r="O263" s="12">
        <v>3560198</v>
      </c>
      <c r="P263" s="11">
        <v>1.5</v>
      </c>
      <c r="Q263" s="12">
        <v>205528</v>
      </c>
      <c r="R263" s="12">
        <v>268204</v>
      </c>
      <c r="S263" s="12">
        <v>3302056</v>
      </c>
      <c r="T263" s="12">
        <v>3390279</v>
      </c>
      <c r="U263" s="12">
        <v>3302056</v>
      </c>
      <c r="V263" s="12">
        <v>3291994</v>
      </c>
      <c r="W263" s="12">
        <v>0</v>
      </c>
      <c r="X263" s="12">
        <v>98285</v>
      </c>
      <c r="Y263" s="12">
        <v>435</v>
      </c>
      <c r="Z263" s="12">
        <v>440</v>
      </c>
      <c r="AA263" s="11">
        <v>1.1499999999999999</v>
      </c>
      <c r="AB263" s="12">
        <v>200789</v>
      </c>
      <c r="AC263" s="12">
        <v>200800</v>
      </c>
      <c r="AD263" s="12">
        <v>456232</v>
      </c>
      <c r="AE263" s="12">
        <v>684614</v>
      </c>
      <c r="AF263" s="12">
        <v>651217</v>
      </c>
      <c r="AG263" s="12">
        <v>624000</v>
      </c>
      <c r="AH263" s="11">
        <v>5.32</v>
      </c>
      <c r="AI263" s="11">
        <v>5.03</v>
      </c>
      <c r="AJ263" s="13"/>
    </row>
    <row r="264" spans="1:36" x14ac:dyDescent="0.25">
      <c r="A264" t="str">
        <f>"660404"</f>
        <v>660404</v>
      </c>
      <c r="B264" t="s">
        <v>351</v>
      </c>
      <c r="C264" s="10">
        <v>48454314</v>
      </c>
      <c r="D264" s="10">
        <v>50518586</v>
      </c>
      <c r="E264" s="11">
        <v>4.26</v>
      </c>
      <c r="F264" s="12">
        <v>38704314</v>
      </c>
      <c r="G264" s="12">
        <v>40850351</v>
      </c>
      <c r="H264" s="12"/>
      <c r="I264" s="12"/>
      <c r="J264" s="12"/>
      <c r="K264" s="12"/>
      <c r="L264" s="12"/>
      <c r="M264" s="12"/>
      <c r="N264" s="12">
        <v>38704314</v>
      </c>
      <c r="O264" s="12">
        <v>40850351</v>
      </c>
      <c r="P264" s="11">
        <v>5.54</v>
      </c>
      <c r="Q264" s="12">
        <v>0</v>
      </c>
      <c r="R264" s="12">
        <v>114232</v>
      </c>
      <c r="S264" s="12">
        <v>39055650</v>
      </c>
      <c r="T264" s="12">
        <v>41025074</v>
      </c>
      <c r="U264" s="12">
        <v>38704314</v>
      </c>
      <c r="V264" s="12">
        <v>40736119</v>
      </c>
      <c r="W264" s="12">
        <v>351336</v>
      </c>
      <c r="X264" s="12">
        <v>288955</v>
      </c>
      <c r="Y264" s="12">
        <v>1646</v>
      </c>
      <c r="Z264" s="12">
        <v>1624</v>
      </c>
      <c r="AA264" s="11">
        <v>-1.34</v>
      </c>
      <c r="AB264" s="12">
        <v>4515612</v>
      </c>
      <c r="AC264" s="12">
        <v>3370237</v>
      </c>
      <c r="AD264" s="12">
        <v>3215000</v>
      </c>
      <c r="AE264" s="12">
        <v>3200000</v>
      </c>
      <c r="AF264" s="12">
        <v>1938173</v>
      </c>
      <c r="AG264" s="12">
        <v>2010894</v>
      </c>
      <c r="AH264" s="11">
        <v>4</v>
      </c>
      <c r="AI264" s="11">
        <v>3.98</v>
      </c>
      <c r="AJ264" s="13"/>
    </row>
    <row r="265" spans="1:36" x14ac:dyDescent="0.25">
      <c r="A265" t="str">
        <f>"580506"</f>
        <v>580506</v>
      </c>
      <c r="B265" t="s">
        <v>352</v>
      </c>
      <c r="C265" s="10">
        <v>110626357</v>
      </c>
      <c r="D265" s="10">
        <v>113351328</v>
      </c>
      <c r="E265" s="11">
        <v>2.46</v>
      </c>
      <c r="F265" s="12">
        <v>82391340</v>
      </c>
      <c r="G265" s="12">
        <v>84764385</v>
      </c>
      <c r="H265" s="12" t="s">
        <v>95</v>
      </c>
      <c r="I265" s="12" t="s">
        <v>95</v>
      </c>
      <c r="J265" s="12"/>
      <c r="K265" s="12"/>
      <c r="L265" s="12"/>
      <c r="M265" s="12"/>
      <c r="N265" s="12">
        <v>82391340</v>
      </c>
      <c r="O265" s="12">
        <v>84764385</v>
      </c>
      <c r="P265" s="11">
        <v>2.88</v>
      </c>
      <c r="Q265" s="12">
        <v>2002510</v>
      </c>
      <c r="R265" s="12">
        <v>2054217</v>
      </c>
      <c r="S265" s="12">
        <v>80388830</v>
      </c>
      <c r="T265" s="12">
        <v>82710168</v>
      </c>
      <c r="U265" s="12">
        <v>80388830</v>
      </c>
      <c r="V265" s="12">
        <v>82710168</v>
      </c>
      <c r="W265" s="12">
        <v>0</v>
      </c>
      <c r="X265" s="12">
        <v>0</v>
      </c>
      <c r="Y265" s="12">
        <v>3470</v>
      </c>
      <c r="Z265" s="12">
        <v>3332</v>
      </c>
      <c r="AA265" s="11">
        <v>-3.98</v>
      </c>
      <c r="AB265" s="12">
        <v>22924982</v>
      </c>
      <c r="AC265" s="12">
        <v>24175010</v>
      </c>
      <c r="AD265" s="12">
        <v>4544800</v>
      </c>
      <c r="AE265" s="12">
        <v>4374800</v>
      </c>
      <c r="AF265" s="12">
        <v>4425054</v>
      </c>
      <c r="AG265" s="12">
        <v>4534053</v>
      </c>
      <c r="AH265" s="11">
        <v>4</v>
      </c>
      <c r="AI265" s="11">
        <v>4</v>
      </c>
      <c r="AJ265" s="13"/>
    </row>
    <row r="266" spans="1:36" x14ac:dyDescent="0.25">
      <c r="A266" t="str">
        <f>"500201"</f>
        <v>500201</v>
      </c>
      <c r="B266" t="s">
        <v>353</v>
      </c>
      <c r="C266" s="10">
        <v>216644100</v>
      </c>
      <c r="D266" s="10">
        <v>223192730</v>
      </c>
      <c r="E266" s="11">
        <v>3.02</v>
      </c>
      <c r="F266" s="12">
        <v>141361457</v>
      </c>
      <c r="G266" s="12">
        <v>148339280</v>
      </c>
      <c r="H266" s="12"/>
      <c r="I266" s="12"/>
      <c r="J266" s="12"/>
      <c r="K266" s="12"/>
      <c r="L266" s="12"/>
      <c r="M266" s="12"/>
      <c r="N266" s="12">
        <v>141361457</v>
      </c>
      <c r="O266" s="12">
        <v>148339280</v>
      </c>
      <c r="P266" s="11">
        <v>4.9400000000000004</v>
      </c>
      <c r="Q266" s="12">
        <v>1405450</v>
      </c>
      <c r="R266" s="12">
        <v>1572008</v>
      </c>
      <c r="S266" s="12">
        <v>139956007</v>
      </c>
      <c r="T266" s="12">
        <v>146767272</v>
      </c>
      <c r="U266" s="12">
        <v>139956007</v>
      </c>
      <c r="V266" s="12">
        <v>146767272</v>
      </c>
      <c r="W266" s="12">
        <v>0</v>
      </c>
      <c r="X266" s="12">
        <v>0</v>
      </c>
      <c r="Y266" s="12">
        <v>8004</v>
      </c>
      <c r="Z266" s="12">
        <v>8093</v>
      </c>
      <c r="AA266" s="11">
        <v>1.1100000000000001</v>
      </c>
      <c r="AB266" s="12">
        <v>32438853</v>
      </c>
      <c r="AC266" s="12">
        <v>32438853</v>
      </c>
      <c r="AD266" s="12">
        <v>15070998</v>
      </c>
      <c r="AE266" s="12">
        <v>11012829</v>
      </c>
      <c r="AF266" s="12">
        <v>8667329</v>
      </c>
      <c r="AG266" s="12">
        <v>8927709</v>
      </c>
      <c r="AH266" s="11">
        <v>4</v>
      </c>
      <c r="AI266" s="11">
        <v>4</v>
      </c>
      <c r="AJ266" s="13"/>
    </row>
    <row r="267" spans="1:36" x14ac:dyDescent="0.25">
      <c r="A267" t="str">
        <f>"280201"</f>
        <v>280201</v>
      </c>
      <c r="B267" t="s">
        <v>354</v>
      </c>
      <c r="C267" s="10">
        <v>202696297</v>
      </c>
      <c r="D267" s="10">
        <v>215075440</v>
      </c>
      <c r="E267" s="11">
        <v>6.11</v>
      </c>
      <c r="F267" s="12">
        <v>75934370</v>
      </c>
      <c r="G267" s="12">
        <v>75934370</v>
      </c>
      <c r="H267" s="12"/>
      <c r="I267" s="12"/>
      <c r="J267" s="12"/>
      <c r="K267" s="12"/>
      <c r="L267" s="12"/>
      <c r="M267" s="12"/>
      <c r="N267" s="12">
        <v>75934370</v>
      </c>
      <c r="O267" s="12">
        <v>75934370</v>
      </c>
      <c r="P267" s="11">
        <v>0</v>
      </c>
      <c r="Q267" s="12">
        <v>800000</v>
      </c>
      <c r="R267" s="12">
        <v>3005783</v>
      </c>
      <c r="S267" s="12">
        <v>75134370</v>
      </c>
      <c r="T267" s="12">
        <v>76790899</v>
      </c>
      <c r="U267" s="12">
        <v>75134370</v>
      </c>
      <c r="V267" s="12">
        <v>72928587</v>
      </c>
      <c r="W267" s="12">
        <v>0</v>
      </c>
      <c r="X267" s="12">
        <v>3862312</v>
      </c>
      <c r="Y267" s="12">
        <v>7500</v>
      </c>
      <c r="Z267" s="12">
        <v>7500</v>
      </c>
      <c r="AA267" s="11">
        <v>0</v>
      </c>
      <c r="AB267" s="12">
        <v>8170008</v>
      </c>
      <c r="AC267" s="12">
        <v>7370008</v>
      </c>
      <c r="AD267" s="12">
        <v>0</v>
      </c>
      <c r="AE267" s="12">
        <v>2900000</v>
      </c>
      <c r="AF267" s="12">
        <v>10955845</v>
      </c>
      <c r="AG267" s="12">
        <v>8491017</v>
      </c>
      <c r="AH267" s="11">
        <v>5.41</v>
      </c>
      <c r="AI267" s="11">
        <v>3.95</v>
      </c>
      <c r="AJ267" s="13"/>
    </row>
    <row r="268" spans="1:36" x14ac:dyDescent="0.25">
      <c r="A268" t="str">
        <f>"660203"</f>
        <v>660203</v>
      </c>
      <c r="B268" t="s">
        <v>355</v>
      </c>
      <c r="C268" s="10">
        <v>79623118</v>
      </c>
      <c r="D268" s="10">
        <v>79532609</v>
      </c>
      <c r="E268" s="11">
        <v>-0.11</v>
      </c>
      <c r="F268" s="12">
        <v>41750344</v>
      </c>
      <c r="G268" s="12">
        <v>42616260</v>
      </c>
      <c r="H268" s="12"/>
      <c r="I268" s="12"/>
      <c r="J268" s="12"/>
      <c r="K268" s="12"/>
      <c r="L268" s="12"/>
      <c r="M268" s="12"/>
      <c r="N268" s="12">
        <v>41750344</v>
      </c>
      <c r="O268" s="12">
        <v>42616260</v>
      </c>
      <c r="P268" s="11">
        <v>2.0699999999999998</v>
      </c>
      <c r="Q268" s="12">
        <v>4140583</v>
      </c>
      <c r="R268" s="12">
        <v>4283776</v>
      </c>
      <c r="S268" s="12">
        <v>37609770</v>
      </c>
      <c r="T268" s="12">
        <v>38332686</v>
      </c>
      <c r="U268" s="12">
        <v>37609761</v>
      </c>
      <c r="V268" s="12">
        <v>38332484</v>
      </c>
      <c r="W268" s="12">
        <v>9</v>
      </c>
      <c r="X268" s="12">
        <v>202</v>
      </c>
      <c r="Y268" s="12">
        <v>2325</v>
      </c>
      <c r="Z268" s="12">
        <v>2352</v>
      </c>
      <c r="AA268" s="11">
        <v>1.1599999999999999</v>
      </c>
      <c r="AB268" s="12">
        <v>67787</v>
      </c>
      <c r="AC268" s="12">
        <v>2250000</v>
      </c>
      <c r="AD268" s="12">
        <v>3597528</v>
      </c>
      <c r="AE268" s="12">
        <v>2000000</v>
      </c>
      <c r="AF268" s="12">
        <v>3365238</v>
      </c>
      <c r="AG268" s="12">
        <v>3100000</v>
      </c>
      <c r="AH268" s="11">
        <v>4.2300000000000004</v>
      </c>
      <c r="AI268" s="11">
        <v>3.9</v>
      </c>
      <c r="AJ268" s="13"/>
    </row>
    <row r="269" spans="1:36" x14ac:dyDescent="0.25">
      <c r="A269" t="str">
        <f>"210601"</f>
        <v>210601</v>
      </c>
      <c r="B269" t="s">
        <v>356</v>
      </c>
      <c r="C269" s="10">
        <v>24414000</v>
      </c>
      <c r="D269" s="10">
        <v>25190000</v>
      </c>
      <c r="E269" s="11">
        <v>3.18</v>
      </c>
      <c r="F269" s="12">
        <v>8510000</v>
      </c>
      <c r="G269" s="12">
        <v>8845000</v>
      </c>
      <c r="H269" s="12"/>
      <c r="I269" s="12"/>
      <c r="J269" s="12"/>
      <c r="K269" s="12"/>
      <c r="L269" s="12" t="s">
        <v>95</v>
      </c>
      <c r="M269" s="12" t="s">
        <v>95</v>
      </c>
      <c r="N269" s="12">
        <v>8510000</v>
      </c>
      <c r="O269" s="12">
        <v>8845000</v>
      </c>
      <c r="P269" s="11">
        <v>3.94</v>
      </c>
      <c r="Q269" s="12">
        <v>512000</v>
      </c>
      <c r="R269" s="12">
        <v>690000</v>
      </c>
      <c r="S269" s="12">
        <v>8000000</v>
      </c>
      <c r="T269" s="12">
        <v>8163100</v>
      </c>
      <c r="U269" s="12">
        <v>7998000</v>
      </c>
      <c r="V269" s="12">
        <v>8155000</v>
      </c>
      <c r="W269" s="12">
        <v>2000</v>
      </c>
      <c r="X269" s="12">
        <v>8100</v>
      </c>
      <c r="Y269" s="12">
        <v>1100</v>
      </c>
      <c r="Z269" s="12">
        <v>1120</v>
      </c>
      <c r="AA269" s="11">
        <v>1.82</v>
      </c>
      <c r="AB269" s="12">
        <v>2268972</v>
      </c>
      <c r="AC269" s="12">
        <v>2800000</v>
      </c>
      <c r="AD269" s="12">
        <v>250000</v>
      </c>
      <c r="AE269" s="12">
        <v>650000</v>
      </c>
      <c r="AF269" s="12">
        <v>976560</v>
      </c>
      <c r="AG269" s="12">
        <v>1007000</v>
      </c>
      <c r="AH269" s="11">
        <v>4</v>
      </c>
      <c r="AI269" s="11">
        <v>4</v>
      </c>
      <c r="AJ269" s="13"/>
    </row>
    <row r="270" spans="1:36" x14ac:dyDescent="0.25">
      <c r="A270" t="str">
        <f>"511301"</f>
        <v>511301</v>
      </c>
      <c r="B270" t="s">
        <v>357</v>
      </c>
      <c r="C270" s="10">
        <v>10195037</v>
      </c>
      <c r="D270" s="10">
        <v>10717317</v>
      </c>
      <c r="E270" s="11">
        <v>5.12</v>
      </c>
      <c r="F270" s="12">
        <v>2467612</v>
      </c>
      <c r="G270" s="12">
        <v>2537955</v>
      </c>
      <c r="H270" s="12"/>
      <c r="I270" s="12"/>
      <c r="J270" s="12"/>
      <c r="K270" s="12"/>
      <c r="L270" s="12"/>
      <c r="M270" s="12"/>
      <c r="N270" s="12">
        <v>2467612</v>
      </c>
      <c r="O270" s="12">
        <v>2537955</v>
      </c>
      <c r="P270" s="11">
        <v>2.85</v>
      </c>
      <c r="Q270" s="12">
        <v>47061</v>
      </c>
      <c r="R270" s="12">
        <v>48674</v>
      </c>
      <c r="S270" s="12">
        <v>2420551</v>
      </c>
      <c r="T270" s="12">
        <v>2489281</v>
      </c>
      <c r="U270" s="12">
        <v>2420551</v>
      </c>
      <c r="V270" s="12">
        <v>2489281</v>
      </c>
      <c r="W270" s="12">
        <v>0</v>
      </c>
      <c r="X270" s="12">
        <v>0</v>
      </c>
      <c r="Y270" s="12">
        <v>408</v>
      </c>
      <c r="Z270" s="12">
        <v>410</v>
      </c>
      <c r="AA270" s="11">
        <v>0.49</v>
      </c>
      <c r="AB270" s="12">
        <v>1359001</v>
      </c>
      <c r="AC270" s="12">
        <v>1441081</v>
      </c>
      <c r="AD270" s="12">
        <v>1003462</v>
      </c>
      <c r="AE270" s="12">
        <v>1093587</v>
      </c>
      <c r="AF270" s="12">
        <v>470501</v>
      </c>
      <c r="AG270" s="12">
        <v>580702</v>
      </c>
      <c r="AH270" s="11">
        <v>4.62</v>
      </c>
      <c r="AI270" s="11">
        <v>5.42</v>
      </c>
      <c r="AJ270" s="13"/>
    </row>
    <row r="271" spans="1:36" x14ac:dyDescent="0.25">
      <c r="A271" t="str">
        <f>"280409"</f>
        <v>280409</v>
      </c>
      <c r="B271" t="s">
        <v>358</v>
      </c>
      <c r="C271" s="10">
        <v>111215736</v>
      </c>
      <c r="D271" s="10">
        <v>114391671</v>
      </c>
      <c r="E271" s="11">
        <v>2.86</v>
      </c>
      <c r="F271" s="12">
        <v>94094175</v>
      </c>
      <c r="G271" s="12">
        <v>96492264</v>
      </c>
      <c r="H271" s="12"/>
      <c r="I271" s="12"/>
      <c r="J271" s="12"/>
      <c r="K271" s="12"/>
      <c r="L271" s="12"/>
      <c r="M271" s="12"/>
      <c r="N271" s="12">
        <v>94094175</v>
      </c>
      <c r="O271" s="12">
        <v>96492264</v>
      </c>
      <c r="P271" s="11">
        <v>2.5499999999999998</v>
      </c>
      <c r="Q271" s="12">
        <v>1890760</v>
      </c>
      <c r="R271" s="12">
        <v>1920618</v>
      </c>
      <c r="S271" s="12">
        <v>92203415</v>
      </c>
      <c r="T271" s="12">
        <v>94571646</v>
      </c>
      <c r="U271" s="12">
        <v>92203415</v>
      </c>
      <c r="V271" s="12">
        <v>94571646</v>
      </c>
      <c r="W271" s="12">
        <v>0</v>
      </c>
      <c r="X271" s="12">
        <v>0</v>
      </c>
      <c r="Y271" s="12">
        <v>3906</v>
      </c>
      <c r="Z271" s="12">
        <v>4008</v>
      </c>
      <c r="AA271" s="11">
        <v>2.61</v>
      </c>
      <c r="AB271" s="12">
        <v>10221297</v>
      </c>
      <c r="AC271" s="12">
        <v>9854988</v>
      </c>
      <c r="AD271" s="12">
        <v>1300000</v>
      </c>
      <c r="AE271" s="12">
        <v>1300000</v>
      </c>
      <c r="AF271" s="12">
        <v>4277842</v>
      </c>
      <c r="AG271" s="12">
        <v>4575667</v>
      </c>
      <c r="AH271" s="11">
        <v>3.85</v>
      </c>
      <c r="AI271" s="11">
        <v>4</v>
      </c>
      <c r="AJ271" s="13"/>
    </row>
    <row r="272" spans="1:36" x14ac:dyDescent="0.25">
      <c r="A272" t="str">
        <f>"512404"</f>
        <v>512404</v>
      </c>
      <c r="B272" t="s">
        <v>359</v>
      </c>
      <c r="C272" s="10">
        <v>14075941</v>
      </c>
      <c r="D272" s="10">
        <v>14226218</v>
      </c>
      <c r="E272" s="11">
        <v>1.07</v>
      </c>
      <c r="F272" s="12">
        <v>3368347</v>
      </c>
      <c r="G272" s="12">
        <v>3455528</v>
      </c>
      <c r="H272" s="12"/>
      <c r="I272" s="12"/>
      <c r="J272" s="12"/>
      <c r="K272" s="12"/>
      <c r="L272" s="12"/>
      <c r="M272" s="12"/>
      <c r="N272" s="12">
        <v>3368347</v>
      </c>
      <c r="O272" s="12">
        <v>3455528</v>
      </c>
      <c r="P272" s="11">
        <v>2.59</v>
      </c>
      <c r="Q272" s="12">
        <v>70482</v>
      </c>
      <c r="R272" s="12">
        <v>59390</v>
      </c>
      <c r="S272" s="12">
        <v>3297865</v>
      </c>
      <c r="T272" s="12">
        <v>3396138</v>
      </c>
      <c r="U272" s="12">
        <v>3297865</v>
      </c>
      <c r="V272" s="12">
        <v>3396138</v>
      </c>
      <c r="W272" s="12">
        <v>0</v>
      </c>
      <c r="X272" s="12">
        <v>0</v>
      </c>
      <c r="Y272" s="12">
        <v>524</v>
      </c>
      <c r="Z272" s="12">
        <v>531</v>
      </c>
      <c r="AA272" s="11">
        <v>1.34</v>
      </c>
      <c r="AB272" s="12">
        <v>2695546</v>
      </c>
      <c r="AC272" s="12">
        <v>2643254</v>
      </c>
      <c r="AD272" s="12">
        <v>1584860</v>
      </c>
      <c r="AE272" s="12">
        <v>965548</v>
      </c>
      <c r="AF272" s="12">
        <v>242090</v>
      </c>
      <c r="AG272" s="12">
        <v>513046</v>
      </c>
      <c r="AH272" s="11">
        <v>1.72</v>
      </c>
      <c r="AI272" s="11">
        <v>3.61</v>
      </c>
      <c r="AJ272" s="13"/>
    </row>
    <row r="273" spans="1:36" x14ac:dyDescent="0.25">
      <c r="A273" t="str">
        <f>"280214"</f>
        <v>280214</v>
      </c>
      <c r="B273" t="s">
        <v>360</v>
      </c>
      <c r="C273" s="10">
        <v>116449996</v>
      </c>
      <c r="D273" s="10">
        <v>119785062</v>
      </c>
      <c r="E273" s="11">
        <v>2.86</v>
      </c>
      <c r="F273" s="12">
        <v>97538802</v>
      </c>
      <c r="G273" s="12">
        <v>100328411</v>
      </c>
      <c r="H273" s="12"/>
      <c r="I273" s="12"/>
      <c r="J273" s="12"/>
      <c r="K273" s="12"/>
      <c r="L273" s="12"/>
      <c r="M273" s="12"/>
      <c r="N273" s="12">
        <v>97538802</v>
      </c>
      <c r="O273" s="12">
        <v>100328411</v>
      </c>
      <c r="P273" s="11">
        <v>2.86</v>
      </c>
      <c r="Q273" s="12">
        <v>4196250</v>
      </c>
      <c r="R273" s="12">
        <v>5134086</v>
      </c>
      <c r="S273" s="12">
        <v>96178172</v>
      </c>
      <c r="T273" s="12">
        <v>96364694</v>
      </c>
      <c r="U273" s="12">
        <v>93342552</v>
      </c>
      <c r="V273" s="12">
        <v>95194325</v>
      </c>
      <c r="W273" s="12">
        <v>2835620</v>
      </c>
      <c r="X273" s="12">
        <v>1170369</v>
      </c>
      <c r="Y273" s="12">
        <v>2987</v>
      </c>
      <c r="Z273" s="12">
        <v>2928</v>
      </c>
      <c r="AA273" s="11">
        <v>-1.98</v>
      </c>
      <c r="AB273" s="12">
        <v>4642882</v>
      </c>
      <c r="AC273" s="12">
        <v>4735740</v>
      </c>
      <c r="AD273" s="12">
        <v>2876406</v>
      </c>
      <c r="AE273" s="12">
        <v>2876406</v>
      </c>
      <c r="AF273" s="12">
        <v>6559899</v>
      </c>
      <c r="AG273" s="12">
        <v>3997903</v>
      </c>
      <c r="AH273" s="11">
        <v>5.63</v>
      </c>
      <c r="AI273" s="11">
        <v>3.34</v>
      </c>
      <c r="AJ273" s="13"/>
    </row>
    <row r="274" spans="1:36" x14ac:dyDescent="0.25">
      <c r="A274" t="str">
        <f>"280517"</f>
        <v>280517</v>
      </c>
      <c r="B274" t="s">
        <v>361</v>
      </c>
      <c r="C274" s="10">
        <v>134781267</v>
      </c>
      <c r="D274" s="10">
        <v>135686223</v>
      </c>
      <c r="E274" s="11">
        <v>0.67</v>
      </c>
      <c r="F274" s="12">
        <v>100342028</v>
      </c>
      <c r="G274" s="12">
        <v>102239710</v>
      </c>
      <c r="H274" s="12"/>
      <c r="I274" s="12"/>
      <c r="J274" s="12">
        <v>60000</v>
      </c>
      <c r="K274" s="12">
        <v>60000</v>
      </c>
      <c r="L274" s="12"/>
      <c r="M274" s="12"/>
      <c r="N274" s="12">
        <v>100402028</v>
      </c>
      <c r="O274" s="12">
        <v>102299710</v>
      </c>
      <c r="P274" s="11">
        <v>1.89</v>
      </c>
      <c r="Q274" s="12">
        <v>2941058</v>
      </c>
      <c r="R274" s="12">
        <v>2425824</v>
      </c>
      <c r="S274" s="12">
        <v>97460970</v>
      </c>
      <c r="T274" s="12">
        <v>99873886</v>
      </c>
      <c r="U274" s="12">
        <v>97460970</v>
      </c>
      <c r="V274" s="12">
        <v>99873886</v>
      </c>
      <c r="W274" s="12">
        <v>0</v>
      </c>
      <c r="X274" s="12">
        <v>0</v>
      </c>
      <c r="Y274" s="12">
        <v>5258</v>
      </c>
      <c r="Z274" s="12">
        <v>5294</v>
      </c>
      <c r="AA274" s="11">
        <v>0.68</v>
      </c>
      <c r="AB274" s="12">
        <v>20742362</v>
      </c>
      <c r="AC274" s="12">
        <v>13521332</v>
      </c>
      <c r="AD274" s="12">
        <v>2751493</v>
      </c>
      <c r="AE274" s="12">
        <v>2800000</v>
      </c>
      <c r="AF274" s="12">
        <v>5393650</v>
      </c>
      <c r="AG274" s="12">
        <v>5429849</v>
      </c>
      <c r="AH274" s="11">
        <v>4</v>
      </c>
      <c r="AI274" s="11">
        <v>4</v>
      </c>
      <c r="AJ274" s="13"/>
    </row>
    <row r="275" spans="1:36" x14ac:dyDescent="0.25">
      <c r="A275" s="16" t="str">
        <f>"620803"</f>
        <v>620803</v>
      </c>
      <c r="B275" s="16" t="s">
        <v>362</v>
      </c>
      <c r="C275" s="18">
        <v>42866930</v>
      </c>
      <c r="D275" s="18">
        <v>45280769</v>
      </c>
      <c r="E275" s="15">
        <v>5.63</v>
      </c>
      <c r="F275" s="19">
        <v>26807253</v>
      </c>
      <c r="G275" s="19">
        <v>28000464</v>
      </c>
      <c r="H275" s="19"/>
      <c r="I275" s="19"/>
      <c r="J275" s="19"/>
      <c r="K275" s="19"/>
      <c r="L275" s="19">
        <v>0</v>
      </c>
      <c r="M275" s="19">
        <v>0</v>
      </c>
      <c r="N275" s="19">
        <v>26807253</v>
      </c>
      <c r="O275" s="19">
        <v>28000464</v>
      </c>
      <c r="P275" s="15">
        <v>0</v>
      </c>
      <c r="Q275" s="19">
        <v>1241177</v>
      </c>
      <c r="R275" s="19">
        <v>1785590</v>
      </c>
      <c r="S275" s="19">
        <v>25566076</v>
      </c>
      <c r="T275" s="19">
        <v>26214874</v>
      </c>
      <c r="U275" s="19">
        <v>25566076</v>
      </c>
      <c r="V275" s="19">
        <v>26214874</v>
      </c>
      <c r="W275" s="19">
        <v>0</v>
      </c>
      <c r="X275" s="19">
        <v>0</v>
      </c>
      <c r="Y275" s="19">
        <v>1727</v>
      </c>
      <c r="Z275" s="19">
        <v>1712</v>
      </c>
      <c r="AA275" s="15">
        <v>-0.87</v>
      </c>
      <c r="AB275" s="19">
        <v>975000</v>
      </c>
      <c r="AC275" s="19">
        <v>975000</v>
      </c>
      <c r="AD275" s="19">
        <v>1982464</v>
      </c>
      <c r="AE275" s="19">
        <v>1900000</v>
      </c>
      <c r="AF275" s="19">
        <v>1567725</v>
      </c>
      <c r="AG275" s="19">
        <v>1600000</v>
      </c>
      <c r="AH275" s="15">
        <v>3.66</v>
      </c>
      <c r="AI275" s="15">
        <v>3.53</v>
      </c>
      <c r="AJ275" s="13"/>
    </row>
    <row r="276" spans="1:36" x14ac:dyDescent="0.25">
      <c r="A276" t="str">
        <f>"440901"</f>
        <v>440901</v>
      </c>
      <c r="B276" t="s">
        <v>363</v>
      </c>
      <c r="C276" s="10">
        <v>29759008</v>
      </c>
      <c r="D276" s="10">
        <v>30606772</v>
      </c>
      <c r="E276" s="11">
        <v>2.85</v>
      </c>
      <c r="F276" s="12">
        <v>10612951</v>
      </c>
      <c r="G276" s="12">
        <v>10867114</v>
      </c>
      <c r="H276" s="12"/>
      <c r="I276" s="12"/>
      <c r="J276" s="12"/>
      <c r="K276" s="12"/>
      <c r="L276" s="12"/>
      <c r="M276" s="12"/>
      <c r="N276" s="12">
        <v>10612951</v>
      </c>
      <c r="O276" s="12">
        <v>10867114</v>
      </c>
      <c r="P276" s="11">
        <v>2.39</v>
      </c>
      <c r="Q276" s="12">
        <v>721244</v>
      </c>
      <c r="R276" s="12">
        <v>769995</v>
      </c>
      <c r="S276" s="12">
        <v>9984694</v>
      </c>
      <c r="T276" s="12">
        <v>10997119</v>
      </c>
      <c r="U276" s="12">
        <v>9891707</v>
      </c>
      <c r="V276" s="12">
        <v>10097119</v>
      </c>
      <c r="W276" s="12">
        <v>92987</v>
      </c>
      <c r="X276" s="12">
        <v>900000</v>
      </c>
      <c r="Y276" s="12">
        <v>976</v>
      </c>
      <c r="Z276" s="12">
        <v>967</v>
      </c>
      <c r="AA276" s="11">
        <v>-0.92</v>
      </c>
      <c r="AB276" s="12">
        <v>3348826</v>
      </c>
      <c r="AC276" s="12">
        <v>3360853</v>
      </c>
      <c r="AD276" s="12">
        <v>540000</v>
      </c>
      <c r="AE276" s="12">
        <v>540000</v>
      </c>
      <c r="AF276" s="12">
        <v>4558149</v>
      </c>
      <c r="AG276" s="12">
        <v>1225000</v>
      </c>
      <c r="AH276" s="11">
        <v>15.32</v>
      </c>
      <c r="AI276" s="11">
        <v>4</v>
      </c>
      <c r="AJ276" s="13"/>
    </row>
    <row r="277" spans="1:36" x14ac:dyDescent="0.25">
      <c r="A277" t="str">
        <f>"261101"</f>
        <v>261101</v>
      </c>
      <c r="B277" t="s">
        <v>364</v>
      </c>
      <c r="C277" s="10">
        <v>80875790</v>
      </c>
      <c r="D277" s="10">
        <v>82376158</v>
      </c>
      <c r="E277" s="11">
        <v>1.86</v>
      </c>
      <c r="F277" s="12">
        <v>37785547</v>
      </c>
      <c r="G277" s="12">
        <v>38846771</v>
      </c>
      <c r="H277" s="12"/>
      <c r="I277" s="12"/>
      <c r="J277" s="12"/>
      <c r="K277" s="12"/>
      <c r="L277" s="12"/>
      <c r="M277" s="12"/>
      <c r="N277" s="12">
        <v>37785547</v>
      </c>
      <c r="O277" s="12">
        <v>38846771</v>
      </c>
      <c r="P277" s="11">
        <v>2.81</v>
      </c>
      <c r="Q277" s="12">
        <v>963484</v>
      </c>
      <c r="R277" s="12">
        <v>917732</v>
      </c>
      <c r="S277" s="12">
        <v>36822063</v>
      </c>
      <c r="T277" s="12">
        <v>37929039</v>
      </c>
      <c r="U277" s="12">
        <v>36822063</v>
      </c>
      <c r="V277" s="12">
        <v>37929039</v>
      </c>
      <c r="W277" s="12">
        <v>0</v>
      </c>
      <c r="X277" s="12">
        <v>0</v>
      </c>
      <c r="Y277" s="12">
        <v>4288</v>
      </c>
      <c r="Z277" s="12">
        <v>4325</v>
      </c>
      <c r="AA277" s="11">
        <v>0.86</v>
      </c>
      <c r="AB277" s="12">
        <v>4959205</v>
      </c>
      <c r="AC277" s="12">
        <v>4982252</v>
      </c>
      <c r="AD277" s="12">
        <v>689412</v>
      </c>
      <c r="AE277" s="12">
        <v>557108</v>
      </c>
      <c r="AF277" s="12">
        <v>3235032</v>
      </c>
      <c r="AG277" s="12">
        <v>3295046</v>
      </c>
      <c r="AH277" s="11">
        <v>4</v>
      </c>
      <c r="AI277" s="11">
        <v>4</v>
      </c>
      <c r="AJ277" s="13"/>
    </row>
    <row r="278" spans="1:36" x14ac:dyDescent="0.25">
      <c r="A278" t="str">
        <f>"041401"</f>
        <v>041401</v>
      </c>
      <c r="B278" t="s">
        <v>365</v>
      </c>
      <c r="C278" s="10">
        <v>9719565</v>
      </c>
      <c r="D278" s="10">
        <v>9993800</v>
      </c>
      <c r="E278" s="11">
        <v>2.82</v>
      </c>
      <c r="F278" s="12">
        <v>1903507</v>
      </c>
      <c r="G278" s="12">
        <v>1941667</v>
      </c>
      <c r="H278" s="12"/>
      <c r="I278" s="12"/>
      <c r="J278" s="12"/>
      <c r="K278" s="12"/>
      <c r="L278" s="12"/>
      <c r="M278" s="12"/>
      <c r="N278" s="12">
        <v>1903507</v>
      </c>
      <c r="O278" s="12">
        <v>1941667</v>
      </c>
      <c r="P278" s="11">
        <v>2</v>
      </c>
      <c r="Q278" s="12">
        <v>0</v>
      </c>
      <c r="R278" s="12">
        <v>0</v>
      </c>
      <c r="S278" s="12">
        <v>2936344</v>
      </c>
      <c r="T278" s="12">
        <v>1985167</v>
      </c>
      <c r="U278" s="12">
        <v>1903507</v>
      </c>
      <c r="V278" s="12">
        <v>1941667</v>
      </c>
      <c r="W278" s="12">
        <v>1032837</v>
      </c>
      <c r="X278" s="12">
        <v>43500</v>
      </c>
      <c r="Y278" s="12">
        <v>436</v>
      </c>
      <c r="Z278" s="12">
        <v>425</v>
      </c>
      <c r="AA278" s="11">
        <v>-2.52</v>
      </c>
      <c r="AB278" s="12">
        <v>1610338</v>
      </c>
      <c r="AC278" s="12">
        <v>1610384</v>
      </c>
      <c r="AD278" s="12">
        <v>450000</v>
      </c>
      <c r="AE278" s="12">
        <v>375000</v>
      </c>
      <c r="AF278" s="12">
        <v>1318617</v>
      </c>
      <c r="AG278" s="12">
        <v>1338617</v>
      </c>
      <c r="AH278" s="11">
        <v>13.57</v>
      </c>
      <c r="AI278" s="11">
        <v>13.39</v>
      </c>
      <c r="AJ278" s="13"/>
    </row>
    <row r="279" spans="1:36" x14ac:dyDescent="0.25">
      <c r="A279" t="str">
        <f>"141701"</f>
        <v>141701</v>
      </c>
      <c r="B279" t="s">
        <v>366</v>
      </c>
      <c r="C279" s="10">
        <v>19285000</v>
      </c>
      <c r="D279" s="10">
        <v>19476558</v>
      </c>
      <c r="E279" s="11">
        <v>0.99</v>
      </c>
      <c r="F279" s="12">
        <v>7193150</v>
      </c>
      <c r="G279" s="12">
        <v>7335503</v>
      </c>
      <c r="H279" s="12"/>
      <c r="I279" s="12"/>
      <c r="J279" s="12"/>
      <c r="K279" s="12"/>
      <c r="L279" s="12"/>
      <c r="M279" s="12"/>
      <c r="N279" s="12">
        <v>7193150</v>
      </c>
      <c r="O279" s="12">
        <v>7335503</v>
      </c>
      <c r="P279" s="11">
        <v>1.98</v>
      </c>
      <c r="Q279" s="12">
        <v>0</v>
      </c>
      <c r="R279" s="12">
        <v>0</v>
      </c>
      <c r="S279" s="12">
        <v>7411675</v>
      </c>
      <c r="T279" s="12">
        <v>7501014</v>
      </c>
      <c r="U279" s="12">
        <v>7193150</v>
      </c>
      <c r="V279" s="12">
        <v>7335503</v>
      </c>
      <c r="W279" s="12">
        <v>218525</v>
      </c>
      <c r="X279" s="12">
        <v>165511</v>
      </c>
      <c r="Y279" s="12">
        <v>883</v>
      </c>
      <c r="Z279" s="12">
        <v>881</v>
      </c>
      <c r="AA279" s="11">
        <v>-0.23</v>
      </c>
      <c r="AB279" s="12">
        <v>2886826</v>
      </c>
      <c r="AC279" s="12">
        <v>2631826</v>
      </c>
      <c r="AD279" s="12">
        <v>271850</v>
      </c>
      <c r="AE279" s="12">
        <v>400000</v>
      </c>
      <c r="AF279" s="12">
        <v>1152664</v>
      </c>
      <c r="AG279" s="12">
        <v>779060</v>
      </c>
      <c r="AH279" s="11">
        <v>5.98</v>
      </c>
      <c r="AI279" s="11">
        <v>4</v>
      </c>
      <c r="AJ279" s="13"/>
    </row>
    <row r="280" spans="1:36" x14ac:dyDescent="0.25">
      <c r="A280" t="str">
        <f>"412201"</f>
        <v>412201</v>
      </c>
      <c r="B280" t="s">
        <v>367</v>
      </c>
      <c r="C280" s="10">
        <v>33808028</v>
      </c>
      <c r="D280" s="10">
        <v>34580432</v>
      </c>
      <c r="E280" s="11">
        <v>2.2799999999999998</v>
      </c>
      <c r="F280" s="12">
        <v>12454648</v>
      </c>
      <c r="G280" s="12">
        <v>12844462</v>
      </c>
      <c r="H280" s="12">
        <v>30000</v>
      </c>
      <c r="I280" s="12">
        <v>30000</v>
      </c>
      <c r="J280" s="12"/>
      <c r="K280" s="12"/>
      <c r="L280" s="12"/>
      <c r="M280" s="12"/>
      <c r="N280" s="12">
        <v>12484648</v>
      </c>
      <c r="O280" s="12">
        <v>12874462</v>
      </c>
      <c r="P280" s="11">
        <v>3.12</v>
      </c>
      <c r="Q280" s="12">
        <v>526166</v>
      </c>
      <c r="R280" s="12">
        <v>546636</v>
      </c>
      <c r="S280" s="12">
        <v>11969992</v>
      </c>
      <c r="T280" s="12">
        <v>12297826</v>
      </c>
      <c r="U280" s="12">
        <v>11928482</v>
      </c>
      <c r="V280" s="12">
        <v>12297826</v>
      </c>
      <c r="W280" s="12">
        <v>41510</v>
      </c>
      <c r="X280" s="12">
        <v>0</v>
      </c>
      <c r="Y280" s="12">
        <v>1472</v>
      </c>
      <c r="Z280" s="12">
        <v>1447</v>
      </c>
      <c r="AA280" s="11">
        <v>-1.7</v>
      </c>
      <c r="AB280" s="12">
        <v>5730430</v>
      </c>
      <c r="AC280" s="12">
        <v>5464405</v>
      </c>
      <c r="AD280" s="12">
        <v>2150000</v>
      </c>
      <c r="AE280" s="12">
        <v>2310000</v>
      </c>
      <c r="AF280" s="12">
        <v>2850585</v>
      </c>
      <c r="AG280" s="12">
        <v>1383217</v>
      </c>
      <c r="AH280" s="11">
        <v>8.43</v>
      </c>
      <c r="AI280" s="11">
        <v>4</v>
      </c>
      <c r="AJ280" s="13"/>
    </row>
    <row r="281" spans="1:36" x14ac:dyDescent="0.25">
      <c r="A281" t="str">
        <f>"450704"</f>
        <v>450704</v>
      </c>
      <c r="B281" t="s">
        <v>368</v>
      </c>
      <c r="C281" s="10">
        <v>24500000</v>
      </c>
      <c r="D281" s="10">
        <v>25210000</v>
      </c>
      <c r="E281" s="11">
        <v>2.9</v>
      </c>
      <c r="F281" s="12">
        <v>6968766</v>
      </c>
      <c r="G281" s="12">
        <v>7108141</v>
      </c>
      <c r="H281" s="12"/>
      <c r="I281" s="12"/>
      <c r="J281" s="12"/>
      <c r="K281" s="12"/>
      <c r="L281" s="12"/>
      <c r="M281" s="12"/>
      <c r="N281" s="12">
        <v>6968766</v>
      </c>
      <c r="O281" s="12">
        <v>7108141</v>
      </c>
      <c r="P281" s="11">
        <v>2</v>
      </c>
      <c r="Q281" s="12">
        <v>0</v>
      </c>
      <c r="R281" s="12">
        <v>0</v>
      </c>
      <c r="S281" s="12">
        <v>6968766</v>
      </c>
      <c r="T281" s="12">
        <v>7108141</v>
      </c>
      <c r="U281" s="12">
        <v>6968766</v>
      </c>
      <c r="V281" s="12">
        <v>7108141</v>
      </c>
      <c r="W281" s="12">
        <v>0</v>
      </c>
      <c r="X281" s="12">
        <v>0</v>
      </c>
      <c r="Y281" s="12">
        <v>997</v>
      </c>
      <c r="Z281" s="12">
        <v>995</v>
      </c>
      <c r="AA281" s="11">
        <v>-0.2</v>
      </c>
      <c r="AB281" s="12">
        <v>2413864</v>
      </c>
      <c r="AC281" s="12">
        <v>2192988</v>
      </c>
      <c r="AD281" s="12">
        <v>652524</v>
      </c>
      <c r="AE281" s="12">
        <v>845000</v>
      </c>
      <c r="AF281" s="12">
        <v>980000</v>
      </c>
      <c r="AG281" s="12">
        <v>1008400</v>
      </c>
      <c r="AH281" s="11">
        <v>4</v>
      </c>
      <c r="AI281" s="11">
        <v>4</v>
      </c>
      <c r="AJ281" s="13"/>
    </row>
    <row r="282" spans="1:36" x14ac:dyDescent="0.25">
      <c r="A282" t="str">
        <f>"110701"</f>
        <v>110701</v>
      </c>
      <c r="B282" t="s">
        <v>369</v>
      </c>
      <c r="C282" s="10">
        <v>40884142</v>
      </c>
      <c r="D282" s="10">
        <v>42055168</v>
      </c>
      <c r="E282" s="11">
        <v>2.86</v>
      </c>
      <c r="F282" s="12">
        <v>15933460</v>
      </c>
      <c r="G282" s="12">
        <v>16235856</v>
      </c>
      <c r="H282" s="12"/>
      <c r="I282" s="12"/>
      <c r="J282" s="12"/>
      <c r="K282" s="12"/>
      <c r="L282" s="12"/>
      <c r="M282" s="12"/>
      <c r="N282" s="12">
        <v>15933460</v>
      </c>
      <c r="O282" s="12">
        <v>16235856</v>
      </c>
      <c r="P282" s="11">
        <v>1.9</v>
      </c>
      <c r="Q282" s="12">
        <v>0</v>
      </c>
      <c r="R282" s="12">
        <v>0</v>
      </c>
      <c r="S282" s="12">
        <v>16228603</v>
      </c>
      <c r="T282" s="12">
        <v>16583998</v>
      </c>
      <c r="U282" s="12">
        <v>15933460</v>
      </c>
      <c r="V282" s="12">
        <v>16235856</v>
      </c>
      <c r="W282" s="12">
        <v>295143</v>
      </c>
      <c r="X282" s="12">
        <v>348142</v>
      </c>
      <c r="Y282" s="12">
        <v>1851</v>
      </c>
      <c r="Z282" s="12">
        <v>1810</v>
      </c>
      <c r="AA282" s="11">
        <v>-2.2200000000000002</v>
      </c>
      <c r="AB282" s="12">
        <v>5483519</v>
      </c>
      <c r="AC282" s="12">
        <v>5033518</v>
      </c>
      <c r="AD282" s="12">
        <v>680000</v>
      </c>
      <c r="AE282" s="12">
        <v>680000</v>
      </c>
      <c r="AF282" s="12">
        <v>1635365</v>
      </c>
      <c r="AG282" s="12">
        <v>1682207</v>
      </c>
      <c r="AH282" s="11">
        <v>4</v>
      </c>
      <c r="AI282" s="11">
        <v>4</v>
      </c>
      <c r="AJ282" s="13"/>
    </row>
    <row r="283" spans="1:36" x14ac:dyDescent="0.25">
      <c r="A283" t="str">
        <f>"431401"</f>
        <v>431401</v>
      </c>
      <c r="B283" t="s">
        <v>370</v>
      </c>
      <c r="C283" s="10">
        <v>17128837</v>
      </c>
      <c r="D283" s="10">
        <v>17433910</v>
      </c>
      <c r="E283" s="11">
        <v>1.78</v>
      </c>
      <c r="F283" s="12">
        <v>9135215</v>
      </c>
      <c r="G283" s="12">
        <v>9280215</v>
      </c>
      <c r="H283" s="12"/>
      <c r="I283" s="12"/>
      <c r="J283" s="12"/>
      <c r="K283" s="12"/>
      <c r="L283" s="12"/>
      <c r="M283" s="12"/>
      <c r="N283" s="12">
        <v>9135215</v>
      </c>
      <c r="O283" s="12">
        <v>9280215</v>
      </c>
      <c r="P283" s="11">
        <v>1.59</v>
      </c>
      <c r="Q283" s="12">
        <v>0</v>
      </c>
      <c r="R283" s="12">
        <v>0</v>
      </c>
      <c r="S283" s="12">
        <v>9135215</v>
      </c>
      <c r="T283" s="12">
        <v>9280215</v>
      </c>
      <c r="U283" s="12">
        <v>9135215</v>
      </c>
      <c r="V283" s="12">
        <v>9280215</v>
      </c>
      <c r="W283" s="12">
        <v>0</v>
      </c>
      <c r="X283" s="12">
        <v>0</v>
      </c>
      <c r="Y283" s="12">
        <v>625</v>
      </c>
      <c r="Z283" s="12">
        <v>621</v>
      </c>
      <c r="AA283" s="11">
        <v>-0.64</v>
      </c>
      <c r="AB283" s="12">
        <v>4022009</v>
      </c>
      <c r="AC283" s="12">
        <v>4064105</v>
      </c>
      <c r="AD283" s="12">
        <v>625756</v>
      </c>
      <c r="AE283" s="12">
        <v>650150</v>
      </c>
      <c r="AF283" s="12">
        <v>685153</v>
      </c>
      <c r="AG283" s="12">
        <v>697350</v>
      </c>
      <c r="AH283" s="11">
        <v>4</v>
      </c>
      <c r="AI283" s="11">
        <v>4</v>
      </c>
      <c r="AJ283" s="13"/>
    </row>
    <row r="284" spans="1:36" x14ac:dyDescent="0.25">
      <c r="A284" t="str">
        <f>"260901"</f>
        <v>260901</v>
      </c>
      <c r="B284" t="s">
        <v>371</v>
      </c>
      <c r="C284" s="10">
        <v>49220549</v>
      </c>
      <c r="D284" s="10">
        <v>50698299</v>
      </c>
      <c r="E284" s="11">
        <v>3</v>
      </c>
      <c r="F284" s="12">
        <v>27766651</v>
      </c>
      <c r="G284" s="12">
        <v>28660116</v>
      </c>
      <c r="H284" s="12"/>
      <c r="I284" s="12"/>
      <c r="J284" s="12"/>
      <c r="K284" s="12"/>
      <c r="L284" s="12"/>
      <c r="M284" s="12"/>
      <c r="N284" s="12">
        <v>27766651</v>
      </c>
      <c r="O284" s="12">
        <v>28660116</v>
      </c>
      <c r="P284" s="11">
        <v>3.22</v>
      </c>
      <c r="Q284" s="12">
        <v>0</v>
      </c>
      <c r="R284" s="12">
        <v>116531</v>
      </c>
      <c r="S284" s="12">
        <v>27766651</v>
      </c>
      <c r="T284" s="12">
        <v>28660117</v>
      </c>
      <c r="U284" s="12">
        <v>27766651</v>
      </c>
      <c r="V284" s="12">
        <v>28543585</v>
      </c>
      <c r="W284" s="12">
        <v>0</v>
      </c>
      <c r="X284" s="12">
        <v>116532</v>
      </c>
      <c r="Y284" s="12">
        <v>2191</v>
      </c>
      <c r="Z284" s="12">
        <v>2164</v>
      </c>
      <c r="AA284" s="11">
        <v>-1.23</v>
      </c>
      <c r="AB284" s="12">
        <v>6836926</v>
      </c>
      <c r="AC284" s="12">
        <v>6836926</v>
      </c>
      <c r="AD284" s="12">
        <v>840000</v>
      </c>
      <c r="AE284" s="12">
        <v>840000</v>
      </c>
      <c r="AF284" s="12">
        <v>1968822</v>
      </c>
      <c r="AG284" s="12">
        <v>2027932</v>
      </c>
      <c r="AH284" s="11">
        <v>4</v>
      </c>
      <c r="AI284" s="11">
        <v>4</v>
      </c>
      <c r="AJ284" s="13"/>
    </row>
    <row r="285" spans="1:36" x14ac:dyDescent="0.25">
      <c r="A285" t="str">
        <f>"491401"</f>
        <v>491401</v>
      </c>
      <c r="B285" t="s">
        <v>372</v>
      </c>
      <c r="C285" s="10">
        <v>21170163</v>
      </c>
      <c r="D285" s="10">
        <v>21541352</v>
      </c>
      <c r="E285" s="11">
        <v>1.75</v>
      </c>
      <c r="F285" s="12">
        <v>8622342</v>
      </c>
      <c r="G285" s="12">
        <v>8536118</v>
      </c>
      <c r="H285" s="12"/>
      <c r="I285" s="12"/>
      <c r="J285" s="12"/>
      <c r="K285" s="12"/>
      <c r="L285" s="12"/>
      <c r="M285" s="12"/>
      <c r="N285" s="12">
        <v>8622342</v>
      </c>
      <c r="O285" s="12">
        <v>8536118</v>
      </c>
      <c r="P285" s="11">
        <v>-1</v>
      </c>
      <c r="Q285" s="12">
        <v>31133</v>
      </c>
      <c r="R285" s="12">
        <v>93160</v>
      </c>
      <c r="S285" s="12">
        <v>8787633</v>
      </c>
      <c r="T285" s="12">
        <v>8819320</v>
      </c>
      <c r="U285" s="12">
        <v>8591209</v>
      </c>
      <c r="V285" s="12">
        <v>8442958</v>
      </c>
      <c r="W285" s="12">
        <v>196424</v>
      </c>
      <c r="X285" s="12">
        <v>376362</v>
      </c>
      <c r="Y285" s="12">
        <v>917</v>
      </c>
      <c r="Z285" s="12">
        <v>886</v>
      </c>
      <c r="AA285" s="11">
        <v>-3.38</v>
      </c>
      <c r="AB285" s="12">
        <v>6938754</v>
      </c>
      <c r="AC285" s="12">
        <v>7157382</v>
      </c>
      <c r="AD285" s="12">
        <v>987464</v>
      </c>
      <c r="AE285" s="12">
        <v>1108080</v>
      </c>
      <c r="AF285" s="12">
        <v>846807</v>
      </c>
      <c r="AG285" s="12">
        <v>861654</v>
      </c>
      <c r="AH285" s="11">
        <v>4</v>
      </c>
      <c r="AI285" s="11">
        <v>4</v>
      </c>
      <c r="AJ285" s="13"/>
    </row>
    <row r="286" spans="1:36" x14ac:dyDescent="0.25">
      <c r="A286" t="str">
        <f>"490501"</f>
        <v>490501</v>
      </c>
      <c r="B286" t="s">
        <v>373</v>
      </c>
      <c r="C286" s="10">
        <v>23448979</v>
      </c>
      <c r="D286" s="10">
        <v>23277506</v>
      </c>
      <c r="E286" s="11">
        <v>-0.73</v>
      </c>
      <c r="F286" s="12">
        <v>9574996</v>
      </c>
      <c r="G286" s="12">
        <v>9560716</v>
      </c>
      <c r="H286" s="12"/>
      <c r="I286" s="12"/>
      <c r="J286" s="12"/>
      <c r="K286" s="12"/>
      <c r="L286" s="12"/>
      <c r="M286" s="12"/>
      <c r="N286" s="12">
        <v>9574996</v>
      </c>
      <c r="O286" s="12">
        <v>9560716</v>
      </c>
      <c r="P286" s="11">
        <v>-0.15</v>
      </c>
      <c r="Q286" s="12">
        <v>373386</v>
      </c>
      <c r="R286" s="12">
        <v>164791</v>
      </c>
      <c r="S286" s="12">
        <v>9201610</v>
      </c>
      <c r="T286" s="12">
        <v>9395925</v>
      </c>
      <c r="U286" s="12">
        <v>9201610</v>
      </c>
      <c r="V286" s="12">
        <v>9395925</v>
      </c>
      <c r="W286" s="12">
        <v>0</v>
      </c>
      <c r="X286" s="12">
        <v>0</v>
      </c>
      <c r="Y286" s="12">
        <v>1131</v>
      </c>
      <c r="Z286" s="12">
        <v>1145</v>
      </c>
      <c r="AA286" s="11">
        <v>1.24</v>
      </c>
      <c r="AB286" s="12">
        <v>1262235</v>
      </c>
      <c r="AC286" s="12">
        <v>1089693</v>
      </c>
      <c r="AD286" s="12">
        <v>2370376</v>
      </c>
      <c r="AE286" s="12">
        <v>2561020</v>
      </c>
      <c r="AF286" s="12">
        <v>918583</v>
      </c>
      <c r="AG286" s="12">
        <v>712637</v>
      </c>
      <c r="AH286" s="11">
        <v>3.92</v>
      </c>
      <c r="AI286" s="11">
        <v>3.06</v>
      </c>
      <c r="AJ286" s="13"/>
    </row>
    <row r="287" spans="1:36" x14ac:dyDescent="0.25">
      <c r="A287" t="str">
        <f>"571800"</f>
        <v>571800</v>
      </c>
      <c r="B287" t="s">
        <v>374</v>
      </c>
      <c r="C287" s="10">
        <v>38114393</v>
      </c>
      <c r="D287" s="10">
        <v>39510674</v>
      </c>
      <c r="E287" s="11">
        <v>3.66</v>
      </c>
      <c r="F287" s="12">
        <v>6853682</v>
      </c>
      <c r="G287" s="12">
        <v>7021817</v>
      </c>
      <c r="H287" s="12"/>
      <c r="I287" s="12"/>
      <c r="J287" s="12"/>
      <c r="K287" s="12"/>
      <c r="L287" s="12"/>
      <c r="M287" s="12"/>
      <c r="N287" s="12">
        <v>6853682</v>
      </c>
      <c r="O287" s="12">
        <v>7021817</v>
      </c>
      <c r="P287" s="11">
        <v>2.4500000000000002</v>
      </c>
      <c r="Q287" s="12">
        <v>0</v>
      </c>
      <c r="R287" s="12">
        <v>0</v>
      </c>
      <c r="S287" s="12">
        <v>7311039</v>
      </c>
      <c r="T287" s="12">
        <v>7091624</v>
      </c>
      <c r="U287" s="12">
        <v>6853682</v>
      </c>
      <c r="V287" s="12">
        <v>7021817</v>
      </c>
      <c r="W287" s="12">
        <v>457357</v>
      </c>
      <c r="X287" s="12">
        <v>69807</v>
      </c>
      <c r="Y287" s="12">
        <v>1632</v>
      </c>
      <c r="Z287" s="12">
        <v>1611</v>
      </c>
      <c r="AA287" s="11">
        <v>-1.29</v>
      </c>
      <c r="AB287" s="12">
        <v>9395372</v>
      </c>
      <c r="AC287" s="12">
        <v>11018936</v>
      </c>
      <c r="AD287" s="12">
        <v>1462363</v>
      </c>
      <c r="AE287" s="12">
        <v>910000</v>
      </c>
      <c r="AF287" s="12">
        <v>1310532</v>
      </c>
      <c r="AG287" s="12">
        <v>1580400</v>
      </c>
      <c r="AH287" s="11">
        <v>3.44</v>
      </c>
      <c r="AI287" s="11">
        <v>4</v>
      </c>
      <c r="AJ287" s="13"/>
    </row>
    <row r="288" spans="1:36" x14ac:dyDescent="0.25">
      <c r="A288" t="str">
        <f>"070901"</f>
        <v>070901</v>
      </c>
      <c r="B288" t="s">
        <v>375</v>
      </c>
      <c r="C288" s="10">
        <v>74993599</v>
      </c>
      <c r="D288" s="10">
        <v>77016203</v>
      </c>
      <c r="E288" s="11">
        <v>2.7</v>
      </c>
      <c r="F288" s="12">
        <v>36082023</v>
      </c>
      <c r="G288" s="12">
        <v>37374963</v>
      </c>
      <c r="H288" s="12"/>
      <c r="I288" s="12"/>
      <c r="J288" s="12"/>
      <c r="K288" s="12"/>
      <c r="L288" s="12"/>
      <c r="M288" s="12"/>
      <c r="N288" s="12">
        <v>36082023</v>
      </c>
      <c r="O288" s="12">
        <v>37374963</v>
      </c>
      <c r="P288" s="11">
        <v>3.58</v>
      </c>
      <c r="Q288" s="12">
        <v>0</v>
      </c>
      <c r="R288" s="12">
        <v>0</v>
      </c>
      <c r="S288" s="12">
        <v>36082023</v>
      </c>
      <c r="T288" s="12">
        <v>37374963</v>
      </c>
      <c r="U288" s="12">
        <v>36082023</v>
      </c>
      <c r="V288" s="12">
        <v>37374963</v>
      </c>
      <c r="W288" s="12">
        <v>0</v>
      </c>
      <c r="X288" s="12">
        <v>0</v>
      </c>
      <c r="Y288" s="12">
        <v>4016</v>
      </c>
      <c r="Z288" s="12">
        <v>3965</v>
      </c>
      <c r="AA288" s="11">
        <v>-1.27</v>
      </c>
      <c r="AB288" s="12">
        <v>20354482</v>
      </c>
      <c r="AC288" s="12">
        <v>12218532</v>
      </c>
      <c r="AD288" s="12">
        <v>2559334</v>
      </c>
      <c r="AE288" s="12">
        <v>2214334</v>
      </c>
      <c r="AF288" s="12">
        <v>2999744</v>
      </c>
      <c r="AG288" s="12">
        <v>3080648</v>
      </c>
      <c r="AH288" s="11">
        <v>4</v>
      </c>
      <c r="AI288" s="11">
        <v>4</v>
      </c>
      <c r="AJ288" s="13"/>
    </row>
    <row r="289" spans="1:36" x14ac:dyDescent="0.25">
      <c r="A289" t="str">
        <f>"101300"</f>
        <v>101300</v>
      </c>
      <c r="B289" t="s">
        <v>376</v>
      </c>
      <c r="C289" s="10">
        <v>46566172</v>
      </c>
      <c r="D289" s="10">
        <v>48769728</v>
      </c>
      <c r="E289" s="11">
        <v>4.7300000000000004</v>
      </c>
      <c r="F289" s="12">
        <v>22411833</v>
      </c>
      <c r="G289" s="12">
        <v>23140218</v>
      </c>
      <c r="H289" s="12"/>
      <c r="I289" s="12"/>
      <c r="J289" s="12"/>
      <c r="K289" s="12"/>
      <c r="L289" s="12"/>
      <c r="M289" s="12"/>
      <c r="N289" s="12">
        <v>22411833</v>
      </c>
      <c r="O289" s="12">
        <v>23140218</v>
      </c>
      <c r="P289" s="11">
        <v>3.25</v>
      </c>
      <c r="Q289" s="12">
        <v>565434</v>
      </c>
      <c r="R289" s="12">
        <v>572101</v>
      </c>
      <c r="S289" s="12">
        <v>21981399</v>
      </c>
      <c r="T289" s="12">
        <v>22702557</v>
      </c>
      <c r="U289" s="12">
        <v>21846399</v>
      </c>
      <c r="V289" s="12">
        <v>22568117</v>
      </c>
      <c r="W289" s="12">
        <v>135000</v>
      </c>
      <c r="X289" s="12">
        <v>134440</v>
      </c>
      <c r="Y289" s="12">
        <v>1789</v>
      </c>
      <c r="Z289" s="12">
        <v>1789</v>
      </c>
      <c r="AA289" s="11">
        <v>0</v>
      </c>
      <c r="AB289" s="12">
        <v>2214374</v>
      </c>
      <c r="AC289" s="12">
        <v>3104375</v>
      </c>
      <c r="AD289" s="12">
        <v>715000</v>
      </c>
      <c r="AE289" s="12">
        <v>0</v>
      </c>
      <c r="AF289" s="12">
        <v>2036957</v>
      </c>
      <c r="AG289" s="12">
        <v>1950789</v>
      </c>
      <c r="AH289" s="11">
        <v>4.37</v>
      </c>
      <c r="AI289" s="11">
        <v>4</v>
      </c>
      <c r="AJ289" s="13"/>
    </row>
    <row r="290" spans="1:36" x14ac:dyDescent="0.25">
      <c r="A290" t="str">
        <f>"641301"</f>
        <v>641301</v>
      </c>
      <c r="B290" t="s">
        <v>377</v>
      </c>
      <c r="C290" s="10">
        <v>44396412</v>
      </c>
      <c r="D290" s="10">
        <v>44319936</v>
      </c>
      <c r="E290" s="11">
        <v>-0.17</v>
      </c>
      <c r="F290" s="12">
        <v>12005984</v>
      </c>
      <c r="G290" s="12">
        <v>12234098</v>
      </c>
      <c r="H290" s="12"/>
      <c r="I290" s="12"/>
      <c r="J290" s="12"/>
      <c r="K290" s="12"/>
      <c r="L290" s="12"/>
      <c r="M290" s="12"/>
      <c r="N290" s="12">
        <v>12005984</v>
      </c>
      <c r="O290" s="12">
        <v>12234098</v>
      </c>
      <c r="P290" s="11">
        <v>1.9</v>
      </c>
      <c r="Q290" s="12">
        <v>0</v>
      </c>
      <c r="R290" s="12">
        <v>0</v>
      </c>
      <c r="S290" s="12">
        <v>12105881</v>
      </c>
      <c r="T290" s="12">
        <v>12526045</v>
      </c>
      <c r="U290" s="12">
        <v>12005984</v>
      </c>
      <c r="V290" s="12">
        <v>12234098</v>
      </c>
      <c r="W290" s="12">
        <v>99897</v>
      </c>
      <c r="X290" s="12">
        <v>291947</v>
      </c>
      <c r="Y290" s="12">
        <v>2394</v>
      </c>
      <c r="Z290" s="12">
        <v>2458</v>
      </c>
      <c r="AA290" s="11">
        <v>2.67</v>
      </c>
      <c r="AB290" s="12">
        <v>1514564</v>
      </c>
      <c r="AC290" s="12">
        <v>1415000</v>
      </c>
      <c r="AD290" s="12">
        <v>432542</v>
      </c>
      <c r="AE290" s="12">
        <v>420000</v>
      </c>
      <c r="AF290" s="12">
        <v>1558314</v>
      </c>
      <c r="AG290" s="12">
        <v>1630000</v>
      </c>
      <c r="AH290" s="11">
        <v>3.51</v>
      </c>
      <c r="AI290" s="11">
        <v>3.68</v>
      </c>
      <c r="AJ290" s="13"/>
    </row>
    <row r="291" spans="1:36" x14ac:dyDescent="0.25">
      <c r="A291" t="str">
        <f>"190901"</f>
        <v>190901</v>
      </c>
      <c r="B291" t="s">
        <v>378</v>
      </c>
      <c r="C291" s="10">
        <v>14042262</v>
      </c>
      <c r="D291" s="10">
        <v>14045643</v>
      </c>
      <c r="E291" s="11">
        <v>0.02</v>
      </c>
      <c r="F291" s="12">
        <v>10944526</v>
      </c>
      <c r="G291" s="12">
        <v>11163417</v>
      </c>
      <c r="H291" s="12"/>
      <c r="I291" s="12"/>
      <c r="J291" s="12"/>
      <c r="K291" s="12"/>
      <c r="L291" s="12"/>
      <c r="M291" s="12"/>
      <c r="N291" s="12">
        <v>10944526</v>
      </c>
      <c r="O291" s="12">
        <v>11163417</v>
      </c>
      <c r="P291" s="11">
        <v>2</v>
      </c>
      <c r="Q291" s="12">
        <v>1271036</v>
      </c>
      <c r="R291" s="12">
        <v>1282618</v>
      </c>
      <c r="S291" s="12">
        <v>9673490</v>
      </c>
      <c r="T291" s="12">
        <v>9890807</v>
      </c>
      <c r="U291" s="12">
        <v>9673490</v>
      </c>
      <c r="V291" s="12">
        <v>9880799</v>
      </c>
      <c r="W291" s="12">
        <v>0</v>
      </c>
      <c r="X291" s="12">
        <v>10008</v>
      </c>
      <c r="Y291" s="12">
        <v>368</v>
      </c>
      <c r="Z291" s="12">
        <v>343</v>
      </c>
      <c r="AA291" s="11">
        <v>-6.79</v>
      </c>
      <c r="AB291" s="12">
        <v>1629530</v>
      </c>
      <c r="AC291" s="12">
        <v>1633606</v>
      </c>
      <c r="AD291" s="12">
        <v>391217</v>
      </c>
      <c r="AE291" s="12">
        <v>148171</v>
      </c>
      <c r="AF291" s="12">
        <v>4068729</v>
      </c>
      <c r="AG291" s="12">
        <v>3568729</v>
      </c>
      <c r="AH291" s="11">
        <v>28.97</v>
      </c>
      <c r="AI291" s="11">
        <v>25.41</v>
      </c>
      <c r="AJ291" s="13"/>
    </row>
    <row r="292" spans="1:36" x14ac:dyDescent="0.25">
      <c r="A292" t="str">
        <f>"580403"</f>
        <v>580403</v>
      </c>
      <c r="B292" t="s">
        <v>379</v>
      </c>
      <c r="C292" s="10">
        <v>126213223</v>
      </c>
      <c r="D292" s="10">
        <v>129812991</v>
      </c>
      <c r="E292" s="11">
        <v>2.85</v>
      </c>
      <c r="F292" s="12">
        <v>104814107</v>
      </c>
      <c r="G292" s="12">
        <v>107625213</v>
      </c>
      <c r="H292" s="12"/>
      <c r="I292" s="12"/>
      <c r="J292" s="12"/>
      <c r="K292" s="12"/>
      <c r="L292" s="12"/>
      <c r="M292" s="12"/>
      <c r="N292" s="12">
        <v>104814107</v>
      </c>
      <c r="O292" s="12">
        <v>107625213</v>
      </c>
      <c r="P292" s="11">
        <v>2.68</v>
      </c>
      <c r="Q292" s="12">
        <v>0</v>
      </c>
      <c r="R292" s="12">
        <v>0</v>
      </c>
      <c r="S292" s="12">
        <v>105380527</v>
      </c>
      <c r="T292" s="12">
        <v>108100824</v>
      </c>
      <c r="U292" s="12">
        <v>104814107</v>
      </c>
      <c r="V292" s="12">
        <v>107625213</v>
      </c>
      <c r="W292" s="12">
        <v>566420</v>
      </c>
      <c r="X292" s="12">
        <v>475611</v>
      </c>
      <c r="Y292" s="12">
        <v>4921</v>
      </c>
      <c r="Z292" s="12">
        <v>4934</v>
      </c>
      <c r="AA292" s="11">
        <v>0.26</v>
      </c>
      <c r="AB292" s="12">
        <v>20299909</v>
      </c>
      <c r="AC292" s="12">
        <v>20328442</v>
      </c>
      <c r="AD292" s="12">
        <v>1400000</v>
      </c>
      <c r="AE292" s="12">
        <v>1400000</v>
      </c>
      <c r="AF292" s="12">
        <v>5048529</v>
      </c>
      <c r="AG292" s="12">
        <v>5192520</v>
      </c>
      <c r="AH292" s="11">
        <v>4</v>
      </c>
      <c r="AI292" s="11">
        <v>4</v>
      </c>
      <c r="AJ292" s="13"/>
    </row>
    <row r="293" spans="1:36" x14ac:dyDescent="0.25">
      <c r="A293" t="str">
        <f>"130801"</f>
        <v>130801</v>
      </c>
      <c r="B293" t="s">
        <v>380</v>
      </c>
      <c r="C293" s="10">
        <v>91733017</v>
      </c>
      <c r="D293" s="10">
        <v>95087640</v>
      </c>
      <c r="E293" s="11">
        <v>3.66</v>
      </c>
      <c r="F293" s="12">
        <v>58678866</v>
      </c>
      <c r="G293" s="12">
        <v>60166084</v>
      </c>
      <c r="H293" s="12"/>
      <c r="I293" s="12"/>
      <c r="J293" s="12"/>
      <c r="K293" s="12"/>
      <c r="L293" s="12"/>
      <c r="M293" s="12"/>
      <c r="N293" s="12">
        <v>58678866</v>
      </c>
      <c r="O293" s="12">
        <v>60166084</v>
      </c>
      <c r="P293" s="11">
        <v>2.5299999999999998</v>
      </c>
      <c r="Q293" s="12">
        <v>1556755</v>
      </c>
      <c r="R293" s="12">
        <v>1556417</v>
      </c>
      <c r="S293" s="12">
        <v>57545243</v>
      </c>
      <c r="T293" s="12">
        <v>58609667</v>
      </c>
      <c r="U293" s="12">
        <v>57122111</v>
      </c>
      <c r="V293" s="12">
        <v>58609667</v>
      </c>
      <c r="W293" s="12">
        <v>423132</v>
      </c>
      <c r="X293" s="12">
        <v>0</v>
      </c>
      <c r="Y293" s="12">
        <v>3542</v>
      </c>
      <c r="Z293" s="12">
        <v>3504</v>
      </c>
      <c r="AA293" s="11">
        <v>-1.07</v>
      </c>
      <c r="AB293" s="12">
        <v>14987375</v>
      </c>
      <c r="AC293" s="12">
        <v>14396009</v>
      </c>
      <c r="AD293" s="12">
        <v>2870470</v>
      </c>
      <c r="AE293" s="12">
        <v>4008910</v>
      </c>
      <c r="AF293" s="12">
        <v>2081474</v>
      </c>
      <c r="AG293" s="12">
        <v>2061574</v>
      </c>
      <c r="AH293" s="11">
        <v>2.27</v>
      </c>
      <c r="AI293" s="11">
        <v>2.17</v>
      </c>
      <c r="AJ293" s="13"/>
    </row>
    <row r="294" spans="1:36" x14ac:dyDescent="0.25">
      <c r="A294" t="str">
        <f>"200401"</f>
        <v>200401</v>
      </c>
      <c r="B294" t="s">
        <v>381</v>
      </c>
      <c r="C294" s="10">
        <v>6319590</v>
      </c>
      <c r="D294" s="10">
        <v>6447578</v>
      </c>
      <c r="E294" s="11">
        <v>2.0299999999999998</v>
      </c>
      <c r="F294" s="12">
        <v>4823090</v>
      </c>
      <c r="G294" s="12">
        <v>4972328</v>
      </c>
      <c r="H294" s="12"/>
      <c r="I294" s="12"/>
      <c r="J294" s="12"/>
      <c r="K294" s="12"/>
      <c r="L294" s="12"/>
      <c r="M294" s="12"/>
      <c r="N294" s="12">
        <v>4823090</v>
      </c>
      <c r="O294" s="12">
        <v>4972328</v>
      </c>
      <c r="P294" s="11">
        <v>3.09</v>
      </c>
      <c r="Q294" s="12">
        <v>246018</v>
      </c>
      <c r="R294" s="12">
        <v>293606</v>
      </c>
      <c r="S294" s="12">
        <v>4577152</v>
      </c>
      <c r="T294" s="12">
        <v>4686324</v>
      </c>
      <c r="U294" s="12">
        <v>4577072</v>
      </c>
      <c r="V294" s="12">
        <v>4678722</v>
      </c>
      <c r="W294" s="12">
        <v>80</v>
      </c>
      <c r="X294" s="12">
        <v>7602</v>
      </c>
      <c r="Y294" s="12">
        <v>119</v>
      </c>
      <c r="Z294" s="12">
        <v>116</v>
      </c>
      <c r="AA294" s="11">
        <v>-2.52</v>
      </c>
      <c r="AB294" s="12">
        <v>969327</v>
      </c>
      <c r="AC294" s="12">
        <v>878715</v>
      </c>
      <c r="AD294" s="12">
        <v>968549</v>
      </c>
      <c r="AE294" s="12">
        <v>784000</v>
      </c>
      <c r="AF294" s="12">
        <v>252784</v>
      </c>
      <c r="AG294" s="12">
        <v>257903</v>
      </c>
      <c r="AH294" s="11">
        <v>4</v>
      </c>
      <c r="AI294" s="11">
        <v>4</v>
      </c>
      <c r="AJ294" s="13"/>
    </row>
    <row r="295" spans="1:36" x14ac:dyDescent="0.25">
      <c r="A295" t="str">
        <f>"220301"</f>
        <v>220301</v>
      </c>
      <c r="B295" t="s">
        <v>382</v>
      </c>
      <c r="C295" s="10">
        <v>87383038</v>
      </c>
      <c r="D295" s="10">
        <v>88081682</v>
      </c>
      <c r="E295" s="11">
        <v>0.8</v>
      </c>
      <c r="F295" s="12">
        <v>3363355</v>
      </c>
      <c r="G295" s="12">
        <v>3363355</v>
      </c>
      <c r="H295" s="12"/>
      <c r="I295" s="12"/>
      <c r="J295" s="12"/>
      <c r="K295" s="12"/>
      <c r="L295" s="12"/>
      <c r="M295" s="12"/>
      <c r="N295" s="12">
        <v>3363355</v>
      </c>
      <c r="O295" s="12">
        <v>3363355</v>
      </c>
      <c r="P295" s="11">
        <v>0</v>
      </c>
      <c r="Q295" s="12">
        <v>738557</v>
      </c>
      <c r="R295" s="12">
        <v>1046000</v>
      </c>
      <c r="S295" s="12">
        <v>3292358</v>
      </c>
      <c r="T295" s="12">
        <v>2686900</v>
      </c>
      <c r="U295" s="12">
        <v>2624798</v>
      </c>
      <c r="V295" s="12">
        <v>2317355</v>
      </c>
      <c r="W295" s="12">
        <v>667560</v>
      </c>
      <c r="X295" s="12">
        <v>369545</v>
      </c>
      <c r="Y295" s="12">
        <v>3914</v>
      </c>
      <c r="Z295" s="12">
        <v>4002</v>
      </c>
      <c r="AA295" s="11">
        <v>2.25</v>
      </c>
      <c r="AB295" s="12">
        <v>9500000</v>
      </c>
      <c r="AC295" s="12">
        <v>13500000</v>
      </c>
      <c r="AD295" s="12">
        <v>19870968</v>
      </c>
      <c r="AE295" s="12">
        <v>17900879</v>
      </c>
      <c r="AF295" s="12">
        <v>2451968</v>
      </c>
      <c r="AG295" s="12">
        <v>8184218</v>
      </c>
      <c r="AH295" s="11">
        <v>2.81</v>
      </c>
      <c r="AI295" s="11">
        <v>9.2899999999999991</v>
      </c>
      <c r="AJ295" s="13"/>
    </row>
    <row r="296" spans="1:36" x14ac:dyDescent="0.25">
      <c r="A296" t="str">
        <f>"141301"</f>
        <v>141301</v>
      </c>
      <c r="B296" t="s">
        <v>383</v>
      </c>
      <c r="C296" s="10">
        <v>49026895</v>
      </c>
      <c r="D296" s="10">
        <v>51398334</v>
      </c>
      <c r="E296" s="11">
        <v>4.84</v>
      </c>
      <c r="F296" s="12">
        <v>28794017</v>
      </c>
      <c r="G296" s="12">
        <v>29626370</v>
      </c>
      <c r="H296" s="12"/>
      <c r="I296" s="12"/>
      <c r="J296" s="12"/>
      <c r="K296" s="12"/>
      <c r="L296" s="12"/>
      <c r="M296" s="12"/>
      <c r="N296" s="12">
        <v>28794017</v>
      </c>
      <c r="O296" s="12">
        <v>29626370</v>
      </c>
      <c r="P296" s="11">
        <v>2.89</v>
      </c>
      <c r="Q296" s="12">
        <v>76738</v>
      </c>
      <c r="R296" s="12">
        <v>145209</v>
      </c>
      <c r="S296" s="12">
        <v>28717279</v>
      </c>
      <c r="T296" s="12">
        <v>29481161</v>
      </c>
      <c r="U296" s="12">
        <v>28717279</v>
      </c>
      <c r="V296" s="12">
        <v>29481161</v>
      </c>
      <c r="W296" s="12">
        <v>0</v>
      </c>
      <c r="X296" s="12">
        <v>0</v>
      </c>
      <c r="Y296" s="12">
        <v>2197</v>
      </c>
      <c r="Z296" s="12">
        <v>2171</v>
      </c>
      <c r="AA296" s="11">
        <v>-1.18</v>
      </c>
      <c r="AB296" s="12">
        <v>7925183</v>
      </c>
      <c r="AC296" s="12">
        <v>8199684</v>
      </c>
      <c r="AD296" s="12">
        <v>1773612</v>
      </c>
      <c r="AE296" s="12">
        <v>1773612</v>
      </c>
      <c r="AF296" s="12">
        <v>1961075</v>
      </c>
      <c r="AG296" s="12">
        <v>2055933</v>
      </c>
      <c r="AH296" s="11">
        <v>4</v>
      </c>
      <c r="AI296" s="11">
        <v>4</v>
      </c>
      <c r="AJ296" s="13"/>
    </row>
    <row r="297" spans="1:36" x14ac:dyDescent="0.25">
      <c r="A297" t="str">
        <f>"660402"</f>
        <v>660402</v>
      </c>
      <c r="B297" t="s">
        <v>384</v>
      </c>
      <c r="C297" s="10">
        <v>59100494</v>
      </c>
      <c r="D297" s="10">
        <v>61348175</v>
      </c>
      <c r="E297" s="11">
        <v>3.8</v>
      </c>
      <c r="F297" s="12">
        <v>52422629</v>
      </c>
      <c r="G297" s="12">
        <v>54645877</v>
      </c>
      <c r="H297" s="12"/>
      <c r="I297" s="12"/>
      <c r="J297" s="12"/>
      <c r="K297" s="12"/>
      <c r="L297" s="12"/>
      <c r="M297" s="12"/>
      <c r="N297" s="12">
        <v>52422629</v>
      </c>
      <c r="O297" s="12">
        <v>54645877</v>
      </c>
      <c r="P297" s="11">
        <v>4.24</v>
      </c>
      <c r="Q297" s="12">
        <v>2718422</v>
      </c>
      <c r="R297" s="12">
        <v>2669627</v>
      </c>
      <c r="S297" s="12">
        <v>49704207</v>
      </c>
      <c r="T297" s="12">
        <v>51976250</v>
      </c>
      <c r="U297" s="12">
        <v>49704207</v>
      </c>
      <c r="V297" s="12">
        <v>51976250</v>
      </c>
      <c r="W297" s="12">
        <v>0</v>
      </c>
      <c r="X297" s="12">
        <v>0</v>
      </c>
      <c r="Y297" s="12">
        <v>1779</v>
      </c>
      <c r="Z297" s="12">
        <v>1771</v>
      </c>
      <c r="AA297" s="11">
        <v>-0.45</v>
      </c>
      <c r="AB297" s="12">
        <v>2848739</v>
      </c>
      <c r="AC297" s="12">
        <v>1935500</v>
      </c>
      <c r="AD297" s="12">
        <v>422500</v>
      </c>
      <c r="AE297" s="12">
        <v>422500</v>
      </c>
      <c r="AF297" s="12">
        <v>2364020</v>
      </c>
      <c r="AG297" s="12">
        <v>2453927</v>
      </c>
      <c r="AH297" s="11">
        <v>4</v>
      </c>
      <c r="AI297" s="11">
        <v>4</v>
      </c>
      <c r="AJ297" s="13"/>
    </row>
    <row r="298" spans="1:36" x14ac:dyDescent="0.25">
      <c r="A298" t="str">
        <f>"280231"</f>
        <v>280231</v>
      </c>
      <c r="B298" t="s">
        <v>385</v>
      </c>
      <c r="C298" s="10">
        <v>39312704</v>
      </c>
      <c r="D298" s="10">
        <v>39887986</v>
      </c>
      <c r="E298" s="11">
        <v>1.46</v>
      </c>
      <c r="F298" s="12">
        <v>31508198</v>
      </c>
      <c r="G298" s="12">
        <v>31982290</v>
      </c>
      <c r="H298" s="12"/>
      <c r="I298" s="12"/>
      <c r="J298" s="12"/>
      <c r="K298" s="12"/>
      <c r="L298" s="12"/>
      <c r="M298" s="12"/>
      <c r="N298" s="12">
        <v>31508198</v>
      </c>
      <c r="O298" s="12">
        <v>31982290</v>
      </c>
      <c r="P298" s="11">
        <v>1.5</v>
      </c>
      <c r="Q298" s="12">
        <v>1731113</v>
      </c>
      <c r="R298" s="12">
        <v>1865926</v>
      </c>
      <c r="S298" s="12">
        <v>30235352</v>
      </c>
      <c r="T298" s="12">
        <v>30637180</v>
      </c>
      <c r="U298" s="12">
        <v>29777085</v>
      </c>
      <c r="V298" s="12">
        <v>30116364</v>
      </c>
      <c r="W298" s="12">
        <v>458267</v>
      </c>
      <c r="X298" s="12">
        <v>520816</v>
      </c>
      <c r="Y298" s="12">
        <v>1066</v>
      </c>
      <c r="Z298" s="12">
        <v>1044</v>
      </c>
      <c r="AA298" s="11">
        <v>-2.06</v>
      </c>
      <c r="AB298" s="12">
        <v>10122778</v>
      </c>
      <c r="AC298" s="12">
        <v>9722481</v>
      </c>
      <c r="AD298" s="12">
        <v>3577635</v>
      </c>
      <c r="AE298" s="12">
        <v>3454536</v>
      </c>
      <c r="AF298" s="12">
        <v>1572508</v>
      </c>
      <c r="AG298" s="12">
        <v>1595519</v>
      </c>
      <c r="AH298" s="11">
        <v>4</v>
      </c>
      <c r="AI298" s="11">
        <v>4</v>
      </c>
      <c r="AJ298" s="13"/>
    </row>
    <row r="299" spans="1:36" x14ac:dyDescent="0.25">
      <c r="A299" t="str">
        <f>"280226"</f>
        <v>280226</v>
      </c>
      <c r="B299" t="s">
        <v>386</v>
      </c>
      <c r="C299" s="10">
        <v>63389838</v>
      </c>
      <c r="D299" s="10">
        <v>65143770</v>
      </c>
      <c r="E299" s="11">
        <v>2.77</v>
      </c>
      <c r="F299" s="12">
        <v>41992530</v>
      </c>
      <c r="G299" s="12">
        <v>43384509</v>
      </c>
      <c r="H299" s="12"/>
      <c r="I299" s="12"/>
      <c r="J299" s="12"/>
      <c r="K299" s="12"/>
      <c r="L299" s="12"/>
      <c r="M299" s="12"/>
      <c r="N299" s="12">
        <v>41992530</v>
      </c>
      <c r="O299" s="12">
        <v>43384509</v>
      </c>
      <c r="P299" s="11">
        <v>3.31</v>
      </c>
      <c r="Q299" s="12">
        <v>1574470</v>
      </c>
      <c r="R299" s="12">
        <v>2024514</v>
      </c>
      <c r="S299" s="12">
        <v>40418060</v>
      </c>
      <c r="T299" s="12">
        <v>41359995</v>
      </c>
      <c r="U299" s="12">
        <v>40418060</v>
      </c>
      <c r="V299" s="12">
        <v>41359995</v>
      </c>
      <c r="W299" s="12">
        <v>0</v>
      </c>
      <c r="X299" s="12">
        <v>0</v>
      </c>
      <c r="Y299" s="12">
        <v>2281</v>
      </c>
      <c r="Z299" s="12">
        <v>2262</v>
      </c>
      <c r="AA299" s="11">
        <v>-0.83</v>
      </c>
      <c r="AB299" s="12">
        <v>4548161</v>
      </c>
      <c r="AC299" s="12">
        <v>4506804</v>
      </c>
      <c r="AD299" s="12">
        <v>2550000</v>
      </c>
      <c r="AE299" s="12">
        <v>2550000</v>
      </c>
      <c r="AF299" s="12">
        <v>2511597</v>
      </c>
      <c r="AG299" s="12">
        <v>2605750</v>
      </c>
      <c r="AH299" s="11">
        <v>3.96</v>
      </c>
      <c r="AI299" s="11">
        <v>4</v>
      </c>
      <c r="AJ299" s="13"/>
    </row>
    <row r="300" spans="1:36" x14ac:dyDescent="0.25">
      <c r="A300" t="str">
        <f>"580502"</f>
        <v>580502</v>
      </c>
      <c r="B300" t="s">
        <v>387</v>
      </c>
      <c r="C300" s="10">
        <v>82443203</v>
      </c>
      <c r="D300" s="10">
        <v>83956103</v>
      </c>
      <c r="E300" s="11">
        <v>1.84</v>
      </c>
      <c r="F300" s="12">
        <v>57425613</v>
      </c>
      <c r="G300" s="12">
        <v>58377597</v>
      </c>
      <c r="H300" s="12"/>
      <c r="I300" s="12"/>
      <c r="J300" s="12"/>
      <c r="K300" s="12"/>
      <c r="L300" s="12"/>
      <c r="M300" s="12"/>
      <c r="N300" s="12">
        <v>57425613</v>
      </c>
      <c r="O300" s="12">
        <v>58377597</v>
      </c>
      <c r="P300" s="11">
        <v>1.66</v>
      </c>
      <c r="Q300" s="12">
        <v>2204300</v>
      </c>
      <c r="R300" s="12">
        <v>2095222</v>
      </c>
      <c r="S300" s="12">
        <v>55221313</v>
      </c>
      <c r="T300" s="12">
        <v>56282375</v>
      </c>
      <c r="U300" s="12">
        <v>55221313</v>
      </c>
      <c r="V300" s="12">
        <v>56282375</v>
      </c>
      <c r="W300" s="12">
        <v>0</v>
      </c>
      <c r="X300" s="12">
        <v>0</v>
      </c>
      <c r="Y300" s="12">
        <v>2790</v>
      </c>
      <c r="Z300" s="12">
        <v>2715</v>
      </c>
      <c r="AA300" s="11">
        <v>-2.69</v>
      </c>
      <c r="AB300" s="12">
        <v>5083470</v>
      </c>
      <c r="AC300" s="12">
        <v>5080000</v>
      </c>
      <c r="AD300" s="12">
        <v>2000000</v>
      </c>
      <c r="AE300" s="12">
        <v>2000000</v>
      </c>
      <c r="AF300" s="12">
        <v>3156608</v>
      </c>
      <c r="AG300" s="12">
        <v>2800000</v>
      </c>
      <c r="AH300" s="11">
        <v>3.83</v>
      </c>
      <c r="AI300" s="11">
        <v>3.34</v>
      </c>
      <c r="AJ300" s="13"/>
    </row>
    <row r="301" spans="1:36" x14ac:dyDescent="0.25">
      <c r="A301" t="str">
        <f>"610600"</f>
        <v>610600</v>
      </c>
      <c r="B301" t="s">
        <v>388</v>
      </c>
      <c r="C301" s="10">
        <v>124689000</v>
      </c>
      <c r="D301" s="10">
        <v>128466376</v>
      </c>
      <c r="E301" s="11">
        <v>3.03</v>
      </c>
      <c r="F301" s="12">
        <v>85717703</v>
      </c>
      <c r="G301" s="12">
        <v>87594206</v>
      </c>
      <c r="H301" s="12"/>
      <c r="I301" s="12"/>
      <c r="J301" s="12"/>
      <c r="K301" s="12"/>
      <c r="L301" s="12"/>
      <c r="M301" s="12"/>
      <c r="N301" s="12">
        <v>85717703</v>
      </c>
      <c r="O301" s="12">
        <v>87594206</v>
      </c>
      <c r="P301" s="11">
        <v>2.19</v>
      </c>
      <c r="Q301" s="12">
        <v>5088037</v>
      </c>
      <c r="R301" s="12">
        <v>4472121</v>
      </c>
      <c r="S301" s="12">
        <v>80629666</v>
      </c>
      <c r="T301" s="12">
        <v>83122085</v>
      </c>
      <c r="U301" s="12">
        <v>80629666</v>
      </c>
      <c r="V301" s="12">
        <v>83122085</v>
      </c>
      <c r="W301" s="12">
        <v>0</v>
      </c>
      <c r="X301" s="12">
        <v>0</v>
      </c>
      <c r="Y301" s="12">
        <v>5254</v>
      </c>
      <c r="Z301" s="12">
        <v>5257</v>
      </c>
      <c r="AA301" s="11">
        <v>0.06</v>
      </c>
      <c r="AB301" s="12">
        <v>7406039</v>
      </c>
      <c r="AC301" s="12">
        <v>6466831</v>
      </c>
      <c r="AD301" s="12">
        <v>3330000</v>
      </c>
      <c r="AE301" s="12">
        <v>3230000</v>
      </c>
      <c r="AF301" s="12">
        <v>4878918</v>
      </c>
      <c r="AG301" s="12">
        <v>5074422</v>
      </c>
      <c r="AH301" s="11">
        <v>3.91</v>
      </c>
      <c r="AI301" s="11">
        <v>3.95</v>
      </c>
      <c r="AJ301" s="13"/>
    </row>
    <row r="302" spans="1:36" x14ac:dyDescent="0.25">
      <c r="A302" t="str">
        <f>"061700"</f>
        <v>061700</v>
      </c>
      <c r="B302" t="s">
        <v>389</v>
      </c>
      <c r="C302" s="10">
        <v>84948220</v>
      </c>
      <c r="D302" s="10">
        <v>86228702</v>
      </c>
      <c r="E302" s="11">
        <v>1.51</v>
      </c>
      <c r="F302" s="12">
        <v>14641567</v>
      </c>
      <c r="G302" s="12">
        <v>14641567</v>
      </c>
      <c r="H302" s="12"/>
      <c r="I302" s="12"/>
      <c r="J302" s="12"/>
      <c r="K302" s="12"/>
      <c r="L302" s="12"/>
      <c r="M302" s="12"/>
      <c r="N302" s="12">
        <v>14641567</v>
      </c>
      <c r="O302" s="12">
        <v>14641567</v>
      </c>
      <c r="P302" s="11">
        <v>0</v>
      </c>
      <c r="Q302" s="12">
        <v>559578</v>
      </c>
      <c r="R302" s="12">
        <v>309731</v>
      </c>
      <c r="S302" s="12">
        <v>14514240</v>
      </c>
      <c r="T302" s="12">
        <v>14417383</v>
      </c>
      <c r="U302" s="12">
        <v>14081989</v>
      </c>
      <c r="V302" s="12">
        <v>14331836</v>
      </c>
      <c r="W302" s="12">
        <v>432251</v>
      </c>
      <c r="X302" s="12">
        <v>85547</v>
      </c>
      <c r="Y302" s="12">
        <v>4572</v>
      </c>
      <c r="Z302" s="12">
        <v>4560</v>
      </c>
      <c r="AA302" s="11">
        <v>-0.26</v>
      </c>
      <c r="AB302" s="12">
        <v>3547762</v>
      </c>
      <c r="AC302" s="12">
        <v>7680832</v>
      </c>
      <c r="AD302" s="12">
        <v>500000</v>
      </c>
      <c r="AE302" s="12">
        <v>1000000</v>
      </c>
      <c r="AF302" s="12">
        <v>6404889</v>
      </c>
      <c r="AG302" s="12">
        <v>3370888</v>
      </c>
      <c r="AH302" s="11">
        <v>7.54</v>
      </c>
      <c r="AI302" s="11">
        <v>3.91</v>
      </c>
      <c r="AJ302" s="13"/>
    </row>
    <row r="303" spans="1:36" x14ac:dyDescent="0.25">
      <c r="A303" t="str">
        <f>"420411"</f>
        <v>420411</v>
      </c>
      <c r="B303" t="s">
        <v>390</v>
      </c>
      <c r="C303" s="10">
        <v>54632366</v>
      </c>
      <c r="D303" s="10">
        <v>56269994</v>
      </c>
      <c r="E303" s="11">
        <v>3</v>
      </c>
      <c r="F303" s="12">
        <v>38607433</v>
      </c>
      <c r="G303" s="12">
        <v>39400433</v>
      </c>
      <c r="H303" s="12"/>
      <c r="I303" s="12"/>
      <c r="J303" s="12"/>
      <c r="K303" s="12"/>
      <c r="L303" s="12"/>
      <c r="M303" s="12"/>
      <c r="N303" s="12">
        <v>38607433</v>
      </c>
      <c r="O303" s="12">
        <v>39400433</v>
      </c>
      <c r="P303" s="11">
        <v>2.0499999999999998</v>
      </c>
      <c r="Q303" s="12">
        <v>1283737</v>
      </c>
      <c r="R303" s="12">
        <v>1086110</v>
      </c>
      <c r="S303" s="12">
        <v>37323696</v>
      </c>
      <c r="T303" s="12">
        <v>38314323</v>
      </c>
      <c r="U303" s="12">
        <v>37323696</v>
      </c>
      <c r="V303" s="12">
        <v>38314323</v>
      </c>
      <c r="W303" s="12">
        <v>0</v>
      </c>
      <c r="X303" s="12">
        <v>0</v>
      </c>
      <c r="Y303" s="12">
        <v>2806</v>
      </c>
      <c r="Z303" s="12">
        <v>2734</v>
      </c>
      <c r="AA303" s="11">
        <v>-2.57</v>
      </c>
      <c r="AB303" s="12">
        <v>3917983</v>
      </c>
      <c r="AC303" s="12">
        <v>4068037</v>
      </c>
      <c r="AD303" s="12">
        <v>1261742</v>
      </c>
      <c r="AE303" s="12">
        <v>1280102</v>
      </c>
      <c r="AF303" s="12">
        <v>2185295</v>
      </c>
      <c r="AG303" s="12">
        <v>2250800</v>
      </c>
      <c r="AH303" s="11">
        <v>4</v>
      </c>
      <c r="AI303" s="11">
        <v>4</v>
      </c>
      <c r="AJ303" s="13"/>
    </row>
    <row r="304" spans="1:36" x14ac:dyDescent="0.25">
      <c r="A304" t="str">
        <f>"572702"</f>
        <v>572702</v>
      </c>
      <c r="B304" t="s">
        <v>391</v>
      </c>
      <c r="C304" s="10">
        <v>12128221</v>
      </c>
      <c r="D304" s="10">
        <v>11963051</v>
      </c>
      <c r="E304" s="11">
        <v>-1.36</v>
      </c>
      <c r="F304" s="12">
        <v>2749312</v>
      </c>
      <c r="G304" s="12">
        <v>2749312</v>
      </c>
      <c r="H304" s="12"/>
      <c r="I304" s="12"/>
      <c r="J304" s="12"/>
      <c r="K304" s="12"/>
      <c r="L304" s="12"/>
      <c r="M304" s="12"/>
      <c r="N304" s="12">
        <v>2749312</v>
      </c>
      <c r="O304" s="12">
        <v>2749312</v>
      </c>
      <c r="P304" s="11">
        <v>0</v>
      </c>
      <c r="Q304" s="12">
        <v>0</v>
      </c>
      <c r="R304" s="12">
        <v>0</v>
      </c>
      <c r="S304" s="12">
        <v>2749312</v>
      </c>
      <c r="T304" s="12">
        <v>2749312</v>
      </c>
      <c r="U304" s="12">
        <v>2749312</v>
      </c>
      <c r="V304" s="12">
        <v>2749312</v>
      </c>
      <c r="W304" s="12">
        <v>0</v>
      </c>
      <c r="X304" s="12">
        <v>0</v>
      </c>
      <c r="Y304" s="12">
        <v>442</v>
      </c>
      <c r="Z304" s="12">
        <v>445</v>
      </c>
      <c r="AA304" s="11">
        <v>0.68</v>
      </c>
      <c r="AB304" s="12">
        <v>2002315</v>
      </c>
      <c r="AC304" s="12">
        <v>2002315</v>
      </c>
      <c r="AD304" s="12">
        <v>695378</v>
      </c>
      <c r="AE304" s="12">
        <v>427736</v>
      </c>
      <c r="AF304" s="12">
        <v>509753</v>
      </c>
      <c r="AG304" s="12">
        <v>478522</v>
      </c>
      <c r="AH304" s="11">
        <v>4.2</v>
      </c>
      <c r="AI304" s="11">
        <v>4</v>
      </c>
      <c r="AJ304" s="13"/>
    </row>
    <row r="305" spans="1:36" x14ac:dyDescent="0.25">
      <c r="A305" t="str">
        <f>"540901"</f>
        <v>540901</v>
      </c>
      <c r="B305" t="s">
        <v>392</v>
      </c>
      <c r="C305" s="10">
        <v>6587718</v>
      </c>
      <c r="D305" s="10">
        <v>6981355</v>
      </c>
      <c r="E305" s="11">
        <v>5.98</v>
      </c>
      <c r="F305" s="12">
        <v>2793824</v>
      </c>
      <c r="G305" s="12">
        <v>2849700</v>
      </c>
      <c r="H305" s="12"/>
      <c r="I305" s="12"/>
      <c r="J305" s="12"/>
      <c r="K305" s="12"/>
      <c r="L305" s="12"/>
      <c r="M305" s="12"/>
      <c r="N305" s="12">
        <v>2793824</v>
      </c>
      <c r="O305" s="12">
        <v>2849700</v>
      </c>
      <c r="P305" s="11">
        <v>2</v>
      </c>
      <c r="Q305" s="12">
        <v>199473</v>
      </c>
      <c r="R305" s="12">
        <v>206424</v>
      </c>
      <c r="S305" s="12">
        <v>2594351</v>
      </c>
      <c r="T305" s="12">
        <v>2643276</v>
      </c>
      <c r="U305" s="12">
        <v>2594351</v>
      </c>
      <c r="V305" s="12">
        <v>2643276</v>
      </c>
      <c r="W305" s="12">
        <v>0</v>
      </c>
      <c r="X305" s="12">
        <v>0</v>
      </c>
      <c r="Y305" s="12">
        <v>215</v>
      </c>
      <c r="Z305" s="12">
        <v>215</v>
      </c>
      <c r="AA305" s="11">
        <v>0</v>
      </c>
      <c r="AB305" s="12">
        <v>636224</v>
      </c>
      <c r="AC305" s="12">
        <v>549285</v>
      </c>
      <c r="AD305" s="12">
        <v>446160</v>
      </c>
      <c r="AE305" s="12">
        <v>315259</v>
      </c>
      <c r="AF305" s="12">
        <v>840562</v>
      </c>
      <c r="AG305" s="12">
        <v>686851</v>
      </c>
      <c r="AH305" s="11">
        <v>12.76</v>
      </c>
      <c r="AI305" s="11">
        <v>9.84</v>
      </c>
      <c r="AJ305" s="13"/>
    </row>
    <row r="306" spans="1:36" x14ac:dyDescent="0.25">
      <c r="A306" t="str">
        <f>"280515"</f>
        <v>280515</v>
      </c>
      <c r="B306" t="s">
        <v>393</v>
      </c>
      <c r="C306" s="10">
        <v>122669127</v>
      </c>
      <c r="D306" s="10">
        <v>122653735</v>
      </c>
      <c r="E306" s="11">
        <v>-0.01</v>
      </c>
      <c r="F306" s="12">
        <v>106236917</v>
      </c>
      <c r="G306" s="12">
        <v>106236917</v>
      </c>
      <c r="H306" s="12"/>
      <c r="I306" s="12"/>
      <c r="J306" s="12"/>
      <c r="K306" s="12"/>
      <c r="L306" s="12"/>
      <c r="M306" s="12"/>
      <c r="N306" s="12">
        <v>106236917</v>
      </c>
      <c r="O306" s="12">
        <v>106236917</v>
      </c>
      <c r="P306" s="11">
        <v>0</v>
      </c>
      <c r="Q306" s="12">
        <v>1787275</v>
      </c>
      <c r="R306" s="12">
        <v>1578165</v>
      </c>
      <c r="S306" s="12">
        <v>106064468</v>
      </c>
      <c r="T306" s="12">
        <v>106168797</v>
      </c>
      <c r="U306" s="12">
        <v>104449642</v>
      </c>
      <c r="V306" s="12">
        <v>104658752</v>
      </c>
      <c r="W306" s="12">
        <v>1614826</v>
      </c>
      <c r="X306" s="12">
        <v>1510045</v>
      </c>
      <c r="Y306" s="12">
        <v>3083</v>
      </c>
      <c r="Z306" s="12">
        <v>2978</v>
      </c>
      <c r="AA306" s="11">
        <v>-3.41</v>
      </c>
      <c r="AB306" s="12">
        <v>47529542</v>
      </c>
      <c r="AC306" s="12">
        <v>42436172</v>
      </c>
      <c r="AD306" s="12">
        <v>5324198</v>
      </c>
      <c r="AE306" s="12">
        <v>4100000</v>
      </c>
      <c r="AF306" s="12">
        <v>4906765</v>
      </c>
      <c r="AG306" s="12">
        <v>4906149</v>
      </c>
      <c r="AH306" s="11">
        <v>4</v>
      </c>
      <c r="AI306" s="11">
        <v>4</v>
      </c>
      <c r="AJ306" s="13"/>
    </row>
    <row r="307" spans="1:36" x14ac:dyDescent="0.25">
      <c r="A307" t="str">
        <f>"630601"</f>
        <v>630601</v>
      </c>
      <c r="B307" t="s">
        <v>394</v>
      </c>
      <c r="C307" s="10">
        <v>10631439</v>
      </c>
      <c r="D307" s="10">
        <v>10882083</v>
      </c>
      <c r="E307" s="11">
        <v>2.36</v>
      </c>
      <c r="F307" s="12">
        <v>5694816</v>
      </c>
      <c r="G307" s="12">
        <v>5803501</v>
      </c>
      <c r="H307" s="12"/>
      <c r="I307" s="12"/>
      <c r="J307" s="12"/>
      <c r="K307" s="12"/>
      <c r="L307" s="12"/>
      <c r="M307" s="12"/>
      <c r="N307" s="12">
        <v>5694816</v>
      </c>
      <c r="O307" s="12">
        <v>5803501</v>
      </c>
      <c r="P307" s="11">
        <v>1.91</v>
      </c>
      <c r="Q307" s="12">
        <v>0</v>
      </c>
      <c r="R307" s="12">
        <v>0</v>
      </c>
      <c r="S307" s="12">
        <v>5694816</v>
      </c>
      <c r="T307" s="12">
        <v>5803501</v>
      </c>
      <c r="U307" s="12">
        <v>5694816</v>
      </c>
      <c r="V307" s="12">
        <v>5803501</v>
      </c>
      <c r="W307" s="12">
        <v>0</v>
      </c>
      <c r="X307" s="12">
        <v>0</v>
      </c>
      <c r="Y307" s="12">
        <v>346</v>
      </c>
      <c r="Z307" s="12">
        <v>350</v>
      </c>
      <c r="AA307" s="11">
        <v>1.1599999999999999</v>
      </c>
      <c r="AB307" s="12">
        <v>461630</v>
      </c>
      <c r="AC307" s="12">
        <v>446157</v>
      </c>
      <c r="AD307" s="12">
        <v>1098023</v>
      </c>
      <c r="AE307" s="12">
        <v>1014959</v>
      </c>
      <c r="AF307" s="12">
        <v>372219</v>
      </c>
      <c r="AG307" s="12">
        <v>435283</v>
      </c>
      <c r="AH307" s="11">
        <v>3.5</v>
      </c>
      <c r="AI307" s="11">
        <v>4</v>
      </c>
      <c r="AJ307" s="13"/>
    </row>
    <row r="308" spans="1:36" x14ac:dyDescent="0.25">
      <c r="A308" t="str">
        <f>"031502"</f>
        <v>031502</v>
      </c>
      <c r="B308" t="s">
        <v>395</v>
      </c>
      <c r="C308" s="10">
        <v>54007539</v>
      </c>
      <c r="D308" s="10">
        <v>55471304</v>
      </c>
      <c r="E308" s="11">
        <v>2.71</v>
      </c>
      <c r="F308" s="12">
        <v>25445630</v>
      </c>
      <c r="G308" s="12">
        <v>26084235</v>
      </c>
      <c r="H308" s="12"/>
      <c r="I308" s="12"/>
      <c r="J308" s="12"/>
      <c r="K308" s="12"/>
      <c r="L308" s="12"/>
      <c r="M308" s="12"/>
      <c r="N308" s="12">
        <v>25445630</v>
      </c>
      <c r="O308" s="12">
        <v>26084235</v>
      </c>
      <c r="P308" s="11">
        <v>2.5099999999999998</v>
      </c>
      <c r="Q308" s="12">
        <v>917287</v>
      </c>
      <c r="R308" s="12">
        <v>978265</v>
      </c>
      <c r="S308" s="12">
        <v>24528343</v>
      </c>
      <c r="T308" s="12">
        <v>25105970</v>
      </c>
      <c r="U308" s="12">
        <v>24528343</v>
      </c>
      <c r="V308" s="12">
        <v>25105970</v>
      </c>
      <c r="W308" s="12">
        <v>0</v>
      </c>
      <c r="X308" s="12">
        <v>0</v>
      </c>
      <c r="Y308" s="12">
        <v>2495</v>
      </c>
      <c r="Z308" s="12">
        <v>2450</v>
      </c>
      <c r="AA308" s="11">
        <v>-1.8</v>
      </c>
      <c r="AB308" s="12">
        <v>4434279</v>
      </c>
      <c r="AC308" s="12">
        <v>5298381</v>
      </c>
      <c r="AD308" s="12">
        <v>750000</v>
      </c>
      <c r="AE308" s="12">
        <v>1900000</v>
      </c>
      <c r="AF308" s="12">
        <v>2060825</v>
      </c>
      <c r="AG308" s="12">
        <v>2067246</v>
      </c>
      <c r="AH308" s="11">
        <v>3.82</v>
      </c>
      <c r="AI308" s="11">
        <v>3.73</v>
      </c>
      <c r="AJ308" s="13"/>
    </row>
    <row r="309" spans="1:36" x14ac:dyDescent="0.25">
      <c r="A309" t="str">
        <f>"170600"</f>
        <v>170600</v>
      </c>
      <c r="B309" t="s">
        <v>396</v>
      </c>
      <c r="C309" s="10">
        <v>33899964</v>
      </c>
      <c r="D309" s="10">
        <v>35750076</v>
      </c>
      <c r="E309" s="11">
        <v>5.46</v>
      </c>
      <c r="F309" s="12">
        <v>8297162</v>
      </c>
      <c r="G309" s="12">
        <v>8703723</v>
      </c>
      <c r="H309" s="12"/>
      <c r="I309" s="12"/>
      <c r="J309" s="12"/>
      <c r="K309" s="12"/>
      <c r="L309" s="12"/>
      <c r="M309" s="12"/>
      <c r="N309" s="12">
        <v>8297162</v>
      </c>
      <c r="O309" s="12">
        <v>8703723</v>
      </c>
      <c r="P309" s="11">
        <v>4.9000000000000004</v>
      </c>
      <c r="Q309" s="12">
        <v>417457</v>
      </c>
      <c r="R309" s="12">
        <v>0</v>
      </c>
      <c r="S309" s="12">
        <v>8110514</v>
      </c>
      <c r="T309" s="12">
        <v>8090475</v>
      </c>
      <c r="U309" s="12">
        <v>7879705</v>
      </c>
      <c r="V309" s="12">
        <v>8703723</v>
      </c>
      <c r="W309" s="12">
        <v>230809</v>
      </c>
      <c r="X309" s="12">
        <v>-613248</v>
      </c>
      <c r="Y309" s="12">
        <v>1720</v>
      </c>
      <c r="Z309" s="12">
        <v>1739</v>
      </c>
      <c r="AA309" s="11">
        <v>1.1000000000000001</v>
      </c>
      <c r="AB309" s="12">
        <v>5066563</v>
      </c>
      <c r="AC309" s="12">
        <v>4910763</v>
      </c>
      <c r="AD309" s="12">
        <v>5568265</v>
      </c>
      <c r="AE309" s="12">
        <v>2122376</v>
      </c>
      <c r="AF309" s="12">
        <v>2180947</v>
      </c>
      <c r="AG309" s="12">
        <v>1624533</v>
      </c>
      <c r="AH309" s="11">
        <v>6.43</v>
      </c>
      <c r="AI309" s="11">
        <v>4.54</v>
      </c>
      <c r="AJ309" s="13"/>
    </row>
    <row r="310" spans="1:36" x14ac:dyDescent="0.25">
      <c r="A310" t="str">
        <f>"420501"</f>
        <v>420501</v>
      </c>
      <c r="B310" t="s">
        <v>397</v>
      </c>
      <c r="C310" s="10">
        <v>30400000</v>
      </c>
      <c r="D310" s="10">
        <v>31027272</v>
      </c>
      <c r="E310" s="11">
        <v>2.06</v>
      </c>
      <c r="F310" s="12">
        <v>12239336</v>
      </c>
      <c r="G310" s="12">
        <v>12471747</v>
      </c>
      <c r="H310" s="12"/>
      <c r="I310" s="12"/>
      <c r="J310" s="12"/>
      <c r="K310" s="12"/>
      <c r="L310" s="12"/>
      <c r="M310" s="12"/>
      <c r="N310" s="12">
        <v>12239336</v>
      </c>
      <c r="O310" s="12">
        <v>12471747</v>
      </c>
      <c r="P310" s="11">
        <v>1.9</v>
      </c>
      <c r="Q310" s="12">
        <v>681204</v>
      </c>
      <c r="R310" s="12">
        <v>599454</v>
      </c>
      <c r="S310" s="12">
        <v>11569681</v>
      </c>
      <c r="T310" s="12">
        <v>11991581</v>
      </c>
      <c r="U310" s="12">
        <v>11558132</v>
      </c>
      <c r="V310" s="12">
        <v>11872293</v>
      </c>
      <c r="W310" s="12">
        <v>11549</v>
      </c>
      <c r="X310" s="12">
        <v>119288</v>
      </c>
      <c r="Y310" s="12">
        <v>1206</v>
      </c>
      <c r="Z310" s="12">
        <v>1192</v>
      </c>
      <c r="AA310" s="11">
        <v>-1.1599999999999999</v>
      </c>
      <c r="AB310" s="12">
        <v>3633658</v>
      </c>
      <c r="AC310" s="12">
        <v>3930996</v>
      </c>
      <c r="AD310" s="12">
        <v>1220194</v>
      </c>
      <c r="AE310" s="12">
        <v>1520000</v>
      </c>
      <c r="AF310" s="12">
        <v>1296493</v>
      </c>
      <c r="AG310" s="12">
        <v>1337280</v>
      </c>
      <c r="AH310" s="11">
        <v>4.26</v>
      </c>
      <c r="AI310" s="11">
        <v>4.3099999999999996</v>
      </c>
      <c r="AJ310" s="13"/>
    </row>
    <row r="311" spans="1:36" x14ac:dyDescent="0.25">
      <c r="A311" t="str">
        <f>"660101"</f>
        <v>660101</v>
      </c>
      <c r="B311" t="s">
        <v>398</v>
      </c>
      <c r="C311" s="10">
        <v>106809945</v>
      </c>
      <c r="D311" s="10">
        <v>108692382</v>
      </c>
      <c r="E311" s="11">
        <v>1.76</v>
      </c>
      <c r="F311" s="12">
        <v>94423461</v>
      </c>
      <c r="G311" s="12">
        <v>96400287</v>
      </c>
      <c r="H311" s="12"/>
      <c r="I311" s="12"/>
      <c r="J311" s="12"/>
      <c r="K311" s="12"/>
      <c r="L311" s="12"/>
      <c r="M311" s="12"/>
      <c r="N311" s="12">
        <v>94423461</v>
      </c>
      <c r="O311" s="12">
        <v>96400287</v>
      </c>
      <c r="P311" s="11">
        <v>2.09</v>
      </c>
      <c r="Q311" s="12">
        <v>1881692</v>
      </c>
      <c r="R311" s="12">
        <v>1736883</v>
      </c>
      <c r="S311" s="12">
        <v>92762428</v>
      </c>
      <c r="T311" s="12">
        <v>94806745</v>
      </c>
      <c r="U311" s="12">
        <v>92541769</v>
      </c>
      <c r="V311" s="12">
        <v>94663404</v>
      </c>
      <c r="W311" s="12">
        <v>220659</v>
      </c>
      <c r="X311" s="12">
        <v>143341</v>
      </c>
      <c r="Y311" s="12">
        <v>3039</v>
      </c>
      <c r="Z311" s="12">
        <v>2994</v>
      </c>
      <c r="AA311" s="11">
        <v>-1.48</v>
      </c>
      <c r="AB311" s="12">
        <v>7875103</v>
      </c>
      <c r="AC311" s="12">
        <v>7907669</v>
      </c>
      <c r="AD311" s="12">
        <v>3586430</v>
      </c>
      <c r="AE311" s="12">
        <v>3322514</v>
      </c>
      <c r="AF311" s="12">
        <v>3891884</v>
      </c>
      <c r="AG311" s="12">
        <v>4052717</v>
      </c>
      <c r="AH311" s="11">
        <v>3.64</v>
      </c>
      <c r="AI311" s="11">
        <v>3.73</v>
      </c>
      <c r="AJ311" s="13"/>
    </row>
    <row r="312" spans="1:36" x14ac:dyDescent="0.25">
      <c r="A312" t="str">
        <f>"150601"</f>
        <v>150601</v>
      </c>
      <c r="B312" t="s">
        <v>399</v>
      </c>
      <c r="C312" s="10">
        <v>6104676</v>
      </c>
      <c r="D312" s="10">
        <v>6254746</v>
      </c>
      <c r="E312" s="11">
        <v>2.46</v>
      </c>
      <c r="F312" s="12">
        <v>4981181</v>
      </c>
      <c r="G312" s="12">
        <v>5131663</v>
      </c>
      <c r="H312" s="12"/>
      <c r="I312" s="12"/>
      <c r="J312" s="12"/>
      <c r="K312" s="12"/>
      <c r="L312" s="12"/>
      <c r="M312" s="12"/>
      <c r="N312" s="12">
        <v>4981181</v>
      </c>
      <c r="O312" s="12">
        <v>5131663</v>
      </c>
      <c r="P312" s="11">
        <v>3.02</v>
      </c>
      <c r="Q312" s="12">
        <v>431624</v>
      </c>
      <c r="R312" s="12">
        <v>470284</v>
      </c>
      <c r="S312" s="12">
        <v>4981181</v>
      </c>
      <c r="T312" s="12">
        <v>5131663</v>
      </c>
      <c r="U312" s="12">
        <v>4549557</v>
      </c>
      <c r="V312" s="12">
        <v>4661379</v>
      </c>
      <c r="W312" s="12">
        <v>431624</v>
      </c>
      <c r="X312" s="12">
        <v>470284</v>
      </c>
      <c r="Y312" s="12">
        <v>173</v>
      </c>
      <c r="Z312" s="12">
        <v>175</v>
      </c>
      <c r="AA312" s="11">
        <v>1.1599999999999999</v>
      </c>
      <c r="AB312" s="12">
        <v>638233</v>
      </c>
      <c r="AC312" s="12">
        <v>350000</v>
      </c>
      <c r="AD312" s="12">
        <v>170821</v>
      </c>
      <c r="AE312" s="12">
        <v>265000</v>
      </c>
      <c r="AF312" s="12">
        <v>592525</v>
      </c>
      <c r="AG312" s="12">
        <v>450000</v>
      </c>
      <c r="AH312" s="11">
        <v>9.7100000000000009</v>
      </c>
      <c r="AI312" s="11">
        <v>7.19</v>
      </c>
      <c r="AJ312" s="13"/>
    </row>
    <row r="313" spans="1:36" x14ac:dyDescent="0.25">
      <c r="A313" t="str">
        <f>"450607"</f>
        <v>450607</v>
      </c>
      <c r="B313" t="s">
        <v>400</v>
      </c>
      <c r="C313" s="10">
        <v>17415783</v>
      </c>
      <c r="D313" s="10">
        <v>17367477</v>
      </c>
      <c r="E313" s="11">
        <v>-0.28000000000000003</v>
      </c>
      <c r="F313" s="12">
        <v>4715842</v>
      </c>
      <c r="G313" s="12">
        <v>4715842</v>
      </c>
      <c r="H313" s="12"/>
      <c r="I313" s="12"/>
      <c r="J313" s="12"/>
      <c r="K313" s="12"/>
      <c r="L313" s="12"/>
      <c r="M313" s="12"/>
      <c r="N313" s="12">
        <v>4715842</v>
      </c>
      <c r="O313" s="12">
        <v>4715842</v>
      </c>
      <c r="P313" s="11">
        <v>0</v>
      </c>
      <c r="Q313" s="12">
        <v>0</v>
      </c>
      <c r="R313" s="12">
        <v>0</v>
      </c>
      <c r="S313" s="12">
        <v>4787281</v>
      </c>
      <c r="T313" s="12">
        <v>4901128</v>
      </c>
      <c r="U313" s="12">
        <v>4715842</v>
      </c>
      <c r="V313" s="12">
        <v>4715842</v>
      </c>
      <c r="W313" s="12">
        <v>71439</v>
      </c>
      <c r="X313" s="12">
        <v>185286</v>
      </c>
      <c r="Y313" s="12">
        <v>703</v>
      </c>
      <c r="Z313" s="12">
        <v>691</v>
      </c>
      <c r="AA313" s="11">
        <v>-1.71</v>
      </c>
      <c r="AB313" s="12">
        <v>7872730</v>
      </c>
      <c r="AC313" s="12">
        <v>4772700</v>
      </c>
      <c r="AD313" s="12">
        <v>104630</v>
      </c>
      <c r="AE313" s="12">
        <v>105000</v>
      </c>
      <c r="AF313" s="12">
        <v>696631</v>
      </c>
      <c r="AG313" s="12">
        <v>694699</v>
      </c>
      <c r="AH313" s="11">
        <v>4</v>
      </c>
      <c r="AI313" s="11">
        <v>4</v>
      </c>
      <c r="AJ313" s="13"/>
    </row>
    <row r="314" spans="1:36" x14ac:dyDescent="0.25">
      <c r="A314" t="str">
        <f>"142601"</f>
        <v>142601</v>
      </c>
      <c r="B314" t="s">
        <v>401</v>
      </c>
      <c r="C314" s="10">
        <v>160656978</v>
      </c>
      <c r="D314" s="10">
        <v>163957543</v>
      </c>
      <c r="E314" s="11">
        <v>2.0499999999999998</v>
      </c>
      <c r="F314" s="12">
        <v>82390409</v>
      </c>
      <c r="G314" s="12">
        <v>84862121</v>
      </c>
      <c r="H314" s="12"/>
      <c r="I314" s="12"/>
      <c r="J314" s="12"/>
      <c r="K314" s="12"/>
      <c r="L314" s="12"/>
      <c r="M314" s="12"/>
      <c r="N314" s="12">
        <v>82390409</v>
      </c>
      <c r="O314" s="12">
        <v>84862121</v>
      </c>
      <c r="P314" s="11">
        <v>3</v>
      </c>
      <c r="Q314" s="12">
        <v>1153969</v>
      </c>
      <c r="R314" s="12">
        <v>1920624</v>
      </c>
      <c r="S314" s="12">
        <v>81236440</v>
      </c>
      <c r="T314" s="12">
        <v>82941497</v>
      </c>
      <c r="U314" s="12">
        <v>81236440</v>
      </c>
      <c r="V314" s="12">
        <v>82941497</v>
      </c>
      <c r="W314" s="12">
        <v>0</v>
      </c>
      <c r="X314" s="12">
        <v>0</v>
      </c>
      <c r="Y314" s="12">
        <v>7093</v>
      </c>
      <c r="Z314" s="12">
        <v>7000</v>
      </c>
      <c r="AA314" s="11">
        <v>-1.31</v>
      </c>
      <c r="AB314" s="12">
        <v>23088717</v>
      </c>
      <c r="AC314" s="12">
        <v>25046001</v>
      </c>
      <c r="AD314" s="12">
        <v>5850000</v>
      </c>
      <c r="AE314" s="12">
        <v>5850000</v>
      </c>
      <c r="AF314" s="12">
        <v>6428386</v>
      </c>
      <c r="AG314" s="12">
        <v>6558302</v>
      </c>
      <c r="AH314" s="11">
        <v>4</v>
      </c>
      <c r="AI314" s="11">
        <v>4</v>
      </c>
      <c r="AJ314" s="13"/>
    </row>
    <row r="315" spans="1:36" x14ac:dyDescent="0.25">
      <c r="A315" t="str">
        <f>"101401"</f>
        <v>101401</v>
      </c>
      <c r="B315" t="s">
        <v>402</v>
      </c>
      <c r="C315" s="10">
        <v>22781192</v>
      </c>
      <c r="D315" s="10">
        <v>23371225</v>
      </c>
      <c r="E315" s="11">
        <v>2.59</v>
      </c>
      <c r="F315" s="12">
        <v>22781192</v>
      </c>
      <c r="G315" s="12">
        <v>23371225</v>
      </c>
      <c r="H315" s="12"/>
      <c r="I315" s="12"/>
      <c r="J315" s="12"/>
      <c r="K315" s="12"/>
      <c r="L315" s="12"/>
      <c r="M315" s="12"/>
      <c r="N315" s="12">
        <v>22781192</v>
      </c>
      <c r="O315" s="12">
        <v>23371225</v>
      </c>
      <c r="P315" s="11">
        <v>2.59</v>
      </c>
      <c r="Q315" s="12">
        <v>261542</v>
      </c>
      <c r="R315" s="12">
        <v>413683</v>
      </c>
      <c r="S315" s="12">
        <v>22519650</v>
      </c>
      <c r="T315" s="12">
        <v>23546640</v>
      </c>
      <c r="U315" s="12">
        <v>22519650</v>
      </c>
      <c r="V315" s="12">
        <v>22957542</v>
      </c>
      <c r="W315" s="12">
        <v>0</v>
      </c>
      <c r="X315" s="12">
        <v>589098</v>
      </c>
      <c r="Y315" s="12">
        <v>1787</v>
      </c>
      <c r="Z315" s="12">
        <v>1832</v>
      </c>
      <c r="AA315" s="11">
        <v>2.52</v>
      </c>
      <c r="AB315" s="12">
        <v>1626295</v>
      </c>
      <c r="AC315" s="12">
        <v>1650000</v>
      </c>
      <c r="AD315" s="12">
        <v>641082</v>
      </c>
      <c r="AE315" s="12">
        <v>588906</v>
      </c>
      <c r="AF315" s="12">
        <v>1798347</v>
      </c>
      <c r="AG315" s="12">
        <v>1700000</v>
      </c>
      <c r="AH315" s="11">
        <v>7.89</v>
      </c>
      <c r="AI315" s="11">
        <v>7.27</v>
      </c>
      <c r="AJ315" s="13"/>
    </row>
    <row r="316" spans="1:36" x14ac:dyDescent="0.25">
      <c r="A316" t="str">
        <f>"580805"</f>
        <v>580805</v>
      </c>
      <c r="B316" t="s">
        <v>403</v>
      </c>
      <c r="C316" s="10">
        <v>88548072</v>
      </c>
      <c r="D316" s="10">
        <v>92168700</v>
      </c>
      <c r="E316" s="11">
        <v>4.09</v>
      </c>
      <c r="F316" s="12">
        <v>67801784</v>
      </c>
      <c r="G316" s="12">
        <v>69653384</v>
      </c>
      <c r="H316" s="12"/>
      <c r="I316" s="12"/>
      <c r="J316" s="12"/>
      <c r="K316" s="12"/>
      <c r="L316" s="12"/>
      <c r="M316" s="12"/>
      <c r="N316" s="12">
        <v>67801784</v>
      </c>
      <c r="O316" s="12">
        <v>69653384</v>
      </c>
      <c r="P316" s="11">
        <v>2.73</v>
      </c>
      <c r="Q316" s="12">
        <v>1930282</v>
      </c>
      <c r="R316" s="12">
        <v>2201653</v>
      </c>
      <c r="S316" s="12">
        <v>65871503</v>
      </c>
      <c r="T316" s="12">
        <v>67451732</v>
      </c>
      <c r="U316" s="12">
        <v>65871502</v>
      </c>
      <c r="V316" s="12">
        <v>67451731</v>
      </c>
      <c r="W316" s="12">
        <v>1</v>
      </c>
      <c r="X316" s="12">
        <v>1</v>
      </c>
      <c r="Y316" s="12">
        <v>3158</v>
      </c>
      <c r="Z316" s="12">
        <v>3028</v>
      </c>
      <c r="AA316" s="11">
        <v>-4.12</v>
      </c>
      <c r="AB316" s="12">
        <v>8876905</v>
      </c>
      <c r="AC316" s="12">
        <v>8965673</v>
      </c>
      <c r="AD316" s="12">
        <v>2189353</v>
      </c>
      <c r="AE316" s="12">
        <v>2318345</v>
      </c>
      <c r="AF316" s="12">
        <v>3463296</v>
      </c>
      <c r="AG316" s="12">
        <v>3686745</v>
      </c>
      <c r="AH316" s="11">
        <v>3.91</v>
      </c>
      <c r="AI316" s="11">
        <v>4</v>
      </c>
      <c r="AJ316" s="13"/>
    </row>
    <row r="317" spans="1:36" x14ac:dyDescent="0.25">
      <c r="A317" t="str">
        <f>"620600"</f>
        <v>620600</v>
      </c>
      <c r="B317" t="s">
        <v>404</v>
      </c>
      <c r="C317" s="10">
        <v>169581541</v>
      </c>
      <c r="D317" s="10">
        <v>175032027</v>
      </c>
      <c r="E317" s="11">
        <v>3.21</v>
      </c>
      <c r="F317" s="12">
        <v>101414442</v>
      </c>
      <c r="G317" s="12">
        <v>104075998</v>
      </c>
      <c r="H317" s="12"/>
      <c r="I317" s="12"/>
      <c r="J317" s="12"/>
      <c r="K317" s="12"/>
      <c r="L317" s="12"/>
      <c r="M317" s="12"/>
      <c r="N317" s="12">
        <v>101414442</v>
      </c>
      <c r="O317" s="12">
        <v>104075998</v>
      </c>
      <c r="P317" s="11">
        <v>2.62</v>
      </c>
      <c r="Q317" s="12">
        <v>2836669</v>
      </c>
      <c r="R317" s="12">
        <v>3353559</v>
      </c>
      <c r="S317" s="12">
        <v>98864666</v>
      </c>
      <c r="T317" s="12">
        <v>101713523</v>
      </c>
      <c r="U317" s="12">
        <v>98577773</v>
      </c>
      <c r="V317" s="12">
        <v>100722439</v>
      </c>
      <c r="W317" s="12">
        <v>286893</v>
      </c>
      <c r="X317" s="12">
        <v>991084</v>
      </c>
      <c r="Y317" s="12">
        <v>6277</v>
      </c>
      <c r="Z317" s="12">
        <v>6213</v>
      </c>
      <c r="AA317" s="11">
        <v>-1.02</v>
      </c>
      <c r="AB317" s="12">
        <v>26142072</v>
      </c>
      <c r="AC317" s="12">
        <v>21000000</v>
      </c>
      <c r="AD317" s="12">
        <v>2000000</v>
      </c>
      <c r="AE317" s="12">
        <v>2000000</v>
      </c>
      <c r="AF317" s="12">
        <v>6783261</v>
      </c>
      <c r="AG317" s="12">
        <v>7001281</v>
      </c>
      <c r="AH317" s="11">
        <v>4</v>
      </c>
      <c r="AI317" s="11">
        <v>4</v>
      </c>
      <c r="AJ317" s="13"/>
    </row>
    <row r="318" spans="1:36" x14ac:dyDescent="0.25">
      <c r="A318" t="str">
        <f>"441202"</f>
        <v>441202</v>
      </c>
      <c r="B318" t="s">
        <v>405</v>
      </c>
      <c r="C318" s="10">
        <v>23990753</v>
      </c>
      <c r="D318" s="10">
        <v>25664383</v>
      </c>
      <c r="E318" s="11">
        <v>6.98</v>
      </c>
      <c r="F318" s="12">
        <v>10030372</v>
      </c>
      <c r="G318" s="12">
        <v>10228973</v>
      </c>
      <c r="H318" s="12"/>
      <c r="I318" s="12"/>
      <c r="J318" s="12"/>
      <c r="K318" s="12"/>
      <c r="L318" s="12"/>
      <c r="M318" s="12"/>
      <c r="N318" s="12">
        <v>10030372</v>
      </c>
      <c r="O318" s="12">
        <v>10228973</v>
      </c>
      <c r="P318" s="11">
        <v>1.98</v>
      </c>
      <c r="Q318" s="12">
        <v>931828</v>
      </c>
      <c r="R318" s="12">
        <v>949426</v>
      </c>
      <c r="S318" s="12">
        <v>9672913</v>
      </c>
      <c r="T318" s="12">
        <v>9963944</v>
      </c>
      <c r="U318" s="12">
        <v>9098544</v>
      </c>
      <c r="V318" s="12">
        <v>9279547</v>
      </c>
      <c r="W318" s="12">
        <v>574369</v>
      </c>
      <c r="X318" s="12">
        <v>684397</v>
      </c>
      <c r="Y318" s="12">
        <v>167</v>
      </c>
      <c r="Z318" s="12">
        <v>175</v>
      </c>
      <c r="AA318" s="11">
        <v>4.79</v>
      </c>
      <c r="AB318" s="12">
        <v>6262131</v>
      </c>
      <c r="AC318" s="12">
        <v>6174947</v>
      </c>
      <c r="AD318" s="12">
        <v>588667</v>
      </c>
      <c r="AE318" s="12">
        <v>780046</v>
      </c>
      <c r="AF318" s="12">
        <v>959630</v>
      </c>
      <c r="AG318" s="12">
        <v>1026575</v>
      </c>
      <c r="AH318" s="11">
        <v>4</v>
      </c>
      <c r="AI318" s="11">
        <v>4</v>
      </c>
      <c r="AJ318" s="13"/>
    </row>
    <row r="319" spans="1:36" x14ac:dyDescent="0.25">
      <c r="A319" t="str">
        <f>"221401"</f>
        <v>221401</v>
      </c>
      <c r="B319" t="s">
        <v>406</v>
      </c>
      <c r="C319" s="10">
        <v>11140908</v>
      </c>
      <c r="D319" s="10">
        <v>11440900</v>
      </c>
      <c r="E319" s="11">
        <v>2.69</v>
      </c>
      <c r="F319" s="12">
        <v>3904830</v>
      </c>
      <c r="G319" s="12">
        <v>3991652</v>
      </c>
      <c r="H319" s="12"/>
      <c r="I319" s="12"/>
      <c r="J319" s="12"/>
      <c r="K319" s="12"/>
      <c r="L319" s="12"/>
      <c r="M319" s="12"/>
      <c r="N319" s="12">
        <v>3904830</v>
      </c>
      <c r="O319" s="12">
        <v>3991652</v>
      </c>
      <c r="P319" s="11">
        <v>2.2200000000000002</v>
      </c>
      <c r="Q319" s="12">
        <v>357204</v>
      </c>
      <c r="R319" s="12">
        <v>383955</v>
      </c>
      <c r="S319" s="12">
        <v>3642113</v>
      </c>
      <c r="T319" s="12">
        <v>3647507</v>
      </c>
      <c r="U319" s="12">
        <v>3547626</v>
      </c>
      <c r="V319" s="12">
        <v>3607697</v>
      </c>
      <c r="W319" s="12">
        <v>94487</v>
      </c>
      <c r="X319" s="12">
        <v>39810</v>
      </c>
      <c r="Y319" s="12">
        <v>526</v>
      </c>
      <c r="Z319" s="12">
        <v>550</v>
      </c>
      <c r="AA319" s="11">
        <v>4.5599999999999996</v>
      </c>
      <c r="AB319" s="12">
        <v>2591630</v>
      </c>
      <c r="AC319" s="12">
        <v>2494396</v>
      </c>
      <c r="AD319" s="12">
        <v>979500</v>
      </c>
      <c r="AE319" s="12">
        <v>937000</v>
      </c>
      <c r="AF319" s="12">
        <v>438280</v>
      </c>
      <c r="AG319" s="12">
        <v>457636</v>
      </c>
      <c r="AH319" s="11">
        <v>3.93</v>
      </c>
      <c r="AI319" s="11">
        <v>4</v>
      </c>
      <c r="AJ319" s="13"/>
    </row>
    <row r="320" spans="1:36" x14ac:dyDescent="0.25">
      <c r="A320" t="str">
        <f>"141800"</f>
        <v>141800</v>
      </c>
      <c r="B320" t="s">
        <v>407</v>
      </c>
      <c r="C320" s="10">
        <v>50731024</v>
      </c>
      <c r="D320" s="10">
        <v>53275029</v>
      </c>
      <c r="E320" s="11">
        <v>5.01</v>
      </c>
      <c r="F320" s="12">
        <v>9480408</v>
      </c>
      <c r="G320" s="12">
        <v>9409441</v>
      </c>
      <c r="H320" s="12"/>
      <c r="I320" s="12"/>
      <c r="J320" s="12"/>
      <c r="K320" s="12"/>
      <c r="L320" s="12"/>
      <c r="M320" s="12"/>
      <c r="N320" s="12">
        <v>9480408</v>
      </c>
      <c r="O320" s="12">
        <v>9409441</v>
      </c>
      <c r="P320" s="11">
        <v>-0.75</v>
      </c>
      <c r="Q320" s="12">
        <v>274319</v>
      </c>
      <c r="R320" s="12">
        <v>0</v>
      </c>
      <c r="S320" s="12">
        <v>9312660</v>
      </c>
      <c r="T320" s="12">
        <v>9409441</v>
      </c>
      <c r="U320" s="12">
        <v>9206089</v>
      </c>
      <c r="V320" s="12">
        <v>9409441</v>
      </c>
      <c r="W320" s="12">
        <v>106571</v>
      </c>
      <c r="X320" s="12">
        <v>0</v>
      </c>
      <c r="Y320" s="12">
        <v>2603</v>
      </c>
      <c r="Z320" s="12">
        <v>2743</v>
      </c>
      <c r="AA320" s="11">
        <v>5.38</v>
      </c>
      <c r="AB320" s="12">
        <v>302901</v>
      </c>
      <c r="AC320" s="12">
        <v>300000</v>
      </c>
      <c r="AD320" s="12">
        <v>1947498</v>
      </c>
      <c r="AE320" s="12">
        <v>1935595</v>
      </c>
      <c r="AF320" s="12">
        <v>1647118</v>
      </c>
      <c r="AG320" s="12">
        <v>1650000</v>
      </c>
      <c r="AH320" s="11">
        <v>3.25</v>
      </c>
      <c r="AI320" s="11">
        <v>3.1</v>
      </c>
      <c r="AJ320" s="13"/>
    </row>
    <row r="321" spans="1:36" x14ac:dyDescent="0.25">
      <c r="A321" t="str">
        <f>"420807"</f>
        <v>420807</v>
      </c>
      <c r="B321" t="s">
        <v>408</v>
      </c>
      <c r="C321" s="10">
        <v>18735315</v>
      </c>
      <c r="D321" s="10">
        <v>18964918</v>
      </c>
      <c r="E321" s="11">
        <v>1.23</v>
      </c>
      <c r="F321" s="12">
        <v>5849176</v>
      </c>
      <c r="G321" s="12">
        <v>5994765</v>
      </c>
      <c r="H321" s="12"/>
      <c r="I321" s="12"/>
      <c r="J321" s="12"/>
      <c r="K321" s="12"/>
      <c r="L321" s="12"/>
      <c r="M321" s="12"/>
      <c r="N321" s="12">
        <v>5849176</v>
      </c>
      <c r="O321" s="12">
        <v>5994765</v>
      </c>
      <c r="P321" s="11">
        <v>2.4900000000000002</v>
      </c>
      <c r="Q321" s="12">
        <v>262187</v>
      </c>
      <c r="R321" s="12">
        <v>253358</v>
      </c>
      <c r="S321" s="12">
        <v>5681716</v>
      </c>
      <c r="T321" s="12">
        <v>5748709</v>
      </c>
      <c r="U321" s="12">
        <v>5586989</v>
      </c>
      <c r="V321" s="12">
        <v>5741407</v>
      </c>
      <c r="W321" s="12">
        <v>94727</v>
      </c>
      <c r="X321" s="12">
        <v>7302</v>
      </c>
      <c r="Y321" s="12">
        <v>878</v>
      </c>
      <c r="Z321" s="12">
        <v>854</v>
      </c>
      <c r="AA321" s="11">
        <v>-2.73</v>
      </c>
      <c r="AB321" s="12">
        <v>3889020</v>
      </c>
      <c r="AC321" s="12">
        <v>3842133</v>
      </c>
      <c r="AD321" s="12">
        <v>636423</v>
      </c>
      <c r="AE321" s="12">
        <v>640000</v>
      </c>
      <c r="AF321" s="12">
        <v>749412</v>
      </c>
      <c r="AG321" s="12">
        <v>749412</v>
      </c>
      <c r="AH321" s="11">
        <v>4</v>
      </c>
      <c r="AI321" s="11">
        <v>3.95</v>
      </c>
      <c r="AJ321" s="13"/>
    </row>
    <row r="322" spans="1:36" x14ac:dyDescent="0.25">
      <c r="A322" t="str">
        <f>"630701"</f>
        <v>630701</v>
      </c>
      <c r="B322" t="s">
        <v>409</v>
      </c>
      <c r="C322" s="10">
        <v>22916452</v>
      </c>
      <c r="D322" s="10">
        <v>23349989</v>
      </c>
      <c r="E322" s="11">
        <v>1.89</v>
      </c>
      <c r="F322" s="12">
        <v>19246256</v>
      </c>
      <c r="G322" s="12">
        <v>19540629</v>
      </c>
      <c r="H322" s="12"/>
      <c r="I322" s="12"/>
      <c r="J322" s="12"/>
      <c r="K322" s="12"/>
      <c r="L322" s="12"/>
      <c r="M322" s="12"/>
      <c r="N322" s="12">
        <v>19246256</v>
      </c>
      <c r="O322" s="12">
        <v>19540629</v>
      </c>
      <c r="P322" s="11">
        <v>1.53</v>
      </c>
      <c r="Q322" s="12">
        <v>908318</v>
      </c>
      <c r="R322" s="12">
        <v>921154</v>
      </c>
      <c r="S322" s="12">
        <v>18375193</v>
      </c>
      <c r="T322" s="12">
        <v>18840152</v>
      </c>
      <c r="U322" s="12">
        <v>18337938</v>
      </c>
      <c r="V322" s="12">
        <v>18619475</v>
      </c>
      <c r="W322" s="12">
        <v>37255</v>
      </c>
      <c r="X322" s="12">
        <v>220677</v>
      </c>
      <c r="Y322" s="12">
        <v>774</v>
      </c>
      <c r="Z322" s="12">
        <v>737</v>
      </c>
      <c r="AA322" s="11">
        <v>-4.78</v>
      </c>
      <c r="AB322" s="12">
        <v>3657767</v>
      </c>
      <c r="AC322" s="12">
        <v>3713204</v>
      </c>
      <c r="AD322" s="12">
        <v>876172</v>
      </c>
      <c r="AE322" s="12">
        <v>872551</v>
      </c>
      <c r="AF322" s="12">
        <v>916658</v>
      </c>
      <c r="AG322" s="12">
        <v>934000</v>
      </c>
      <c r="AH322" s="11">
        <v>4</v>
      </c>
      <c r="AI322" s="11">
        <v>4</v>
      </c>
      <c r="AJ322" s="13"/>
    </row>
    <row r="323" spans="1:36" x14ac:dyDescent="0.25">
      <c r="A323" t="str">
        <f>"151102"</f>
        <v>151102</v>
      </c>
      <c r="B323" t="s">
        <v>410</v>
      </c>
      <c r="C323" s="10">
        <v>18723883</v>
      </c>
      <c r="D323" s="10">
        <v>19292671</v>
      </c>
      <c r="E323" s="11">
        <v>3.04</v>
      </c>
      <c r="F323" s="12">
        <v>15142238</v>
      </c>
      <c r="G323" s="12">
        <v>15590253</v>
      </c>
      <c r="H323" s="12"/>
      <c r="I323" s="12"/>
      <c r="J323" s="12"/>
      <c r="K323" s="12"/>
      <c r="L323" s="12"/>
      <c r="M323" s="12"/>
      <c r="N323" s="12">
        <v>15142238</v>
      </c>
      <c r="O323" s="12">
        <v>15590253</v>
      </c>
      <c r="P323" s="11">
        <v>2.96</v>
      </c>
      <c r="Q323" s="12">
        <v>907027</v>
      </c>
      <c r="R323" s="12">
        <v>914262</v>
      </c>
      <c r="S323" s="12">
        <v>14235211</v>
      </c>
      <c r="T323" s="12">
        <v>14675991</v>
      </c>
      <c r="U323" s="12">
        <v>14235211</v>
      </c>
      <c r="V323" s="12">
        <v>14675991</v>
      </c>
      <c r="W323" s="12">
        <v>0</v>
      </c>
      <c r="X323" s="12">
        <v>0</v>
      </c>
      <c r="Y323" s="12">
        <v>690</v>
      </c>
      <c r="Z323" s="12">
        <v>690</v>
      </c>
      <c r="AA323" s="11">
        <v>0</v>
      </c>
      <c r="AB323" s="12">
        <v>2453104</v>
      </c>
      <c r="AC323" s="12">
        <v>2148928</v>
      </c>
      <c r="AD323" s="12">
        <v>490000</v>
      </c>
      <c r="AE323" s="12">
        <v>520000</v>
      </c>
      <c r="AF323" s="12">
        <v>1252632</v>
      </c>
      <c r="AG323" s="12">
        <v>992632</v>
      </c>
      <c r="AH323" s="11">
        <v>6.69</v>
      </c>
      <c r="AI323" s="11">
        <v>5.15</v>
      </c>
      <c r="AJ323" s="13"/>
    </row>
    <row r="324" spans="1:36" x14ac:dyDescent="0.25">
      <c r="A324" t="str">
        <f>"200601"</f>
        <v>200601</v>
      </c>
      <c r="B324" t="s">
        <v>411</v>
      </c>
      <c r="C324" s="10">
        <v>5055887</v>
      </c>
      <c r="D324" s="10">
        <v>5103105</v>
      </c>
      <c r="E324" s="11">
        <v>0.93</v>
      </c>
      <c r="F324" s="12">
        <v>3700026</v>
      </c>
      <c r="G324" s="12">
        <v>3758258</v>
      </c>
      <c r="H324" s="12"/>
      <c r="I324" s="12"/>
      <c r="J324" s="12"/>
      <c r="K324" s="12"/>
      <c r="L324" s="12"/>
      <c r="M324" s="12"/>
      <c r="N324" s="12">
        <v>3700026</v>
      </c>
      <c r="O324" s="12">
        <v>3758258</v>
      </c>
      <c r="P324" s="11">
        <v>1.57</v>
      </c>
      <c r="Q324" s="12">
        <v>438274</v>
      </c>
      <c r="R324" s="12">
        <v>431271</v>
      </c>
      <c r="S324" s="12">
        <v>3261752</v>
      </c>
      <c r="T324" s="12">
        <v>3326987</v>
      </c>
      <c r="U324" s="12">
        <v>3261752</v>
      </c>
      <c r="V324" s="12">
        <v>3326987</v>
      </c>
      <c r="W324" s="12">
        <v>0</v>
      </c>
      <c r="X324" s="12">
        <v>0</v>
      </c>
      <c r="Y324" s="12">
        <v>85</v>
      </c>
      <c r="Z324" s="12">
        <v>82</v>
      </c>
      <c r="AA324" s="11">
        <v>-3.53</v>
      </c>
      <c r="AB324" s="12">
        <v>1702997</v>
      </c>
      <c r="AC324" s="12">
        <v>1489128</v>
      </c>
      <c r="AD324" s="12">
        <v>588267</v>
      </c>
      <c r="AE324" s="12">
        <v>588267</v>
      </c>
      <c r="AF324" s="12">
        <v>202235</v>
      </c>
      <c r="AG324" s="12">
        <v>204124</v>
      </c>
      <c r="AH324" s="11">
        <v>4</v>
      </c>
      <c r="AI324" s="11">
        <v>4</v>
      </c>
      <c r="AJ324" s="13"/>
    </row>
    <row r="325" spans="1:36" x14ac:dyDescent="0.25">
      <c r="A325" t="str">
        <f>"662401"</f>
        <v>662401</v>
      </c>
      <c r="B325" t="s">
        <v>412</v>
      </c>
      <c r="C325" s="10">
        <v>162716765</v>
      </c>
      <c r="D325" s="10">
        <v>166574338</v>
      </c>
      <c r="E325" s="11">
        <v>2.37</v>
      </c>
      <c r="F325" s="12">
        <v>113888327</v>
      </c>
      <c r="G325" s="12">
        <v>114970266</v>
      </c>
      <c r="H325" s="12"/>
      <c r="I325" s="12"/>
      <c r="J325" s="12"/>
      <c r="K325" s="12"/>
      <c r="L325" s="12"/>
      <c r="M325" s="12"/>
      <c r="N325" s="12">
        <v>113888327</v>
      </c>
      <c r="O325" s="12">
        <v>114970266</v>
      </c>
      <c r="P325" s="11">
        <v>0.95</v>
      </c>
      <c r="Q325" s="12">
        <v>2543748</v>
      </c>
      <c r="R325" s="12">
        <v>1732445</v>
      </c>
      <c r="S325" s="12">
        <v>113753770</v>
      </c>
      <c r="T325" s="12">
        <v>114222001</v>
      </c>
      <c r="U325" s="12">
        <v>111344579</v>
      </c>
      <c r="V325" s="12">
        <v>113237821</v>
      </c>
      <c r="W325" s="12">
        <v>2409191</v>
      </c>
      <c r="X325" s="12">
        <v>984180</v>
      </c>
      <c r="Y325" s="12">
        <v>5640</v>
      </c>
      <c r="Z325" s="12">
        <v>5590</v>
      </c>
      <c r="AA325" s="11">
        <v>-0.89</v>
      </c>
      <c r="AB325" s="12">
        <v>37252522</v>
      </c>
      <c r="AC325" s="12">
        <v>38438125</v>
      </c>
      <c r="AD325" s="12">
        <v>5500000</v>
      </c>
      <c r="AE325" s="12">
        <v>5400000</v>
      </c>
      <c r="AF325" s="12">
        <v>6507783</v>
      </c>
      <c r="AG325" s="12">
        <v>6662974</v>
      </c>
      <c r="AH325" s="11">
        <v>4</v>
      </c>
      <c r="AI325" s="11">
        <v>4</v>
      </c>
      <c r="AJ325" s="13"/>
    </row>
    <row r="326" spans="1:36" x14ac:dyDescent="0.25">
      <c r="A326" t="str">
        <f>"141901"</f>
        <v>141901</v>
      </c>
      <c r="B326" t="s">
        <v>413</v>
      </c>
      <c r="C326" s="10">
        <v>103867519</v>
      </c>
      <c r="D326" s="10">
        <v>107482223</v>
      </c>
      <c r="E326" s="11">
        <v>3.48</v>
      </c>
      <c r="F326" s="12">
        <v>50544983</v>
      </c>
      <c r="G326" s="12">
        <v>53096748</v>
      </c>
      <c r="H326" s="12"/>
      <c r="I326" s="12"/>
      <c r="J326" s="12"/>
      <c r="K326" s="12"/>
      <c r="L326" s="12"/>
      <c r="M326" s="12"/>
      <c r="N326" s="12">
        <v>50544983</v>
      </c>
      <c r="O326" s="12">
        <v>53096748</v>
      </c>
      <c r="P326" s="11">
        <v>5.05</v>
      </c>
      <c r="Q326" s="12">
        <v>0</v>
      </c>
      <c r="R326" s="12">
        <v>0</v>
      </c>
      <c r="S326" s="12">
        <v>51313731</v>
      </c>
      <c r="T326" s="12">
        <v>53905328</v>
      </c>
      <c r="U326" s="12">
        <v>50544983</v>
      </c>
      <c r="V326" s="12">
        <v>53096748</v>
      </c>
      <c r="W326" s="12">
        <v>768748</v>
      </c>
      <c r="X326" s="12">
        <v>808580</v>
      </c>
      <c r="Y326" s="12">
        <v>5721</v>
      </c>
      <c r="Z326" s="12">
        <v>5724</v>
      </c>
      <c r="AA326" s="11">
        <v>0.05</v>
      </c>
      <c r="AB326" s="12">
        <v>40974119</v>
      </c>
      <c r="AC326" s="12">
        <v>32301105</v>
      </c>
      <c r="AD326" s="12">
        <v>3243450</v>
      </c>
      <c r="AE326" s="12">
        <v>3138258</v>
      </c>
      <c r="AF326" s="12">
        <v>4061222</v>
      </c>
      <c r="AG326" s="12">
        <v>4026303</v>
      </c>
      <c r="AH326" s="11">
        <v>3.91</v>
      </c>
      <c r="AI326" s="11">
        <v>3.75</v>
      </c>
      <c r="AJ326" s="13"/>
    </row>
    <row r="327" spans="1:36" x14ac:dyDescent="0.25">
      <c r="A327" t="str">
        <f>"610801"</f>
        <v>610801</v>
      </c>
      <c r="B327" t="s">
        <v>414</v>
      </c>
      <c r="C327" s="10">
        <v>29152000</v>
      </c>
      <c r="D327" s="10">
        <v>30067200</v>
      </c>
      <c r="E327" s="11">
        <v>3.14</v>
      </c>
      <c r="F327" s="12">
        <v>18149128</v>
      </c>
      <c r="G327" s="12">
        <v>18836930</v>
      </c>
      <c r="H327" s="12"/>
      <c r="I327" s="12"/>
      <c r="J327" s="12"/>
      <c r="K327" s="12"/>
      <c r="L327" s="12"/>
      <c r="M327" s="12"/>
      <c r="N327" s="12">
        <v>18149128</v>
      </c>
      <c r="O327" s="12">
        <v>18836930</v>
      </c>
      <c r="P327" s="11">
        <v>3.79</v>
      </c>
      <c r="Q327" s="12">
        <v>962339</v>
      </c>
      <c r="R327" s="12">
        <v>839916</v>
      </c>
      <c r="S327" s="12">
        <v>17337983</v>
      </c>
      <c r="T327" s="12">
        <v>17998106</v>
      </c>
      <c r="U327" s="12">
        <v>17186789</v>
      </c>
      <c r="V327" s="12">
        <v>17997014</v>
      </c>
      <c r="W327" s="12">
        <v>151194</v>
      </c>
      <c r="X327" s="12">
        <v>1092</v>
      </c>
      <c r="Y327" s="12">
        <v>1209</v>
      </c>
      <c r="Z327" s="12">
        <v>1220</v>
      </c>
      <c r="AA327" s="11">
        <v>0.91</v>
      </c>
      <c r="AB327" s="12">
        <v>3612435</v>
      </c>
      <c r="AC327" s="12">
        <v>3512435</v>
      </c>
      <c r="AD327" s="12">
        <v>300000</v>
      </c>
      <c r="AE327" s="12">
        <v>250000</v>
      </c>
      <c r="AF327" s="12">
        <v>834341</v>
      </c>
      <c r="AG327" s="12">
        <v>1002688</v>
      </c>
      <c r="AH327" s="11">
        <v>2.86</v>
      </c>
      <c r="AI327" s="11">
        <v>3.33</v>
      </c>
      <c r="AJ327" s="13"/>
    </row>
    <row r="328" spans="1:36" x14ac:dyDescent="0.25">
      <c r="A328" t="str">
        <f>"490601"</f>
        <v>490601</v>
      </c>
      <c r="B328" t="s">
        <v>415</v>
      </c>
      <c r="C328" s="10">
        <v>46687963</v>
      </c>
      <c r="D328" s="10">
        <v>50696799</v>
      </c>
      <c r="E328" s="11">
        <v>8.59</v>
      </c>
      <c r="F328" s="12">
        <v>15368410</v>
      </c>
      <c r="G328" s="12">
        <v>15643013</v>
      </c>
      <c r="H328" s="12"/>
      <c r="I328" s="12"/>
      <c r="J328" s="12"/>
      <c r="K328" s="12"/>
      <c r="L328" s="12"/>
      <c r="M328" s="12"/>
      <c r="N328" s="12">
        <v>15368410</v>
      </c>
      <c r="O328" s="12">
        <v>15643013</v>
      </c>
      <c r="P328" s="11">
        <v>1.79</v>
      </c>
      <c r="Q328" s="12">
        <v>902356</v>
      </c>
      <c r="R328" s="12">
        <v>925822</v>
      </c>
      <c r="S328" s="12">
        <v>14503932</v>
      </c>
      <c r="T328" s="12">
        <v>14958173</v>
      </c>
      <c r="U328" s="12">
        <v>14466054</v>
      </c>
      <c r="V328" s="12">
        <v>14717191</v>
      </c>
      <c r="W328" s="12">
        <v>37878</v>
      </c>
      <c r="X328" s="12">
        <v>240982</v>
      </c>
      <c r="Y328" s="12">
        <v>2367</v>
      </c>
      <c r="Z328" s="12">
        <v>2378</v>
      </c>
      <c r="AA328" s="11">
        <v>0.46</v>
      </c>
      <c r="AB328" s="12">
        <v>2571648</v>
      </c>
      <c r="AC328" s="12">
        <v>2750000</v>
      </c>
      <c r="AD328" s="12">
        <v>1275000</v>
      </c>
      <c r="AE328" s="12">
        <v>900000</v>
      </c>
      <c r="AF328" s="12">
        <v>1867409</v>
      </c>
      <c r="AG328" s="12">
        <v>2027872</v>
      </c>
      <c r="AH328" s="11">
        <v>4</v>
      </c>
      <c r="AI328" s="11">
        <v>4</v>
      </c>
      <c r="AJ328" s="13"/>
    </row>
    <row r="329" spans="1:36" x14ac:dyDescent="0.25">
      <c r="A329" t="str">
        <f>"470801"</f>
        <v>470801</v>
      </c>
      <c r="B329" t="s">
        <v>416</v>
      </c>
      <c r="C329" s="10">
        <v>9732121</v>
      </c>
      <c r="D329" s="10">
        <v>9968148</v>
      </c>
      <c r="E329" s="11">
        <v>2.4300000000000002</v>
      </c>
      <c r="F329" s="12">
        <v>2687531</v>
      </c>
      <c r="G329" s="12">
        <v>2741282</v>
      </c>
      <c r="H329" s="12"/>
      <c r="I329" s="12"/>
      <c r="J329" s="12"/>
      <c r="K329" s="12"/>
      <c r="L329" s="12"/>
      <c r="M329" s="12"/>
      <c r="N329" s="12">
        <v>2687531</v>
      </c>
      <c r="O329" s="12">
        <v>2741282</v>
      </c>
      <c r="P329" s="11">
        <v>2</v>
      </c>
      <c r="Q329" s="12">
        <v>191141</v>
      </c>
      <c r="R329" s="12">
        <v>210970</v>
      </c>
      <c r="S329" s="12">
        <v>2496390</v>
      </c>
      <c r="T329" s="12">
        <v>2555912</v>
      </c>
      <c r="U329" s="12">
        <v>2496390</v>
      </c>
      <c r="V329" s="12">
        <v>2530312</v>
      </c>
      <c r="W329" s="12">
        <v>0</v>
      </c>
      <c r="X329" s="12">
        <v>25600</v>
      </c>
      <c r="Y329" s="12">
        <v>340</v>
      </c>
      <c r="Z329" s="12">
        <v>315</v>
      </c>
      <c r="AA329" s="11">
        <v>-7.35</v>
      </c>
      <c r="AB329" s="12">
        <v>2650000</v>
      </c>
      <c r="AC329" s="12">
        <v>2297271</v>
      </c>
      <c r="AD329" s="12">
        <v>375108</v>
      </c>
      <c r="AE329" s="12">
        <v>375000</v>
      </c>
      <c r="AF329" s="12">
        <v>389285</v>
      </c>
      <c r="AG329" s="12">
        <v>398753</v>
      </c>
      <c r="AH329" s="11">
        <v>4</v>
      </c>
      <c r="AI329" s="11">
        <v>4</v>
      </c>
      <c r="AJ329" s="13"/>
    </row>
    <row r="330" spans="1:36" x14ac:dyDescent="0.25">
      <c r="A330" t="str">
        <f>"280215"</f>
        <v>280215</v>
      </c>
      <c r="B330" t="s">
        <v>417</v>
      </c>
      <c r="C330" s="10">
        <v>100783090</v>
      </c>
      <c r="D330" s="10">
        <v>102449281</v>
      </c>
      <c r="E330" s="11">
        <v>1.65</v>
      </c>
      <c r="F330" s="12">
        <v>85593836</v>
      </c>
      <c r="G330" s="12">
        <v>86156721</v>
      </c>
      <c r="H330" s="12"/>
      <c r="I330" s="12"/>
      <c r="J330" s="12"/>
      <c r="K330" s="12"/>
      <c r="L330" s="12"/>
      <c r="M330" s="12"/>
      <c r="N330" s="12">
        <v>85593836</v>
      </c>
      <c r="O330" s="12">
        <v>86156721</v>
      </c>
      <c r="P330" s="11">
        <v>0.66</v>
      </c>
      <c r="Q330" s="12">
        <v>0</v>
      </c>
      <c r="R330" s="12">
        <v>0</v>
      </c>
      <c r="S330" s="12">
        <v>85593836</v>
      </c>
      <c r="T330" s="12">
        <v>86156721</v>
      </c>
      <c r="U330" s="12">
        <v>85593836</v>
      </c>
      <c r="V330" s="12">
        <v>86156721</v>
      </c>
      <c r="W330" s="12">
        <v>0</v>
      </c>
      <c r="X330" s="12">
        <v>0</v>
      </c>
      <c r="Y330" s="12">
        <v>2765</v>
      </c>
      <c r="Z330" s="12">
        <v>2728</v>
      </c>
      <c r="AA330" s="11">
        <v>-1.34</v>
      </c>
      <c r="AB330" s="12">
        <v>1812684</v>
      </c>
      <c r="AC330" s="12">
        <v>1817744</v>
      </c>
      <c r="AD330" s="12">
        <v>0</v>
      </c>
      <c r="AE330" s="12">
        <v>0</v>
      </c>
      <c r="AF330" s="12">
        <v>4846891</v>
      </c>
      <c r="AG330" s="12">
        <v>4100000</v>
      </c>
      <c r="AH330" s="11">
        <v>4.8099999999999996</v>
      </c>
      <c r="AI330" s="11">
        <v>4</v>
      </c>
      <c r="AJ330" s="13"/>
    </row>
    <row r="331" spans="1:36" x14ac:dyDescent="0.25">
      <c r="A331" t="str">
        <f>"181001"</f>
        <v>181001</v>
      </c>
      <c r="B331" t="s">
        <v>418</v>
      </c>
      <c r="C331" s="10">
        <v>24520718</v>
      </c>
      <c r="D331" s="10">
        <v>25199218</v>
      </c>
      <c r="E331" s="11">
        <v>2.77</v>
      </c>
      <c r="F331" s="12">
        <v>9776659</v>
      </c>
      <c r="G331" s="12">
        <v>9972541</v>
      </c>
      <c r="H331" s="12"/>
      <c r="I331" s="12"/>
      <c r="J331" s="12"/>
      <c r="K331" s="12"/>
      <c r="L331" s="12"/>
      <c r="M331" s="12"/>
      <c r="N331" s="12">
        <v>9776659</v>
      </c>
      <c r="O331" s="12">
        <v>9972541</v>
      </c>
      <c r="P331" s="11">
        <v>2</v>
      </c>
      <c r="Q331" s="12">
        <v>0</v>
      </c>
      <c r="R331" s="12">
        <v>0</v>
      </c>
      <c r="S331" s="12">
        <v>9806457</v>
      </c>
      <c r="T331" s="12">
        <v>10064721</v>
      </c>
      <c r="U331" s="12">
        <v>9776659</v>
      </c>
      <c r="V331" s="12">
        <v>9972541</v>
      </c>
      <c r="W331" s="12">
        <v>29798</v>
      </c>
      <c r="X331" s="12">
        <v>92180</v>
      </c>
      <c r="Y331" s="12">
        <v>1242</v>
      </c>
      <c r="Z331" s="12">
        <v>1242</v>
      </c>
      <c r="AA331" s="11">
        <v>0</v>
      </c>
      <c r="AB331" s="12">
        <v>1536578</v>
      </c>
      <c r="AC331" s="12">
        <v>1537970</v>
      </c>
      <c r="AD331" s="12">
        <v>520643</v>
      </c>
      <c r="AE331" s="12">
        <v>530000</v>
      </c>
      <c r="AF331" s="12">
        <v>979554</v>
      </c>
      <c r="AG331" s="12">
        <v>1007970</v>
      </c>
      <c r="AH331" s="11">
        <v>3.99</v>
      </c>
      <c r="AI331" s="11">
        <v>4</v>
      </c>
      <c r="AJ331" s="13"/>
    </row>
    <row r="332" spans="1:36" x14ac:dyDescent="0.25">
      <c r="A332" t="str">
        <f>"670401"</f>
        <v>670401</v>
      </c>
      <c r="B332" t="s">
        <v>419</v>
      </c>
      <c r="C332" s="10">
        <v>19210779</v>
      </c>
      <c r="D332" s="10">
        <v>19630994</v>
      </c>
      <c r="E332" s="11">
        <v>2.19</v>
      </c>
      <c r="F332" s="12">
        <v>4493158</v>
      </c>
      <c r="G332" s="12">
        <v>4493158</v>
      </c>
      <c r="H332" s="12"/>
      <c r="I332" s="12"/>
      <c r="J332" s="12"/>
      <c r="K332" s="12"/>
      <c r="L332" s="12"/>
      <c r="M332" s="12"/>
      <c r="N332" s="12">
        <v>4493158</v>
      </c>
      <c r="O332" s="12">
        <v>4493158</v>
      </c>
      <c r="P332" s="11">
        <v>0</v>
      </c>
      <c r="Q332" s="12">
        <v>0</v>
      </c>
      <c r="R332" s="12">
        <v>0</v>
      </c>
      <c r="S332" s="12">
        <v>4580540</v>
      </c>
      <c r="T332" s="12">
        <v>4658470</v>
      </c>
      <c r="U332" s="12">
        <v>4493158</v>
      </c>
      <c r="V332" s="12">
        <v>4493158</v>
      </c>
      <c r="W332" s="12">
        <v>87382</v>
      </c>
      <c r="X332" s="12">
        <v>165312</v>
      </c>
      <c r="Y332" s="12">
        <v>899</v>
      </c>
      <c r="Z332" s="12">
        <v>900</v>
      </c>
      <c r="AA332" s="11">
        <v>0.11</v>
      </c>
      <c r="AB332" s="12">
        <v>6501328</v>
      </c>
      <c r="AC332" s="12">
        <v>6669359</v>
      </c>
      <c r="AD332" s="12">
        <v>419883</v>
      </c>
      <c r="AE332" s="12">
        <v>300000</v>
      </c>
      <c r="AF332" s="12">
        <v>768442</v>
      </c>
      <c r="AG332" s="12">
        <v>785240</v>
      </c>
      <c r="AH332" s="11">
        <v>4</v>
      </c>
      <c r="AI332" s="11">
        <v>4</v>
      </c>
      <c r="AJ332" s="13"/>
    </row>
    <row r="333" spans="1:36" x14ac:dyDescent="0.25">
      <c r="A333" t="str">
        <f>"280205"</f>
        <v>280205</v>
      </c>
      <c r="B333" t="s">
        <v>420</v>
      </c>
      <c r="C333" s="10">
        <v>210218722</v>
      </c>
      <c r="D333" s="10">
        <v>215892556</v>
      </c>
      <c r="E333" s="11">
        <v>2.7</v>
      </c>
      <c r="F333" s="12">
        <v>136270739</v>
      </c>
      <c r="G333" s="12">
        <v>138984161</v>
      </c>
      <c r="H333" s="12"/>
      <c r="I333" s="12"/>
      <c r="J333" s="12"/>
      <c r="K333" s="12"/>
      <c r="L333" s="12"/>
      <c r="M333" s="12"/>
      <c r="N333" s="12">
        <v>136270739</v>
      </c>
      <c r="O333" s="12">
        <v>138984161</v>
      </c>
      <c r="P333" s="11">
        <v>1.99</v>
      </c>
      <c r="Q333" s="12">
        <v>740061</v>
      </c>
      <c r="R333" s="12">
        <v>451290</v>
      </c>
      <c r="S333" s="12">
        <v>135530678</v>
      </c>
      <c r="T333" s="12">
        <v>138532871</v>
      </c>
      <c r="U333" s="12">
        <v>135530678</v>
      </c>
      <c r="V333" s="12">
        <v>138532871</v>
      </c>
      <c r="W333" s="12">
        <v>0</v>
      </c>
      <c r="X333" s="12">
        <v>0</v>
      </c>
      <c r="Y333" s="12">
        <v>7014</v>
      </c>
      <c r="Z333" s="12">
        <v>7052</v>
      </c>
      <c r="AA333" s="11">
        <v>0.54</v>
      </c>
      <c r="AB333" s="12">
        <v>29354728</v>
      </c>
      <c r="AC333" s="12">
        <v>26442714</v>
      </c>
      <c r="AD333" s="12">
        <v>8810800</v>
      </c>
      <c r="AE333" s="12">
        <v>10738114</v>
      </c>
      <c r="AF333" s="12">
        <v>8408749</v>
      </c>
      <c r="AG333" s="12">
        <v>7388778</v>
      </c>
      <c r="AH333" s="11">
        <v>4</v>
      </c>
      <c r="AI333" s="11">
        <v>3.42</v>
      </c>
      <c r="AJ333" s="13"/>
    </row>
    <row r="334" spans="1:36" x14ac:dyDescent="0.25">
      <c r="A334" t="str">
        <f>"400301"</f>
        <v>400301</v>
      </c>
      <c r="B334" t="s">
        <v>421</v>
      </c>
      <c r="C334" s="10">
        <v>44882121</v>
      </c>
      <c r="D334" s="10">
        <v>46746521</v>
      </c>
      <c r="E334" s="11">
        <v>4.1500000000000004</v>
      </c>
      <c r="F334" s="12">
        <v>25797536</v>
      </c>
      <c r="G334" s="12">
        <v>26568882</v>
      </c>
      <c r="H334" s="12"/>
      <c r="I334" s="12"/>
      <c r="J334" s="12"/>
      <c r="K334" s="12"/>
      <c r="L334" s="12"/>
      <c r="M334" s="12"/>
      <c r="N334" s="12">
        <v>25797536</v>
      </c>
      <c r="O334" s="12">
        <v>26568882</v>
      </c>
      <c r="P334" s="11">
        <v>2.99</v>
      </c>
      <c r="Q334" s="12">
        <v>1167185</v>
      </c>
      <c r="R334" s="12">
        <v>1333358</v>
      </c>
      <c r="S334" s="12">
        <v>24729850</v>
      </c>
      <c r="T334" s="12">
        <v>26799988</v>
      </c>
      <c r="U334" s="12">
        <v>24630351</v>
      </c>
      <c r="V334" s="12">
        <v>25235524</v>
      </c>
      <c r="W334" s="12">
        <v>99499</v>
      </c>
      <c r="X334" s="12">
        <v>1564464</v>
      </c>
      <c r="Y334" s="12">
        <v>2161</v>
      </c>
      <c r="Z334" s="12">
        <v>2040</v>
      </c>
      <c r="AA334" s="11">
        <v>-5.6</v>
      </c>
      <c r="AB334" s="12">
        <v>1429999</v>
      </c>
      <c r="AC334" s="12">
        <v>219809</v>
      </c>
      <c r="AD334" s="12">
        <v>700000</v>
      </c>
      <c r="AE334" s="12">
        <v>1740000</v>
      </c>
      <c r="AF334" s="12">
        <v>1839585</v>
      </c>
      <c r="AG334" s="12">
        <v>1598753</v>
      </c>
      <c r="AH334" s="11">
        <v>4.0999999999999996</v>
      </c>
      <c r="AI334" s="11">
        <v>3.42</v>
      </c>
      <c r="AJ334" s="13"/>
    </row>
    <row r="335" spans="1:36" x14ac:dyDescent="0.25">
      <c r="A335" t="str">
        <f>"590901"</f>
        <v>590901</v>
      </c>
      <c r="B335" t="s">
        <v>422</v>
      </c>
      <c r="C335" s="10">
        <v>45913009</v>
      </c>
      <c r="D335" s="10">
        <v>48849113</v>
      </c>
      <c r="E335" s="11">
        <v>6.39</v>
      </c>
      <c r="F335" s="12">
        <v>18666828</v>
      </c>
      <c r="G335" s="12">
        <v>19172136</v>
      </c>
      <c r="H335" s="12">
        <v>0</v>
      </c>
      <c r="I335" s="12">
        <v>12550</v>
      </c>
      <c r="J335" s="12"/>
      <c r="K335" s="12"/>
      <c r="L335" s="12">
        <v>0</v>
      </c>
      <c r="M335" s="12">
        <v>283589</v>
      </c>
      <c r="N335" s="12">
        <v>18666828</v>
      </c>
      <c r="O335" s="12">
        <v>18901097</v>
      </c>
      <c r="P335" s="11">
        <v>1.26</v>
      </c>
      <c r="Q335" s="12">
        <v>0</v>
      </c>
      <c r="R335" s="12">
        <v>0</v>
      </c>
      <c r="S335" s="12">
        <v>18905919</v>
      </c>
      <c r="T335" s="12">
        <v>19184656</v>
      </c>
      <c r="U335" s="12">
        <v>18666828</v>
      </c>
      <c r="V335" s="12">
        <v>19172136</v>
      </c>
      <c r="W335" s="12">
        <v>239091</v>
      </c>
      <c r="X335" s="12">
        <v>12520</v>
      </c>
      <c r="Y335" s="12">
        <v>1776</v>
      </c>
      <c r="Z335" s="12">
        <v>1800</v>
      </c>
      <c r="AA335" s="11">
        <v>1.35</v>
      </c>
      <c r="AB335" s="12">
        <v>1553517</v>
      </c>
      <c r="AC335" s="12">
        <v>1557317</v>
      </c>
      <c r="AD335" s="12">
        <v>120888</v>
      </c>
      <c r="AE335" s="12">
        <v>121188</v>
      </c>
      <c r="AF335" s="12">
        <v>2164455</v>
      </c>
      <c r="AG335" s="12">
        <v>2169655</v>
      </c>
      <c r="AH335" s="11">
        <v>4.71</v>
      </c>
      <c r="AI335" s="11">
        <v>4.4400000000000004</v>
      </c>
      <c r="AJ335" s="13"/>
    </row>
    <row r="336" spans="1:36" x14ac:dyDescent="0.25">
      <c r="A336" t="str">
        <f>"580104"</f>
        <v>580104</v>
      </c>
      <c r="B336" t="s">
        <v>423</v>
      </c>
      <c r="C336" s="10">
        <v>155974566</v>
      </c>
      <c r="D336" s="10">
        <v>160671302</v>
      </c>
      <c r="E336" s="11">
        <v>3.01</v>
      </c>
      <c r="F336" s="12">
        <v>96227213</v>
      </c>
      <c r="G336" s="12">
        <v>99763931</v>
      </c>
      <c r="H336" s="12"/>
      <c r="I336" s="12"/>
      <c r="J336" s="12"/>
      <c r="K336" s="12"/>
      <c r="L336" s="12"/>
      <c r="M336" s="12"/>
      <c r="N336" s="12">
        <v>96227213</v>
      </c>
      <c r="O336" s="12">
        <v>99763931</v>
      </c>
      <c r="P336" s="11">
        <v>3.68</v>
      </c>
      <c r="Q336" s="12">
        <v>2253220</v>
      </c>
      <c r="R336" s="12">
        <v>3659558</v>
      </c>
      <c r="S336" s="12">
        <v>93973993</v>
      </c>
      <c r="T336" s="12">
        <v>96104373</v>
      </c>
      <c r="U336" s="12">
        <v>93973993</v>
      </c>
      <c r="V336" s="12">
        <v>96104373</v>
      </c>
      <c r="W336" s="12">
        <v>0</v>
      </c>
      <c r="X336" s="12">
        <v>0</v>
      </c>
      <c r="Y336" s="12">
        <v>5964</v>
      </c>
      <c r="Z336" s="12">
        <v>5964</v>
      </c>
      <c r="AA336" s="11">
        <v>0</v>
      </c>
      <c r="AB336" s="12">
        <v>13261532</v>
      </c>
      <c r="AC336" s="12">
        <v>15261532</v>
      </c>
      <c r="AD336" s="12">
        <v>1900000</v>
      </c>
      <c r="AE336" s="12">
        <v>1000000</v>
      </c>
      <c r="AF336" s="12">
        <v>6238983</v>
      </c>
      <c r="AG336" s="12">
        <v>6426852</v>
      </c>
      <c r="AH336" s="11">
        <v>4</v>
      </c>
      <c r="AI336" s="11">
        <v>4</v>
      </c>
      <c r="AJ336" s="13"/>
    </row>
    <row r="337" spans="1:36" x14ac:dyDescent="0.25">
      <c r="A337" t="str">
        <f>"511602"</f>
        <v>511602</v>
      </c>
      <c r="B337" t="s">
        <v>424</v>
      </c>
      <c r="C337" s="10">
        <v>12933650</v>
      </c>
      <c r="D337" s="10">
        <v>14103025</v>
      </c>
      <c r="E337" s="11">
        <v>9.0399999999999991</v>
      </c>
      <c r="F337" s="12">
        <v>3409622</v>
      </c>
      <c r="G337" s="12">
        <v>3516083</v>
      </c>
      <c r="H337" s="12"/>
      <c r="I337" s="12"/>
      <c r="J337" s="12"/>
      <c r="K337" s="12"/>
      <c r="L337" s="12"/>
      <c r="M337" s="12"/>
      <c r="N337" s="12">
        <v>3409622</v>
      </c>
      <c r="O337" s="12">
        <v>3516083</v>
      </c>
      <c r="P337" s="11">
        <v>3.12</v>
      </c>
      <c r="Q337" s="12">
        <v>0</v>
      </c>
      <c r="R337" s="12">
        <v>72745</v>
      </c>
      <c r="S337" s="12">
        <v>3409622</v>
      </c>
      <c r="T337" s="12">
        <v>3516083</v>
      </c>
      <c r="U337" s="12">
        <v>3409622</v>
      </c>
      <c r="V337" s="12">
        <v>3443338</v>
      </c>
      <c r="W337" s="12">
        <v>0</v>
      </c>
      <c r="X337" s="12">
        <v>72745</v>
      </c>
      <c r="Y337" s="12">
        <v>585</v>
      </c>
      <c r="Z337" s="12">
        <v>585</v>
      </c>
      <c r="AA337" s="11">
        <v>0</v>
      </c>
      <c r="AB337" s="12">
        <v>1985744</v>
      </c>
      <c r="AC337" s="12">
        <v>1907815</v>
      </c>
      <c r="AD337" s="12">
        <v>2569054</v>
      </c>
      <c r="AE337" s="12">
        <v>2272279</v>
      </c>
      <c r="AF337" s="12">
        <v>517346</v>
      </c>
      <c r="AG337" s="12">
        <v>564121</v>
      </c>
      <c r="AH337" s="11">
        <v>4</v>
      </c>
      <c r="AI337" s="11">
        <v>4</v>
      </c>
      <c r="AJ337" s="13"/>
    </row>
    <row r="338" spans="1:36" x14ac:dyDescent="0.25">
      <c r="A338" t="str">
        <f>"210800"</f>
        <v>210800</v>
      </c>
      <c r="B338" t="s">
        <v>425</v>
      </c>
      <c r="C338" s="10">
        <v>21377838</v>
      </c>
      <c r="D338" s="10">
        <v>22485657</v>
      </c>
      <c r="E338" s="11">
        <v>5.18</v>
      </c>
      <c r="F338" s="12">
        <v>8637397</v>
      </c>
      <c r="G338" s="12">
        <v>8637397</v>
      </c>
      <c r="H338" s="12"/>
      <c r="I338" s="12"/>
      <c r="J338" s="12"/>
      <c r="K338" s="12"/>
      <c r="L338" s="12"/>
      <c r="M338" s="12"/>
      <c r="N338" s="12">
        <v>8637397</v>
      </c>
      <c r="O338" s="12">
        <v>8637397</v>
      </c>
      <c r="P338" s="11">
        <v>0</v>
      </c>
      <c r="Q338" s="12">
        <v>28776</v>
      </c>
      <c r="R338" s="12">
        <v>24848</v>
      </c>
      <c r="S338" s="12">
        <v>8824396</v>
      </c>
      <c r="T338" s="12">
        <v>8948738</v>
      </c>
      <c r="U338" s="12">
        <v>8608621</v>
      </c>
      <c r="V338" s="12">
        <v>8612549</v>
      </c>
      <c r="W338" s="12">
        <v>215775</v>
      </c>
      <c r="X338" s="12">
        <v>336189</v>
      </c>
      <c r="Y338" s="12">
        <v>1107</v>
      </c>
      <c r="Z338" s="12">
        <v>1100</v>
      </c>
      <c r="AA338" s="11">
        <v>-0.63</v>
      </c>
      <c r="AB338" s="12">
        <v>229102</v>
      </c>
      <c r="AC338" s="12">
        <v>0</v>
      </c>
      <c r="AD338" s="12">
        <v>51756</v>
      </c>
      <c r="AE338" s="12">
        <v>510368</v>
      </c>
      <c r="AF338" s="12">
        <v>2681506</v>
      </c>
      <c r="AG338" s="12">
        <v>2171138</v>
      </c>
      <c r="AH338" s="11">
        <v>12.54</v>
      </c>
      <c r="AI338" s="11">
        <v>9.66</v>
      </c>
      <c r="AJ338" s="13"/>
    </row>
    <row r="339" spans="1:36" x14ac:dyDescent="0.25">
      <c r="A339" t="str">
        <f>"421501"</f>
        <v>421501</v>
      </c>
      <c r="B339" t="s">
        <v>426</v>
      </c>
      <c r="C339" s="10">
        <v>153389263</v>
      </c>
      <c r="D339" s="10">
        <v>157546184</v>
      </c>
      <c r="E339" s="11">
        <v>2.71</v>
      </c>
      <c r="F339" s="12">
        <v>82829680</v>
      </c>
      <c r="G339" s="12">
        <v>84542375</v>
      </c>
      <c r="H339" s="12"/>
      <c r="I339" s="12"/>
      <c r="J339" s="12"/>
      <c r="K339" s="12"/>
      <c r="L339" s="12"/>
      <c r="M339" s="12"/>
      <c r="N339" s="12">
        <v>82829680</v>
      </c>
      <c r="O339" s="12">
        <v>84542375</v>
      </c>
      <c r="P339" s="11">
        <v>2.0699999999999998</v>
      </c>
      <c r="Q339" s="12">
        <v>4424564</v>
      </c>
      <c r="R339" s="12">
        <v>4611635</v>
      </c>
      <c r="S339" s="12">
        <v>78405116</v>
      </c>
      <c r="T339" s="12">
        <v>79930740</v>
      </c>
      <c r="U339" s="12">
        <v>78405116</v>
      </c>
      <c r="V339" s="12">
        <v>79930740</v>
      </c>
      <c r="W339" s="12">
        <v>0</v>
      </c>
      <c r="X339" s="12">
        <v>0</v>
      </c>
      <c r="Y339" s="12">
        <v>7283</v>
      </c>
      <c r="Z339" s="12">
        <v>7258</v>
      </c>
      <c r="AA339" s="11">
        <v>-0.34</v>
      </c>
      <c r="AB339" s="12">
        <v>16146778</v>
      </c>
      <c r="AC339" s="12">
        <v>13295055</v>
      </c>
      <c r="AD339" s="12">
        <v>3871866</v>
      </c>
      <c r="AE339" s="12">
        <v>3500000</v>
      </c>
      <c r="AF339" s="12">
        <v>6135570</v>
      </c>
      <c r="AG339" s="12">
        <v>6301846</v>
      </c>
      <c r="AH339" s="11">
        <v>4</v>
      </c>
      <c r="AI339" s="11">
        <v>4</v>
      </c>
      <c r="AJ339" s="13"/>
    </row>
    <row r="340" spans="1:36" x14ac:dyDescent="0.25">
      <c r="A340" t="str">
        <f>"591302"</f>
        <v>591302</v>
      </c>
      <c r="B340" t="s">
        <v>427</v>
      </c>
      <c r="C340" s="10">
        <v>16300529</v>
      </c>
      <c r="D340" s="10">
        <v>16892693</v>
      </c>
      <c r="E340" s="11">
        <v>3.63</v>
      </c>
      <c r="F340" s="12">
        <v>8215438</v>
      </c>
      <c r="G340" s="12">
        <v>8403470</v>
      </c>
      <c r="H340" s="12"/>
      <c r="I340" s="12"/>
      <c r="J340" s="12"/>
      <c r="K340" s="12"/>
      <c r="L340" s="12"/>
      <c r="M340" s="12"/>
      <c r="N340" s="12">
        <v>8215438</v>
      </c>
      <c r="O340" s="12">
        <v>8403470</v>
      </c>
      <c r="P340" s="11">
        <v>2.29</v>
      </c>
      <c r="Q340" s="12">
        <v>0</v>
      </c>
      <c r="R340" s="12">
        <v>0</v>
      </c>
      <c r="S340" s="12">
        <v>8215438</v>
      </c>
      <c r="T340" s="12">
        <v>8403470</v>
      </c>
      <c r="U340" s="12">
        <v>8215438</v>
      </c>
      <c r="V340" s="12">
        <v>8403470</v>
      </c>
      <c r="W340" s="12">
        <v>0</v>
      </c>
      <c r="X340" s="12">
        <v>0</v>
      </c>
      <c r="Y340" s="12">
        <v>497</v>
      </c>
      <c r="Z340" s="12">
        <v>482</v>
      </c>
      <c r="AA340" s="11">
        <v>-3.02</v>
      </c>
      <c r="AB340" s="12">
        <v>6596219</v>
      </c>
      <c r="AC340" s="12">
        <v>5849694</v>
      </c>
      <c r="AD340" s="12">
        <v>700000</v>
      </c>
      <c r="AE340" s="12">
        <v>650000</v>
      </c>
      <c r="AF340" s="12">
        <v>652021</v>
      </c>
      <c r="AG340" s="12">
        <v>675708</v>
      </c>
      <c r="AH340" s="11">
        <v>4</v>
      </c>
      <c r="AI340" s="11">
        <v>4</v>
      </c>
      <c r="AJ340" s="13"/>
    </row>
    <row r="341" spans="1:36" x14ac:dyDescent="0.25">
      <c r="A341" t="str">
        <f>"240801"</f>
        <v>240801</v>
      </c>
      <c r="B341" t="s">
        <v>428</v>
      </c>
      <c r="C341" s="10">
        <v>33844929</v>
      </c>
      <c r="D341" s="10">
        <v>34962545</v>
      </c>
      <c r="E341" s="11">
        <v>3.3</v>
      </c>
      <c r="F341" s="12">
        <v>16915270</v>
      </c>
      <c r="G341" s="12">
        <v>17405810</v>
      </c>
      <c r="H341" s="12"/>
      <c r="I341" s="12"/>
      <c r="J341" s="12"/>
      <c r="K341" s="12"/>
      <c r="L341" s="12"/>
      <c r="M341" s="12"/>
      <c r="N341" s="12">
        <v>16915270</v>
      </c>
      <c r="O341" s="12">
        <v>17405810</v>
      </c>
      <c r="P341" s="11">
        <v>2.9</v>
      </c>
      <c r="Q341" s="12">
        <v>662498</v>
      </c>
      <c r="R341" s="12">
        <v>765484</v>
      </c>
      <c r="S341" s="12">
        <v>16252772</v>
      </c>
      <c r="T341" s="12">
        <v>16695622</v>
      </c>
      <c r="U341" s="12">
        <v>16252772</v>
      </c>
      <c r="V341" s="12">
        <v>16640326</v>
      </c>
      <c r="W341" s="12">
        <v>0</v>
      </c>
      <c r="X341" s="12">
        <v>55296</v>
      </c>
      <c r="Y341" s="12">
        <v>1527</v>
      </c>
      <c r="Z341" s="12">
        <v>1445</v>
      </c>
      <c r="AA341" s="11">
        <v>-5.37</v>
      </c>
      <c r="AB341" s="12">
        <v>1737717</v>
      </c>
      <c r="AC341" s="12">
        <v>1464600</v>
      </c>
      <c r="AD341" s="12">
        <v>670000</v>
      </c>
      <c r="AE341" s="12">
        <v>670000</v>
      </c>
      <c r="AF341" s="12">
        <v>1324720</v>
      </c>
      <c r="AG341" s="12">
        <v>1390000</v>
      </c>
      <c r="AH341" s="11">
        <v>3.91</v>
      </c>
      <c r="AI341" s="11">
        <v>3.98</v>
      </c>
      <c r="AJ341" s="13"/>
    </row>
    <row r="342" spans="1:36" x14ac:dyDescent="0.25">
      <c r="A342" t="str">
        <f>"400400"</f>
        <v>400400</v>
      </c>
      <c r="B342" t="s">
        <v>429</v>
      </c>
      <c r="C342" s="10">
        <v>96818467</v>
      </c>
      <c r="D342" s="10">
        <v>99284670</v>
      </c>
      <c r="E342" s="11">
        <v>2.5499999999999998</v>
      </c>
      <c r="F342" s="12">
        <v>37658476</v>
      </c>
      <c r="G342" s="12">
        <v>38417272</v>
      </c>
      <c r="H342" s="12"/>
      <c r="I342" s="12"/>
      <c r="J342" s="12"/>
      <c r="K342" s="12"/>
      <c r="L342" s="12"/>
      <c r="M342" s="12"/>
      <c r="N342" s="12">
        <v>37658476</v>
      </c>
      <c r="O342" s="12">
        <v>38417272</v>
      </c>
      <c r="P342" s="11">
        <v>2.0099999999999998</v>
      </c>
      <c r="Q342" s="12">
        <v>0</v>
      </c>
      <c r="R342" s="12">
        <v>0</v>
      </c>
      <c r="S342" s="12">
        <v>37658476</v>
      </c>
      <c r="T342" s="12">
        <v>38417272</v>
      </c>
      <c r="U342" s="12">
        <v>37658476</v>
      </c>
      <c r="V342" s="12">
        <v>38417272</v>
      </c>
      <c r="W342" s="12">
        <v>0</v>
      </c>
      <c r="X342" s="12">
        <v>0</v>
      </c>
      <c r="Y342" s="12">
        <v>4569</v>
      </c>
      <c r="Z342" s="12">
        <v>4499</v>
      </c>
      <c r="AA342" s="11">
        <v>-1.53</v>
      </c>
      <c r="AB342" s="12">
        <v>13837748</v>
      </c>
      <c r="AC342" s="12">
        <v>14482164</v>
      </c>
      <c r="AD342" s="12">
        <v>2292777</v>
      </c>
      <c r="AE342" s="12">
        <v>1963911</v>
      </c>
      <c r="AF342" s="12">
        <v>3872739</v>
      </c>
      <c r="AG342" s="12">
        <v>3971386</v>
      </c>
      <c r="AH342" s="11">
        <v>4</v>
      </c>
      <c r="AI342" s="11">
        <v>4</v>
      </c>
      <c r="AJ342" s="13"/>
    </row>
    <row r="343" spans="1:36" x14ac:dyDescent="0.25">
      <c r="A343" t="str">
        <f>"280503"</f>
        <v>280503</v>
      </c>
      <c r="B343" t="s">
        <v>430</v>
      </c>
      <c r="C343" s="10">
        <v>84082613</v>
      </c>
      <c r="D343" s="10">
        <v>85612108</v>
      </c>
      <c r="E343" s="11">
        <v>1.82</v>
      </c>
      <c r="F343" s="12">
        <v>78283529</v>
      </c>
      <c r="G343" s="12">
        <v>79749608</v>
      </c>
      <c r="H343" s="12"/>
      <c r="I343" s="12"/>
      <c r="J343" s="12"/>
      <c r="K343" s="12"/>
      <c r="L343" s="12"/>
      <c r="M343" s="12"/>
      <c r="N343" s="12">
        <v>78283529</v>
      </c>
      <c r="O343" s="12">
        <v>79749608</v>
      </c>
      <c r="P343" s="11">
        <v>1.87</v>
      </c>
      <c r="Q343" s="12">
        <v>3622810</v>
      </c>
      <c r="R343" s="12">
        <v>3479606</v>
      </c>
      <c r="S343" s="12">
        <v>74685638</v>
      </c>
      <c r="T343" s="12">
        <v>76714715</v>
      </c>
      <c r="U343" s="12">
        <v>74660719</v>
      </c>
      <c r="V343" s="12">
        <v>76270002</v>
      </c>
      <c r="W343" s="12">
        <v>24919</v>
      </c>
      <c r="X343" s="12">
        <v>444713</v>
      </c>
      <c r="Y343" s="12">
        <v>2065</v>
      </c>
      <c r="Z343" s="12">
        <v>2040</v>
      </c>
      <c r="AA343" s="11">
        <v>-1.21</v>
      </c>
      <c r="AB343" s="12">
        <v>16639124</v>
      </c>
      <c r="AC343" s="12">
        <v>16641013</v>
      </c>
      <c r="AD343" s="12">
        <v>0</v>
      </c>
      <c r="AE343" s="12">
        <v>0</v>
      </c>
      <c r="AF343" s="12">
        <v>3363303</v>
      </c>
      <c r="AG343" s="12">
        <v>3423000</v>
      </c>
      <c r="AH343" s="11">
        <v>4</v>
      </c>
      <c r="AI343" s="11">
        <v>4</v>
      </c>
      <c r="AJ343" s="13"/>
    </row>
    <row r="344" spans="1:36" x14ac:dyDescent="0.25">
      <c r="A344" t="str">
        <f>"280300"</f>
        <v>280300</v>
      </c>
      <c r="B344" t="s">
        <v>431</v>
      </c>
      <c r="C344" s="10">
        <v>135326640</v>
      </c>
      <c r="D344" s="10">
        <v>139922949</v>
      </c>
      <c r="E344" s="11">
        <v>3.4</v>
      </c>
      <c r="F344" s="12">
        <v>99078437</v>
      </c>
      <c r="G344" s="12">
        <v>102034891</v>
      </c>
      <c r="H344" s="12"/>
      <c r="I344" s="12"/>
      <c r="J344" s="12"/>
      <c r="K344" s="12"/>
      <c r="L344" s="12"/>
      <c r="M344" s="12"/>
      <c r="N344" s="12">
        <v>99078437</v>
      </c>
      <c r="O344" s="12">
        <v>102034891</v>
      </c>
      <c r="P344" s="11">
        <v>2.98</v>
      </c>
      <c r="Q344" s="12">
        <v>6879032</v>
      </c>
      <c r="R344" s="12">
        <v>6988158</v>
      </c>
      <c r="S344" s="12">
        <v>92199405</v>
      </c>
      <c r="T344" s="12">
        <v>95406029</v>
      </c>
      <c r="U344" s="12">
        <v>92199405</v>
      </c>
      <c r="V344" s="12">
        <v>95046733</v>
      </c>
      <c r="W344" s="12">
        <v>0</v>
      </c>
      <c r="X344" s="12">
        <v>359296</v>
      </c>
      <c r="Y344" s="12">
        <v>3673</v>
      </c>
      <c r="Z344" s="12">
        <v>3621</v>
      </c>
      <c r="AA344" s="11">
        <v>-1.42</v>
      </c>
      <c r="AB344" s="12">
        <v>16942413</v>
      </c>
      <c r="AC344" s="12">
        <v>18924778</v>
      </c>
      <c r="AD344" s="12">
        <v>898261</v>
      </c>
      <c r="AE344" s="12">
        <v>751269</v>
      </c>
      <c r="AF344" s="12">
        <v>8433934</v>
      </c>
      <c r="AG344" s="12">
        <v>8598561</v>
      </c>
      <c r="AH344" s="11">
        <v>6.23</v>
      </c>
      <c r="AI344" s="11">
        <v>6.15</v>
      </c>
      <c r="AJ344" s="13"/>
    </row>
    <row r="345" spans="1:36" x14ac:dyDescent="0.25">
      <c r="A345" t="str">
        <f>"200701"</f>
        <v>200701</v>
      </c>
      <c r="B345" t="s">
        <v>432</v>
      </c>
      <c r="C345" s="10">
        <v>3990242</v>
      </c>
      <c r="D345" s="10">
        <v>4067872</v>
      </c>
      <c r="E345" s="11">
        <v>1.95</v>
      </c>
      <c r="F345" s="12">
        <v>2788942</v>
      </c>
      <c r="G345" s="12">
        <v>2849000</v>
      </c>
      <c r="H345" s="12"/>
      <c r="I345" s="12"/>
      <c r="J345" s="12"/>
      <c r="K345" s="12"/>
      <c r="L345" s="12"/>
      <c r="M345" s="12"/>
      <c r="N345" s="12">
        <v>2788942</v>
      </c>
      <c r="O345" s="12">
        <v>2849000</v>
      </c>
      <c r="P345" s="11">
        <v>2.15</v>
      </c>
      <c r="Q345" s="12">
        <v>0</v>
      </c>
      <c r="R345" s="12">
        <v>0</v>
      </c>
      <c r="S345" s="12">
        <v>2789143</v>
      </c>
      <c r="T345" s="12">
        <v>2849189</v>
      </c>
      <c r="U345" s="12">
        <v>2788942</v>
      </c>
      <c r="V345" s="12">
        <v>2849000</v>
      </c>
      <c r="W345" s="12">
        <v>201</v>
      </c>
      <c r="X345" s="12">
        <v>189</v>
      </c>
      <c r="Y345" s="12">
        <v>61</v>
      </c>
      <c r="Z345" s="12">
        <v>61</v>
      </c>
      <c r="AA345" s="11">
        <v>0</v>
      </c>
      <c r="AB345" s="12">
        <v>718312</v>
      </c>
      <c r="AC345" s="12">
        <v>632950</v>
      </c>
      <c r="AD345" s="12">
        <v>949942</v>
      </c>
      <c r="AE345" s="12">
        <v>958172</v>
      </c>
      <c r="AF345" s="12">
        <v>224574</v>
      </c>
      <c r="AG345" s="12">
        <v>162714</v>
      </c>
      <c r="AH345" s="11">
        <v>5.63</v>
      </c>
      <c r="AI345" s="11">
        <v>4</v>
      </c>
      <c r="AJ345" s="13"/>
    </row>
    <row r="346" spans="1:36" x14ac:dyDescent="0.25">
      <c r="A346" t="str">
        <f>"580212"</f>
        <v>580212</v>
      </c>
      <c r="B346" t="s">
        <v>433</v>
      </c>
      <c r="C346" s="10">
        <v>242800000</v>
      </c>
      <c r="D346" s="10">
        <v>250000000</v>
      </c>
      <c r="E346" s="11">
        <v>2.97</v>
      </c>
      <c r="F346" s="12">
        <v>137864766</v>
      </c>
      <c r="G346" s="12">
        <v>142061078</v>
      </c>
      <c r="H346" s="12"/>
      <c r="I346" s="12"/>
      <c r="J346" s="12"/>
      <c r="K346" s="12"/>
      <c r="L346" s="12"/>
      <c r="M346" s="12"/>
      <c r="N346" s="12">
        <v>137864766</v>
      </c>
      <c r="O346" s="12">
        <v>142061078</v>
      </c>
      <c r="P346" s="11">
        <v>3.04</v>
      </c>
      <c r="Q346" s="12">
        <v>3312261</v>
      </c>
      <c r="R346" s="12">
        <v>4877793</v>
      </c>
      <c r="S346" s="12">
        <v>134552505</v>
      </c>
      <c r="T346" s="12">
        <v>137183285</v>
      </c>
      <c r="U346" s="12">
        <v>134552505</v>
      </c>
      <c r="V346" s="12">
        <v>137183285</v>
      </c>
      <c r="W346" s="12">
        <v>0</v>
      </c>
      <c r="X346" s="12">
        <v>0</v>
      </c>
      <c r="Y346" s="12">
        <v>9209</v>
      </c>
      <c r="Z346" s="12">
        <v>9215</v>
      </c>
      <c r="AA346" s="11">
        <v>7.0000000000000007E-2</v>
      </c>
      <c r="AB346" s="12">
        <v>24119394</v>
      </c>
      <c r="AC346" s="12">
        <v>17547827</v>
      </c>
      <c r="AD346" s="12">
        <v>6000000</v>
      </c>
      <c r="AE346" s="12">
        <v>6000000</v>
      </c>
      <c r="AF346" s="12">
        <v>9712000</v>
      </c>
      <c r="AG346" s="12">
        <v>10000000</v>
      </c>
      <c r="AH346" s="11">
        <v>4</v>
      </c>
      <c r="AI346" s="11">
        <v>4</v>
      </c>
      <c r="AJ346" s="13"/>
    </row>
    <row r="347" spans="1:36" x14ac:dyDescent="0.25">
      <c r="A347" t="str">
        <f>"230901"</f>
        <v>230901</v>
      </c>
      <c r="B347" t="s">
        <v>434</v>
      </c>
      <c r="C347" s="10">
        <v>27154444</v>
      </c>
      <c r="D347" s="10">
        <v>27653956</v>
      </c>
      <c r="E347" s="11">
        <v>1.84</v>
      </c>
      <c r="F347" s="12">
        <v>3927275</v>
      </c>
      <c r="G347" s="12">
        <v>4005428</v>
      </c>
      <c r="H347" s="12"/>
      <c r="I347" s="12"/>
      <c r="J347" s="12"/>
      <c r="K347" s="12"/>
      <c r="L347" s="12"/>
      <c r="M347" s="12"/>
      <c r="N347" s="12">
        <v>3927275</v>
      </c>
      <c r="O347" s="12">
        <v>4005428</v>
      </c>
      <c r="P347" s="11">
        <v>1.99</v>
      </c>
      <c r="Q347" s="12">
        <v>152398</v>
      </c>
      <c r="R347" s="12">
        <v>90678</v>
      </c>
      <c r="S347" s="12">
        <v>3774877</v>
      </c>
      <c r="T347" s="12">
        <v>3969697</v>
      </c>
      <c r="U347" s="12">
        <v>3774877</v>
      </c>
      <c r="V347" s="12">
        <v>3914750</v>
      </c>
      <c r="W347" s="12">
        <v>0</v>
      </c>
      <c r="X347" s="12">
        <v>54947</v>
      </c>
      <c r="Y347" s="12">
        <v>1357</v>
      </c>
      <c r="Z347" s="12">
        <v>1367</v>
      </c>
      <c r="AA347" s="11">
        <v>0.74</v>
      </c>
      <c r="AB347" s="12">
        <v>12766640</v>
      </c>
      <c r="AC347" s="12">
        <v>13163128</v>
      </c>
      <c r="AD347" s="12">
        <v>1212796</v>
      </c>
      <c r="AE347" s="12">
        <v>1155000</v>
      </c>
      <c r="AF347" s="12">
        <v>1085845</v>
      </c>
      <c r="AG347" s="12">
        <v>1096762</v>
      </c>
      <c r="AH347" s="11">
        <v>4</v>
      </c>
      <c r="AI347" s="11">
        <v>3.97</v>
      </c>
      <c r="AJ347" s="13"/>
    </row>
    <row r="348" spans="1:36" x14ac:dyDescent="0.25">
      <c r="A348" t="str">
        <f>"221301"</f>
        <v>221301</v>
      </c>
      <c r="B348" t="s">
        <v>435</v>
      </c>
      <c r="C348" s="10">
        <v>7743867</v>
      </c>
      <c r="D348" s="10">
        <v>8109974</v>
      </c>
      <c r="E348" s="11">
        <v>4.7300000000000004</v>
      </c>
      <c r="F348" s="12">
        <v>3975000</v>
      </c>
      <c r="G348" s="12">
        <v>4033318</v>
      </c>
      <c r="H348" s="12"/>
      <c r="I348" s="12"/>
      <c r="J348" s="12"/>
      <c r="K348" s="12"/>
      <c r="L348" s="12"/>
      <c r="M348" s="12"/>
      <c r="N348" s="12">
        <v>3975000</v>
      </c>
      <c r="O348" s="12">
        <v>4033318</v>
      </c>
      <c r="P348" s="11">
        <v>1.47</v>
      </c>
      <c r="Q348" s="12">
        <v>224408</v>
      </c>
      <c r="R348" s="12">
        <v>176089</v>
      </c>
      <c r="S348" s="12">
        <v>3750592</v>
      </c>
      <c r="T348" s="12">
        <v>3857229</v>
      </c>
      <c r="U348" s="12">
        <v>3750592</v>
      </c>
      <c r="V348" s="12">
        <v>3857229</v>
      </c>
      <c r="W348" s="12">
        <v>0</v>
      </c>
      <c r="X348" s="12">
        <v>0</v>
      </c>
      <c r="Y348" s="12">
        <v>345</v>
      </c>
      <c r="Z348" s="12">
        <v>345</v>
      </c>
      <c r="AA348" s="11">
        <v>0</v>
      </c>
      <c r="AB348" s="12">
        <v>2062000</v>
      </c>
      <c r="AC348" s="12">
        <v>2242000</v>
      </c>
      <c r="AD348" s="12">
        <v>363496</v>
      </c>
      <c r="AE348" s="12">
        <v>500000</v>
      </c>
      <c r="AF348" s="12">
        <v>627906</v>
      </c>
      <c r="AG348" s="12">
        <v>649000</v>
      </c>
      <c r="AH348" s="11">
        <v>8.11</v>
      </c>
      <c r="AI348" s="11">
        <v>8</v>
      </c>
      <c r="AJ348" s="13"/>
    </row>
    <row r="349" spans="1:36" x14ac:dyDescent="0.25">
      <c r="A349" t="str">
        <f>"280220"</f>
        <v>280220</v>
      </c>
      <c r="B349" t="s">
        <v>436</v>
      </c>
      <c r="C349" s="10">
        <v>82486886</v>
      </c>
      <c r="D349" s="10">
        <v>85199343</v>
      </c>
      <c r="E349" s="11">
        <v>3.29</v>
      </c>
      <c r="F349" s="12">
        <v>65737442</v>
      </c>
      <c r="G349" s="12">
        <v>67341013</v>
      </c>
      <c r="H349" s="12"/>
      <c r="I349" s="12"/>
      <c r="J349" s="12"/>
      <c r="K349" s="12"/>
      <c r="L349" s="12"/>
      <c r="M349" s="12"/>
      <c r="N349" s="12">
        <v>65737442</v>
      </c>
      <c r="O349" s="12">
        <v>67341013</v>
      </c>
      <c r="P349" s="11">
        <v>2.44</v>
      </c>
      <c r="Q349" s="12">
        <v>0</v>
      </c>
      <c r="R349" s="12">
        <v>0</v>
      </c>
      <c r="S349" s="12">
        <v>65737442</v>
      </c>
      <c r="T349" s="12">
        <v>67341013</v>
      </c>
      <c r="U349" s="12">
        <v>65737442</v>
      </c>
      <c r="V349" s="12">
        <v>67341013</v>
      </c>
      <c r="W349" s="12">
        <v>0</v>
      </c>
      <c r="X349" s="12">
        <v>0</v>
      </c>
      <c r="Y349" s="12">
        <v>2796</v>
      </c>
      <c r="Z349" s="12">
        <v>2790</v>
      </c>
      <c r="AA349" s="11">
        <v>-0.21</v>
      </c>
      <c r="AB349" s="12">
        <v>21831958</v>
      </c>
      <c r="AC349" s="12">
        <v>21496959</v>
      </c>
      <c r="AD349" s="12">
        <v>1500000</v>
      </c>
      <c r="AE349" s="12">
        <v>1500000</v>
      </c>
      <c r="AF349" s="12">
        <v>3299475</v>
      </c>
      <c r="AG349" s="12">
        <v>3407973</v>
      </c>
      <c r="AH349" s="11">
        <v>4</v>
      </c>
      <c r="AI349" s="11">
        <v>4</v>
      </c>
      <c r="AJ349" s="13"/>
    </row>
    <row r="350" spans="1:36" x14ac:dyDescent="0.25">
      <c r="A350" t="str">
        <f>"421504"</f>
        <v>421504</v>
      </c>
      <c r="B350" t="s">
        <v>437</v>
      </c>
      <c r="C350" s="10">
        <v>10304000</v>
      </c>
      <c r="D350" s="10">
        <v>10710000</v>
      </c>
      <c r="E350" s="11">
        <v>3.94</v>
      </c>
      <c r="F350" s="12">
        <v>5445872</v>
      </c>
      <c r="G350" s="12">
        <v>5583344</v>
      </c>
      <c r="H350" s="12"/>
      <c r="I350" s="12"/>
      <c r="J350" s="12"/>
      <c r="K350" s="12"/>
      <c r="L350" s="12"/>
      <c r="M350" s="12"/>
      <c r="N350" s="12">
        <v>5445872</v>
      </c>
      <c r="O350" s="12">
        <v>5583344</v>
      </c>
      <c r="P350" s="11">
        <v>2.52</v>
      </c>
      <c r="Q350" s="12">
        <v>31348</v>
      </c>
      <c r="R350" s="12">
        <v>0</v>
      </c>
      <c r="S350" s="12">
        <v>5414524</v>
      </c>
      <c r="T350" s="12">
        <v>5583344</v>
      </c>
      <c r="U350" s="12">
        <v>5414524</v>
      </c>
      <c r="V350" s="12">
        <v>5583344</v>
      </c>
      <c r="W350" s="12">
        <v>0</v>
      </c>
      <c r="X350" s="12">
        <v>0</v>
      </c>
      <c r="Y350" s="12">
        <v>509</v>
      </c>
      <c r="Z350" s="12">
        <v>519</v>
      </c>
      <c r="AA350" s="11">
        <v>1.96</v>
      </c>
      <c r="AB350" s="12">
        <v>2196586</v>
      </c>
      <c r="AC350" s="12">
        <v>2472570</v>
      </c>
      <c r="AD350" s="12">
        <v>570000</v>
      </c>
      <c r="AE350" s="12">
        <v>485000</v>
      </c>
      <c r="AF350" s="12">
        <v>1360165</v>
      </c>
      <c r="AG350" s="12">
        <v>1150142</v>
      </c>
      <c r="AH350" s="11">
        <v>13.2</v>
      </c>
      <c r="AI350" s="11">
        <v>10.74</v>
      </c>
      <c r="AJ350" s="13"/>
    </row>
    <row r="351" spans="1:36" x14ac:dyDescent="0.25">
      <c r="A351" t="str">
        <f>"451001"</f>
        <v>451001</v>
      </c>
      <c r="B351" t="s">
        <v>438</v>
      </c>
      <c r="C351" s="10">
        <v>13532000</v>
      </c>
      <c r="D351" s="10">
        <v>14006982</v>
      </c>
      <c r="E351" s="11">
        <v>3.51</v>
      </c>
      <c r="F351" s="12">
        <v>4266578</v>
      </c>
      <c r="G351" s="12">
        <v>4309244</v>
      </c>
      <c r="H351" s="12"/>
      <c r="I351" s="12"/>
      <c r="J351" s="12"/>
      <c r="K351" s="12"/>
      <c r="L351" s="12"/>
      <c r="M351" s="12"/>
      <c r="N351" s="12">
        <v>4266578</v>
      </c>
      <c r="O351" s="12">
        <v>4309244</v>
      </c>
      <c r="P351" s="11">
        <v>1</v>
      </c>
      <c r="Q351" s="12">
        <v>0</v>
      </c>
      <c r="R351" s="12">
        <v>0</v>
      </c>
      <c r="S351" s="12">
        <v>4393778</v>
      </c>
      <c r="T351" s="12">
        <v>4453361</v>
      </c>
      <c r="U351" s="12">
        <v>4266578</v>
      </c>
      <c r="V351" s="12">
        <v>4309244</v>
      </c>
      <c r="W351" s="12">
        <v>127200</v>
      </c>
      <c r="X351" s="12">
        <v>144117</v>
      </c>
      <c r="Y351" s="12">
        <v>628</v>
      </c>
      <c r="Z351" s="12">
        <v>627</v>
      </c>
      <c r="AA351" s="11">
        <v>-0.16</v>
      </c>
      <c r="AB351" s="12">
        <v>6320453</v>
      </c>
      <c r="AC351" s="12">
        <v>6022338</v>
      </c>
      <c r="AD351" s="12">
        <v>250000</v>
      </c>
      <c r="AE351" s="12">
        <v>250000</v>
      </c>
      <c r="AF351" s="12">
        <v>539000</v>
      </c>
      <c r="AG351" s="12">
        <v>560279</v>
      </c>
      <c r="AH351" s="11">
        <v>3.98</v>
      </c>
      <c r="AI351" s="11">
        <v>4</v>
      </c>
      <c r="AJ351" s="13"/>
    </row>
    <row r="352" spans="1:36" x14ac:dyDescent="0.25">
      <c r="A352" t="str">
        <f>"650501"</f>
        <v>650501</v>
      </c>
      <c r="B352" t="s">
        <v>439</v>
      </c>
      <c r="C352" s="10">
        <v>22057304</v>
      </c>
      <c r="D352" s="10">
        <v>22937335</v>
      </c>
      <c r="E352" s="11">
        <v>3.99</v>
      </c>
      <c r="F352" s="12">
        <v>4807729</v>
      </c>
      <c r="G352" s="12">
        <v>4889460</v>
      </c>
      <c r="H352" s="12"/>
      <c r="I352" s="12"/>
      <c r="J352" s="12"/>
      <c r="K352" s="12"/>
      <c r="L352" s="12"/>
      <c r="M352" s="12"/>
      <c r="N352" s="12">
        <v>4807729</v>
      </c>
      <c r="O352" s="12">
        <v>4889460</v>
      </c>
      <c r="P352" s="11">
        <v>1.7</v>
      </c>
      <c r="Q352" s="12">
        <v>0</v>
      </c>
      <c r="R352" s="12">
        <v>0</v>
      </c>
      <c r="S352" s="12">
        <v>4807729</v>
      </c>
      <c r="T352" s="12">
        <v>4946397</v>
      </c>
      <c r="U352" s="12">
        <v>4807729</v>
      </c>
      <c r="V352" s="12">
        <v>4889460</v>
      </c>
      <c r="W352" s="12">
        <v>0</v>
      </c>
      <c r="X352" s="12">
        <v>56937</v>
      </c>
      <c r="Y352" s="12">
        <v>968</v>
      </c>
      <c r="Z352" s="12">
        <v>970</v>
      </c>
      <c r="AA352" s="11">
        <v>0.21</v>
      </c>
      <c r="AB352" s="12">
        <v>3066640</v>
      </c>
      <c r="AC352" s="12">
        <v>3266640</v>
      </c>
      <c r="AD352" s="12">
        <v>400000</v>
      </c>
      <c r="AE352" s="12">
        <v>400000</v>
      </c>
      <c r="AF352" s="12">
        <v>797221</v>
      </c>
      <c r="AG352" s="12">
        <v>825745</v>
      </c>
      <c r="AH352" s="11">
        <v>3.61</v>
      </c>
      <c r="AI352" s="11">
        <v>3.6</v>
      </c>
      <c r="AJ352" s="13"/>
    </row>
    <row r="353" spans="1:36" x14ac:dyDescent="0.25">
      <c r="A353" t="str">
        <f>"251101"</f>
        <v>251101</v>
      </c>
      <c r="B353" t="s">
        <v>440</v>
      </c>
      <c r="C353" s="10">
        <v>10083581</v>
      </c>
      <c r="D353" s="10">
        <v>9945818</v>
      </c>
      <c r="E353" s="11">
        <v>-1.37</v>
      </c>
      <c r="F353" s="12">
        <v>3220000</v>
      </c>
      <c r="G353" s="12">
        <v>3292175</v>
      </c>
      <c r="H353" s="12"/>
      <c r="I353" s="12"/>
      <c r="J353" s="12"/>
      <c r="K353" s="12"/>
      <c r="L353" s="12"/>
      <c r="M353" s="12"/>
      <c r="N353" s="12">
        <v>3220000</v>
      </c>
      <c r="O353" s="12">
        <v>3292175</v>
      </c>
      <c r="P353" s="11">
        <v>2.2400000000000002</v>
      </c>
      <c r="Q353" s="12">
        <v>0</v>
      </c>
      <c r="R353" s="12">
        <v>50753</v>
      </c>
      <c r="S353" s="12">
        <v>3301717</v>
      </c>
      <c r="T353" s="12">
        <v>3398710</v>
      </c>
      <c r="U353" s="12">
        <v>3220000</v>
      </c>
      <c r="V353" s="12">
        <v>3241422</v>
      </c>
      <c r="W353" s="12">
        <v>81717</v>
      </c>
      <c r="X353" s="12">
        <v>157288</v>
      </c>
      <c r="Y353" s="12">
        <v>486</v>
      </c>
      <c r="Z353" s="12">
        <v>483</v>
      </c>
      <c r="AA353" s="11">
        <v>-0.62</v>
      </c>
      <c r="AB353" s="12">
        <v>1609710</v>
      </c>
      <c r="AC353" s="12">
        <v>1455067</v>
      </c>
      <c r="AD353" s="12">
        <v>150000</v>
      </c>
      <c r="AE353" s="12">
        <v>150000</v>
      </c>
      <c r="AF353" s="12">
        <v>617997</v>
      </c>
      <c r="AG353" s="12">
        <v>421050</v>
      </c>
      <c r="AH353" s="11">
        <v>6.13</v>
      </c>
      <c r="AI353" s="11">
        <v>4.2300000000000004</v>
      </c>
      <c r="AJ353" s="13"/>
    </row>
    <row r="354" spans="1:36" x14ac:dyDescent="0.25">
      <c r="A354" t="str">
        <f>"511901"</f>
        <v>511901</v>
      </c>
      <c r="B354" t="s">
        <v>441</v>
      </c>
      <c r="C354" s="10">
        <v>16232408</v>
      </c>
      <c r="D354" s="10">
        <v>16833920</v>
      </c>
      <c r="E354" s="11">
        <v>3.71</v>
      </c>
      <c r="F354" s="12">
        <v>4189972</v>
      </c>
      <c r="G354" s="12">
        <v>4303215</v>
      </c>
      <c r="H354" s="12"/>
      <c r="I354" s="12"/>
      <c r="J354" s="12"/>
      <c r="K354" s="12"/>
      <c r="L354" s="12"/>
      <c r="M354" s="12"/>
      <c r="N354" s="12">
        <v>4189972</v>
      </c>
      <c r="O354" s="12">
        <v>4303215</v>
      </c>
      <c r="P354" s="11">
        <v>2.7</v>
      </c>
      <c r="Q354" s="12">
        <v>0</v>
      </c>
      <c r="R354" s="12">
        <v>0</v>
      </c>
      <c r="S354" s="12">
        <v>4191468</v>
      </c>
      <c r="T354" s="12">
        <v>4304329</v>
      </c>
      <c r="U354" s="12">
        <v>4189972</v>
      </c>
      <c r="V354" s="12">
        <v>4303215</v>
      </c>
      <c r="W354" s="12">
        <v>1496</v>
      </c>
      <c r="X354" s="12">
        <v>1114</v>
      </c>
      <c r="Y354" s="12">
        <v>698</v>
      </c>
      <c r="Z354" s="12">
        <v>700</v>
      </c>
      <c r="AA354" s="11">
        <v>0.28999999999999998</v>
      </c>
      <c r="AB354" s="12">
        <v>2220256</v>
      </c>
      <c r="AC354" s="12">
        <v>1866500</v>
      </c>
      <c r="AD354" s="12">
        <v>710000</v>
      </c>
      <c r="AE354" s="12">
        <v>850000</v>
      </c>
      <c r="AF354" s="12">
        <v>505238</v>
      </c>
      <c r="AG354" s="12">
        <v>485000</v>
      </c>
      <c r="AH354" s="11">
        <v>3.11</v>
      </c>
      <c r="AI354" s="11">
        <v>2.88</v>
      </c>
      <c r="AJ354" s="13"/>
    </row>
    <row r="355" spans="1:36" x14ac:dyDescent="0.25">
      <c r="A355" t="str">
        <f>"480101"</f>
        <v>480101</v>
      </c>
      <c r="B355" t="s">
        <v>442</v>
      </c>
      <c r="C355" s="10">
        <v>120748784</v>
      </c>
      <c r="D355" s="10">
        <v>123321009</v>
      </c>
      <c r="E355" s="11">
        <v>2.13</v>
      </c>
      <c r="F355" s="12">
        <v>84000268</v>
      </c>
      <c r="G355" s="12">
        <v>84748943</v>
      </c>
      <c r="H355" s="12"/>
      <c r="I355" s="12"/>
      <c r="J355" s="12"/>
      <c r="K355" s="12"/>
      <c r="L355" s="12"/>
      <c r="M355" s="12"/>
      <c r="N355" s="12">
        <v>84000268</v>
      </c>
      <c r="O355" s="12">
        <v>84748943</v>
      </c>
      <c r="P355" s="11">
        <v>0.89</v>
      </c>
      <c r="Q355" s="12">
        <v>2450005</v>
      </c>
      <c r="R355" s="12">
        <v>5497739</v>
      </c>
      <c r="S355" s="12">
        <v>82685363</v>
      </c>
      <c r="T355" s="12">
        <v>83969527</v>
      </c>
      <c r="U355" s="12">
        <v>81550263</v>
      </c>
      <c r="V355" s="12">
        <v>79251204</v>
      </c>
      <c r="W355" s="12">
        <v>1135100</v>
      </c>
      <c r="X355" s="12">
        <v>4718323</v>
      </c>
      <c r="Y355" s="12">
        <v>4230</v>
      </c>
      <c r="Z355" s="12">
        <v>4148</v>
      </c>
      <c r="AA355" s="11">
        <v>-1.94</v>
      </c>
      <c r="AB355" s="12">
        <v>8860181</v>
      </c>
      <c r="AC355" s="12">
        <v>5388978</v>
      </c>
      <c r="AD355" s="12">
        <v>1471203</v>
      </c>
      <c r="AE355" s="12">
        <v>3500750</v>
      </c>
      <c r="AF355" s="12">
        <v>4812260</v>
      </c>
      <c r="AG355" s="12">
        <v>3311510</v>
      </c>
      <c r="AH355" s="11">
        <v>3.99</v>
      </c>
      <c r="AI355" s="11">
        <v>2.69</v>
      </c>
      <c r="AJ355" s="13"/>
    </row>
    <row r="356" spans="1:36" x14ac:dyDescent="0.25">
      <c r="A356" t="str">
        <f>"031101"</f>
        <v>031101</v>
      </c>
      <c r="B356" t="s">
        <v>443</v>
      </c>
      <c r="C356" s="10">
        <v>51290970</v>
      </c>
      <c r="D356" s="10">
        <v>52498862</v>
      </c>
      <c r="E356" s="11">
        <v>2.35</v>
      </c>
      <c r="F356" s="12">
        <v>23443312</v>
      </c>
      <c r="G356" s="12">
        <v>23929914</v>
      </c>
      <c r="H356" s="12"/>
      <c r="I356" s="12"/>
      <c r="J356" s="12"/>
      <c r="K356" s="12"/>
      <c r="L356" s="12"/>
      <c r="M356" s="12"/>
      <c r="N356" s="12">
        <v>23443312</v>
      </c>
      <c r="O356" s="12">
        <v>23929914</v>
      </c>
      <c r="P356" s="11">
        <v>2.08</v>
      </c>
      <c r="Q356" s="12">
        <v>1173127</v>
      </c>
      <c r="R356" s="12">
        <v>1195507</v>
      </c>
      <c r="S356" s="12">
        <v>22270185</v>
      </c>
      <c r="T356" s="12">
        <v>22734407</v>
      </c>
      <c r="U356" s="12">
        <v>22270185</v>
      </c>
      <c r="V356" s="12">
        <v>22734407</v>
      </c>
      <c r="W356" s="12">
        <v>0</v>
      </c>
      <c r="X356" s="12">
        <v>0</v>
      </c>
      <c r="Y356" s="12">
        <v>2500</v>
      </c>
      <c r="Z356" s="12">
        <v>2500</v>
      </c>
      <c r="AA356" s="11">
        <v>0</v>
      </c>
      <c r="AB356" s="12">
        <v>6732439</v>
      </c>
      <c r="AC356" s="12">
        <v>6464811</v>
      </c>
      <c r="AD356" s="12">
        <v>470000</v>
      </c>
      <c r="AE356" s="12">
        <v>250000</v>
      </c>
      <c r="AF356" s="12">
        <v>1954590</v>
      </c>
      <c r="AG356" s="12">
        <v>1999084</v>
      </c>
      <c r="AH356" s="11">
        <v>3.81</v>
      </c>
      <c r="AI356" s="11">
        <v>3.81</v>
      </c>
      <c r="AJ356" s="13"/>
    </row>
    <row r="357" spans="1:36" x14ac:dyDescent="0.25">
      <c r="A357" t="str">
        <f>"161501"</f>
        <v>161501</v>
      </c>
      <c r="B357" t="s">
        <v>444</v>
      </c>
      <c r="C357" s="10">
        <v>51849855</v>
      </c>
      <c r="D357" s="10">
        <v>51267070</v>
      </c>
      <c r="E357" s="11">
        <v>-1.1200000000000001</v>
      </c>
      <c r="F357" s="12">
        <v>13472092</v>
      </c>
      <c r="G357" s="12">
        <v>13472092</v>
      </c>
      <c r="H357" s="12"/>
      <c r="I357" s="12"/>
      <c r="J357" s="12"/>
      <c r="K357" s="12"/>
      <c r="L357" s="12"/>
      <c r="M357" s="12"/>
      <c r="N357" s="12">
        <v>13472092</v>
      </c>
      <c r="O357" s="12">
        <v>13472092</v>
      </c>
      <c r="P357" s="11">
        <v>0</v>
      </c>
      <c r="Q357" s="12">
        <v>0</v>
      </c>
      <c r="R357" s="12">
        <v>0</v>
      </c>
      <c r="S357" s="12">
        <v>13514242</v>
      </c>
      <c r="T357" s="12">
        <v>13761046</v>
      </c>
      <c r="U357" s="12">
        <v>13472092</v>
      </c>
      <c r="V357" s="12">
        <v>13472092</v>
      </c>
      <c r="W357" s="12">
        <v>42150</v>
      </c>
      <c r="X357" s="12">
        <v>288954</v>
      </c>
      <c r="Y357" s="12">
        <v>2330</v>
      </c>
      <c r="Z357" s="12">
        <v>2330</v>
      </c>
      <c r="AA357" s="11">
        <v>0</v>
      </c>
      <c r="AB357" s="12">
        <v>3760701</v>
      </c>
      <c r="AC357" s="12">
        <v>3880000</v>
      </c>
      <c r="AD357" s="12">
        <v>1486886</v>
      </c>
      <c r="AE357" s="12">
        <v>1623123</v>
      </c>
      <c r="AF357" s="12">
        <v>4165680</v>
      </c>
      <c r="AG357" s="12">
        <v>4546214</v>
      </c>
      <c r="AH357" s="11">
        <v>8.0299999999999994</v>
      </c>
      <c r="AI357" s="11">
        <v>8.8699999999999992</v>
      </c>
      <c r="AJ357" s="13"/>
    </row>
    <row r="358" spans="1:36" x14ac:dyDescent="0.25">
      <c r="A358" t="str">
        <f>"280212"</f>
        <v>280212</v>
      </c>
      <c r="B358" t="s">
        <v>445</v>
      </c>
      <c r="C358" s="10">
        <v>55503162</v>
      </c>
      <c r="D358" s="10">
        <v>57123216</v>
      </c>
      <c r="E358" s="11">
        <v>2.92</v>
      </c>
      <c r="F358" s="12">
        <v>41913176</v>
      </c>
      <c r="G358" s="12">
        <v>43067052</v>
      </c>
      <c r="H358" s="12"/>
      <c r="I358" s="12"/>
      <c r="J358" s="12"/>
      <c r="K358" s="12"/>
      <c r="L358" s="12"/>
      <c r="M358" s="12"/>
      <c r="N358" s="12">
        <v>41913176</v>
      </c>
      <c r="O358" s="12">
        <v>43067052</v>
      </c>
      <c r="P358" s="11">
        <v>2.75</v>
      </c>
      <c r="Q358" s="12">
        <v>571875</v>
      </c>
      <c r="R358" s="12">
        <v>884470</v>
      </c>
      <c r="S358" s="12">
        <v>41353306</v>
      </c>
      <c r="T358" s="12">
        <v>42197582</v>
      </c>
      <c r="U358" s="12">
        <v>41341301</v>
      </c>
      <c r="V358" s="12">
        <v>42182582</v>
      </c>
      <c r="W358" s="12">
        <v>12005</v>
      </c>
      <c r="X358" s="12">
        <v>15000</v>
      </c>
      <c r="Y358" s="12">
        <v>1698</v>
      </c>
      <c r="Z358" s="12">
        <v>1725</v>
      </c>
      <c r="AA358" s="11">
        <v>1.59</v>
      </c>
      <c r="AB358" s="12">
        <v>7645077</v>
      </c>
      <c r="AC358" s="12">
        <v>5379644</v>
      </c>
      <c r="AD358" s="12">
        <v>689862</v>
      </c>
      <c r="AE358" s="12">
        <v>300000</v>
      </c>
      <c r="AF358" s="12">
        <v>2220126</v>
      </c>
      <c r="AG358" s="12">
        <v>2284929</v>
      </c>
      <c r="AH358" s="11">
        <v>4</v>
      </c>
      <c r="AI358" s="11">
        <v>4</v>
      </c>
      <c r="AJ358" s="13"/>
    </row>
    <row r="359" spans="1:36" x14ac:dyDescent="0.25">
      <c r="A359" t="str">
        <f>"660701"</f>
        <v>660701</v>
      </c>
      <c r="B359" t="s">
        <v>446</v>
      </c>
      <c r="C359" s="10">
        <v>135103791</v>
      </c>
      <c r="D359" s="10">
        <v>138940301</v>
      </c>
      <c r="E359" s="11">
        <v>2.84</v>
      </c>
      <c r="F359" s="12">
        <v>120566415</v>
      </c>
      <c r="G359" s="12">
        <v>125356075</v>
      </c>
      <c r="H359" s="12"/>
      <c r="I359" s="12"/>
      <c r="J359" s="12"/>
      <c r="K359" s="12"/>
      <c r="L359" s="12"/>
      <c r="M359" s="12"/>
      <c r="N359" s="12">
        <v>120566415</v>
      </c>
      <c r="O359" s="12">
        <v>125356075</v>
      </c>
      <c r="P359" s="11">
        <v>3.97</v>
      </c>
      <c r="Q359" s="12">
        <v>6081796</v>
      </c>
      <c r="R359" s="12">
        <v>6194577</v>
      </c>
      <c r="S359" s="12">
        <v>113063693</v>
      </c>
      <c r="T359" s="12">
        <v>117718871</v>
      </c>
      <c r="U359" s="12">
        <v>114484619</v>
      </c>
      <c r="V359" s="12">
        <v>119161498</v>
      </c>
      <c r="W359" s="12">
        <v>-1420926</v>
      </c>
      <c r="X359" s="12">
        <v>-1442627</v>
      </c>
      <c r="Y359" s="12">
        <v>5455</v>
      </c>
      <c r="Z359" s="12">
        <v>5703</v>
      </c>
      <c r="AA359" s="11">
        <v>4.55</v>
      </c>
      <c r="AB359" s="12">
        <v>4985818</v>
      </c>
      <c r="AC359" s="12">
        <v>4735818</v>
      </c>
      <c r="AD359" s="12">
        <v>2561504</v>
      </c>
      <c r="AE359" s="12">
        <v>1250000</v>
      </c>
      <c r="AF359" s="12">
        <v>4500244</v>
      </c>
      <c r="AG359" s="12">
        <v>4381737</v>
      </c>
      <c r="AH359" s="11">
        <v>3.33</v>
      </c>
      <c r="AI359" s="11">
        <v>3.15</v>
      </c>
      <c r="AJ359" s="13"/>
    </row>
    <row r="360" spans="1:36" x14ac:dyDescent="0.25">
      <c r="A360" t="str">
        <f>"431101"</f>
        <v>431101</v>
      </c>
      <c r="B360" t="s">
        <v>447</v>
      </c>
      <c r="C360" s="10">
        <v>17114000</v>
      </c>
      <c r="D360" s="10">
        <v>17456280</v>
      </c>
      <c r="E360" s="11">
        <v>2</v>
      </c>
      <c r="F360" s="12">
        <v>7319605</v>
      </c>
      <c r="G360" s="12">
        <v>7429400</v>
      </c>
      <c r="H360" s="12"/>
      <c r="I360" s="12"/>
      <c r="J360" s="12"/>
      <c r="K360" s="12"/>
      <c r="L360" s="12"/>
      <c r="M360" s="12"/>
      <c r="N360" s="12">
        <v>7319605</v>
      </c>
      <c r="O360" s="12">
        <v>7429400</v>
      </c>
      <c r="P360" s="11">
        <v>1.5</v>
      </c>
      <c r="Q360" s="12">
        <v>1399</v>
      </c>
      <c r="R360" s="12">
        <v>0</v>
      </c>
      <c r="S360" s="12">
        <v>7518954</v>
      </c>
      <c r="T360" s="12">
        <v>7619304</v>
      </c>
      <c r="U360" s="12">
        <v>7318206</v>
      </c>
      <c r="V360" s="12">
        <v>7429400</v>
      </c>
      <c r="W360" s="12">
        <v>200748</v>
      </c>
      <c r="X360" s="12">
        <v>189904</v>
      </c>
      <c r="Y360" s="12">
        <v>815</v>
      </c>
      <c r="Z360" s="12">
        <v>810</v>
      </c>
      <c r="AA360" s="11">
        <v>-0.61</v>
      </c>
      <c r="AB360" s="12">
        <v>5200095</v>
      </c>
      <c r="AC360" s="12">
        <v>4941166</v>
      </c>
      <c r="AD360" s="12">
        <v>635000</v>
      </c>
      <c r="AE360" s="12">
        <v>555000</v>
      </c>
      <c r="AF360" s="12">
        <v>684561</v>
      </c>
      <c r="AG360" s="12">
        <v>698251</v>
      </c>
      <c r="AH360" s="11">
        <v>4</v>
      </c>
      <c r="AI360" s="11">
        <v>4</v>
      </c>
      <c r="AJ360" s="13"/>
    </row>
    <row r="361" spans="1:36" x14ac:dyDescent="0.25">
      <c r="A361" t="str">
        <f>"280406"</f>
        <v>280406</v>
      </c>
      <c r="B361" t="s">
        <v>448</v>
      </c>
      <c r="C361" s="10">
        <v>93890748</v>
      </c>
      <c r="D361" s="10">
        <v>96369935</v>
      </c>
      <c r="E361" s="11">
        <v>2.64</v>
      </c>
      <c r="F361" s="12">
        <v>83908381</v>
      </c>
      <c r="G361" s="12">
        <v>86421243</v>
      </c>
      <c r="H361" s="12"/>
      <c r="I361" s="12"/>
      <c r="J361" s="12"/>
      <c r="K361" s="12"/>
      <c r="L361" s="12"/>
      <c r="M361" s="12"/>
      <c r="N361" s="12">
        <v>83908381</v>
      </c>
      <c r="O361" s="12">
        <v>86421243</v>
      </c>
      <c r="P361" s="11">
        <v>2.99</v>
      </c>
      <c r="Q361" s="12">
        <v>2449572</v>
      </c>
      <c r="R361" s="12">
        <v>2445957</v>
      </c>
      <c r="S361" s="12">
        <v>81458809</v>
      </c>
      <c r="T361" s="12">
        <v>83975286</v>
      </c>
      <c r="U361" s="12">
        <v>81458809</v>
      </c>
      <c r="V361" s="12">
        <v>83975286</v>
      </c>
      <c r="W361" s="12">
        <v>0</v>
      </c>
      <c r="X361" s="12">
        <v>0</v>
      </c>
      <c r="Y361" s="12">
        <v>3289</v>
      </c>
      <c r="Z361" s="12">
        <v>3257</v>
      </c>
      <c r="AA361" s="11">
        <v>-0.97</v>
      </c>
      <c r="AB361" s="12">
        <v>4637441</v>
      </c>
      <c r="AC361" s="12">
        <v>4051843</v>
      </c>
      <c r="AD361" s="12">
        <v>595120</v>
      </c>
      <c r="AE361" s="12">
        <v>595120</v>
      </c>
      <c r="AF361" s="12">
        <v>3755630</v>
      </c>
      <c r="AG361" s="12">
        <v>3854797</v>
      </c>
      <c r="AH361" s="11">
        <v>4</v>
      </c>
      <c r="AI361" s="11">
        <v>4</v>
      </c>
      <c r="AJ361" s="13"/>
    </row>
    <row r="362" spans="1:36" x14ac:dyDescent="0.25">
      <c r="A362" t="str">
        <f>"110901"</f>
        <v>110901</v>
      </c>
      <c r="B362" t="s">
        <v>449</v>
      </c>
      <c r="C362" s="10">
        <v>17844596</v>
      </c>
      <c r="D362" s="10">
        <v>18236220</v>
      </c>
      <c r="E362" s="11">
        <v>2.19</v>
      </c>
      <c r="F362" s="12">
        <v>3888400</v>
      </c>
      <c r="G362" s="12">
        <v>3927800</v>
      </c>
      <c r="H362" s="12">
        <v>52000</v>
      </c>
      <c r="I362" s="12">
        <v>52000</v>
      </c>
      <c r="J362" s="12"/>
      <c r="K362" s="12"/>
      <c r="L362" s="12">
        <v>0</v>
      </c>
      <c r="M362" s="12">
        <v>20326</v>
      </c>
      <c r="N362" s="12">
        <v>3940400</v>
      </c>
      <c r="O362" s="12">
        <v>3959474</v>
      </c>
      <c r="P362" s="11">
        <v>0.48</v>
      </c>
      <c r="Q362" s="12">
        <v>159033</v>
      </c>
      <c r="R362" s="12">
        <v>144223</v>
      </c>
      <c r="S362" s="12">
        <v>3786915</v>
      </c>
      <c r="T362" s="12">
        <v>3805711</v>
      </c>
      <c r="U362" s="12">
        <v>3729367</v>
      </c>
      <c r="V362" s="12">
        <v>3783577</v>
      </c>
      <c r="W362" s="12">
        <v>57548</v>
      </c>
      <c r="X362" s="12">
        <v>22134</v>
      </c>
      <c r="Y362" s="12">
        <v>714</v>
      </c>
      <c r="Z362" s="12">
        <v>720</v>
      </c>
      <c r="AA362" s="11">
        <v>0.84</v>
      </c>
      <c r="AB362" s="12">
        <v>5896517</v>
      </c>
      <c r="AC362" s="12">
        <v>5963624</v>
      </c>
      <c r="AD362" s="12">
        <v>1125010</v>
      </c>
      <c r="AE362" s="12">
        <v>1262110</v>
      </c>
      <c r="AF362" s="12">
        <v>868267</v>
      </c>
      <c r="AG362" s="12">
        <v>729449</v>
      </c>
      <c r="AH362" s="11">
        <v>4.87</v>
      </c>
      <c r="AI362" s="11">
        <v>4</v>
      </c>
      <c r="AJ362" s="13"/>
    </row>
    <row r="363" spans="1:36" x14ac:dyDescent="0.25">
      <c r="A363" t="str">
        <f>"421101"</f>
        <v>421101</v>
      </c>
      <c r="B363" t="s">
        <v>450</v>
      </c>
      <c r="C363" s="10">
        <v>34392500</v>
      </c>
      <c r="D363" s="10">
        <v>35503851</v>
      </c>
      <c r="E363" s="11">
        <v>3.23</v>
      </c>
      <c r="F363" s="12">
        <v>18567530</v>
      </c>
      <c r="G363" s="12">
        <v>18953041</v>
      </c>
      <c r="H363" s="12"/>
      <c r="I363" s="12"/>
      <c r="J363" s="12"/>
      <c r="K363" s="12"/>
      <c r="L363" s="12"/>
      <c r="M363" s="12"/>
      <c r="N363" s="12">
        <v>18567530</v>
      </c>
      <c r="O363" s="12">
        <v>18953041</v>
      </c>
      <c r="P363" s="11">
        <v>2.08</v>
      </c>
      <c r="Q363" s="12">
        <v>804881</v>
      </c>
      <c r="R363" s="12">
        <v>770746</v>
      </c>
      <c r="S363" s="12">
        <v>17762649</v>
      </c>
      <c r="T363" s="12">
        <v>18182295</v>
      </c>
      <c r="U363" s="12">
        <v>17762649</v>
      </c>
      <c r="V363" s="12">
        <v>18182295</v>
      </c>
      <c r="W363" s="12">
        <v>0</v>
      </c>
      <c r="X363" s="12">
        <v>0</v>
      </c>
      <c r="Y363" s="12">
        <v>1588</v>
      </c>
      <c r="Z363" s="12">
        <v>1543</v>
      </c>
      <c r="AA363" s="11">
        <v>-2.83</v>
      </c>
      <c r="AB363" s="12">
        <v>2991160</v>
      </c>
      <c r="AC363" s="12">
        <v>2991160</v>
      </c>
      <c r="AD363" s="12">
        <v>1349439</v>
      </c>
      <c r="AE363" s="12">
        <v>1349439</v>
      </c>
      <c r="AF363" s="12">
        <v>1451563</v>
      </c>
      <c r="AG363" s="12">
        <v>1400000</v>
      </c>
      <c r="AH363" s="11">
        <v>4.22</v>
      </c>
      <c r="AI363" s="11">
        <v>3.94</v>
      </c>
      <c r="AJ363" s="13"/>
    </row>
    <row r="364" spans="1:36" x14ac:dyDescent="0.25">
      <c r="A364" t="str">
        <f>"121401"</f>
        <v>121401</v>
      </c>
      <c r="B364" t="s">
        <v>451</v>
      </c>
      <c r="C364" s="10">
        <v>11812546</v>
      </c>
      <c r="D364" s="10">
        <v>12026275</v>
      </c>
      <c r="E364" s="11">
        <v>1.81</v>
      </c>
      <c r="F364" s="12">
        <v>7512249</v>
      </c>
      <c r="G364" s="12">
        <v>7662765</v>
      </c>
      <c r="H364" s="12"/>
      <c r="I364" s="12"/>
      <c r="J364" s="12"/>
      <c r="K364" s="12"/>
      <c r="L364" s="12"/>
      <c r="M364" s="12"/>
      <c r="N364" s="12">
        <v>7512249</v>
      </c>
      <c r="O364" s="12">
        <v>7662765</v>
      </c>
      <c r="P364" s="11">
        <v>2</v>
      </c>
      <c r="Q364" s="12">
        <v>632925</v>
      </c>
      <c r="R364" s="12">
        <v>625732</v>
      </c>
      <c r="S364" s="12">
        <v>6879324</v>
      </c>
      <c r="T364" s="12">
        <v>7037033</v>
      </c>
      <c r="U364" s="12">
        <v>6879324</v>
      </c>
      <c r="V364" s="12">
        <v>7037033</v>
      </c>
      <c r="W364" s="12">
        <v>0</v>
      </c>
      <c r="X364" s="12">
        <v>0</v>
      </c>
      <c r="Y364" s="12">
        <v>375</v>
      </c>
      <c r="Z364" s="12">
        <v>375</v>
      </c>
      <c r="AA364" s="11">
        <v>0</v>
      </c>
      <c r="AB364" s="12">
        <v>2413702</v>
      </c>
      <c r="AC364" s="12">
        <v>2187898</v>
      </c>
      <c r="AD364" s="12">
        <v>601423</v>
      </c>
      <c r="AE364" s="12">
        <v>164712</v>
      </c>
      <c r="AF364" s="12">
        <v>2594120</v>
      </c>
      <c r="AG364" s="12">
        <v>2721097</v>
      </c>
      <c r="AH364" s="11">
        <v>21.96</v>
      </c>
      <c r="AI364" s="11">
        <v>22.63</v>
      </c>
      <c r="AJ364" s="13"/>
    </row>
    <row r="365" spans="1:36" x14ac:dyDescent="0.25">
      <c r="A365" t="str">
        <f>"650701"</f>
        <v>650701</v>
      </c>
      <c r="B365" t="s">
        <v>452</v>
      </c>
      <c r="C365" s="10">
        <v>18924625</v>
      </c>
      <c r="D365" s="10">
        <v>19538310</v>
      </c>
      <c r="E365" s="11">
        <v>3.24</v>
      </c>
      <c r="F365" s="12">
        <v>6360169</v>
      </c>
      <c r="G365" s="12">
        <v>6580000</v>
      </c>
      <c r="H365" s="12"/>
      <c r="I365" s="12"/>
      <c r="J365" s="12"/>
      <c r="K365" s="12"/>
      <c r="L365" s="12"/>
      <c r="M365" s="12"/>
      <c r="N365" s="12">
        <v>6360169</v>
      </c>
      <c r="O365" s="12">
        <v>6580000</v>
      </c>
      <c r="P365" s="11">
        <v>3.46</v>
      </c>
      <c r="Q365" s="12">
        <v>0</v>
      </c>
      <c r="R365" s="12">
        <v>0</v>
      </c>
      <c r="S365" s="12">
        <v>6360169</v>
      </c>
      <c r="T365" s="12">
        <v>6588906</v>
      </c>
      <c r="U365" s="12">
        <v>6360169</v>
      </c>
      <c r="V365" s="12">
        <v>6580000</v>
      </c>
      <c r="W365" s="12">
        <v>0</v>
      </c>
      <c r="X365" s="12">
        <v>8906</v>
      </c>
      <c r="Y365" s="12">
        <v>695</v>
      </c>
      <c r="Z365" s="12">
        <v>698</v>
      </c>
      <c r="AA365" s="11">
        <v>0.43</v>
      </c>
      <c r="AB365" s="12">
        <v>3994327</v>
      </c>
      <c r="AC365" s="12">
        <v>4593201</v>
      </c>
      <c r="AD365" s="12">
        <v>69325</v>
      </c>
      <c r="AE365" s="12">
        <v>130362</v>
      </c>
      <c r="AF365" s="12">
        <v>756985</v>
      </c>
      <c r="AG365" s="12">
        <v>781532</v>
      </c>
      <c r="AH365" s="11">
        <v>4</v>
      </c>
      <c r="AI365" s="11">
        <v>4</v>
      </c>
      <c r="AJ365" s="13"/>
    </row>
    <row r="366" spans="1:36" x14ac:dyDescent="0.25">
      <c r="A366" t="str">
        <f>"621001"</f>
        <v>621001</v>
      </c>
      <c r="B366" t="s">
        <v>453</v>
      </c>
      <c r="C366" s="10">
        <v>56736856</v>
      </c>
      <c r="D366" s="10">
        <v>56888880</v>
      </c>
      <c r="E366" s="11">
        <v>0.27</v>
      </c>
      <c r="F366" s="12">
        <v>33948733</v>
      </c>
      <c r="G366" s="12">
        <v>34778968</v>
      </c>
      <c r="H366" s="12"/>
      <c r="I366" s="12"/>
      <c r="J366" s="12"/>
      <c r="K366" s="12"/>
      <c r="L366" s="12"/>
      <c r="M366" s="12"/>
      <c r="N366" s="12">
        <v>33948733</v>
      </c>
      <c r="O366" s="12">
        <v>34778968</v>
      </c>
      <c r="P366" s="11">
        <v>2.4500000000000002</v>
      </c>
      <c r="Q366" s="12">
        <v>1312627</v>
      </c>
      <c r="R366" s="12">
        <v>1411783</v>
      </c>
      <c r="S366" s="12">
        <v>32636106</v>
      </c>
      <c r="T366" s="12">
        <v>33367185</v>
      </c>
      <c r="U366" s="12">
        <v>32636106</v>
      </c>
      <c r="V366" s="12">
        <v>33367185</v>
      </c>
      <c r="W366" s="12">
        <v>0</v>
      </c>
      <c r="X366" s="12">
        <v>0</v>
      </c>
      <c r="Y366" s="12">
        <v>2010</v>
      </c>
      <c r="Z366" s="12">
        <v>2000</v>
      </c>
      <c r="AA366" s="11">
        <v>-0.5</v>
      </c>
      <c r="AB366" s="12">
        <v>5667640</v>
      </c>
      <c r="AC366" s="12">
        <v>4481515</v>
      </c>
      <c r="AD366" s="12">
        <v>3758926</v>
      </c>
      <c r="AE366" s="12">
        <v>3832936</v>
      </c>
      <c r="AF366" s="12">
        <v>3261640</v>
      </c>
      <c r="AG366" s="12">
        <v>2272048</v>
      </c>
      <c r="AH366" s="11">
        <v>5.75</v>
      </c>
      <c r="AI366" s="11">
        <v>3.99</v>
      </c>
      <c r="AJ366" s="13"/>
    </row>
    <row r="367" spans="1:36" x14ac:dyDescent="0.25">
      <c r="A367" t="str">
        <f>"280523"</f>
        <v>280523</v>
      </c>
      <c r="B367" t="s">
        <v>454</v>
      </c>
      <c r="C367" s="10">
        <v>194619501</v>
      </c>
      <c r="D367" s="10">
        <v>199808099</v>
      </c>
      <c r="E367" s="11">
        <v>2.67</v>
      </c>
      <c r="F367" s="12">
        <v>156090323</v>
      </c>
      <c r="G367" s="12">
        <v>159106027</v>
      </c>
      <c r="H367" s="12"/>
      <c r="I367" s="12"/>
      <c r="J367" s="12"/>
      <c r="K367" s="12"/>
      <c r="L367" s="12"/>
      <c r="M367" s="12"/>
      <c r="N367" s="12">
        <v>156090323</v>
      </c>
      <c r="O367" s="12">
        <v>159106027</v>
      </c>
      <c r="P367" s="11">
        <v>1.93</v>
      </c>
      <c r="Q367" s="12">
        <v>4165760</v>
      </c>
      <c r="R367" s="12">
        <v>3076797</v>
      </c>
      <c r="S367" s="12">
        <v>151970382</v>
      </c>
      <c r="T367" s="12">
        <v>156169121</v>
      </c>
      <c r="U367" s="12">
        <v>151924563</v>
      </c>
      <c r="V367" s="12">
        <v>156029230</v>
      </c>
      <c r="W367" s="12">
        <v>45819</v>
      </c>
      <c r="X367" s="12">
        <v>139891</v>
      </c>
      <c r="Y367" s="12">
        <v>6892</v>
      </c>
      <c r="Z367" s="12">
        <v>6741</v>
      </c>
      <c r="AA367" s="11">
        <v>-2.19</v>
      </c>
      <c r="AB367" s="12">
        <v>45680393</v>
      </c>
      <c r="AC367" s="12">
        <v>35555393</v>
      </c>
      <c r="AD367" s="12">
        <v>850000</v>
      </c>
      <c r="AE367" s="12">
        <v>850000</v>
      </c>
      <c r="AF367" s="12">
        <v>5680687</v>
      </c>
      <c r="AG367" s="12">
        <v>5980687</v>
      </c>
      <c r="AH367" s="11">
        <v>2.92</v>
      </c>
      <c r="AI367" s="11">
        <v>2.99</v>
      </c>
      <c r="AJ367" s="13"/>
    </row>
    <row r="368" spans="1:36" x14ac:dyDescent="0.25">
      <c r="A368" t="str">
        <f>"512001"</f>
        <v>512001</v>
      </c>
      <c r="B368" t="s">
        <v>455</v>
      </c>
      <c r="C368" s="10">
        <v>52640975</v>
      </c>
      <c r="D368" s="10">
        <v>54442331</v>
      </c>
      <c r="E368" s="11">
        <v>3.42</v>
      </c>
      <c r="F368" s="12">
        <v>14399748</v>
      </c>
      <c r="G368" s="12">
        <v>14542306</v>
      </c>
      <c r="H368" s="12"/>
      <c r="I368" s="12"/>
      <c r="J368" s="12"/>
      <c r="K368" s="12"/>
      <c r="L368" s="12"/>
      <c r="M368" s="12"/>
      <c r="N368" s="12">
        <v>14399748</v>
      </c>
      <c r="O368" s="12">
        <v>14542306</v>
      </c>
      <c r="P368" s="11">
        <v>0.99</v>
      </c>
      <c r="Q368" s="12">
        <v>0</v>
      </c>
      <c r="R368" s="12">
        <v>0</v>
      </c>
      <c r="S368" s="12">
        <v>14531036</v>
      </c>
      <c r="T368" s="12">
        <v>14832973</v>
      </c>
      <c r="U368" s="12">
        <v>14399748</v>
      </c>
      <c r="V368" s="12">
        <v>14542306</v>
      </c>
      <c r="W368" s="12">
        <v>131288</v>
      </c>
      <c r="X368" s="12">
        <v>290667</v>
      </c>
      <c r="Y368" s="12">
        <v>2615</v>
      </c>
      <c r="Z368" s="12">
        <v>2585</v>
      </c>
      <c r="AA368" s="11">
        <v>-1.1499999999999999</v>
      </c>
      <c r="AB368" s="12">
        <v>17951609</v>
      </c>
      <c r="AC368" s="12">
        <v>18161609</v>
      </c>
      <c r="AD368" s="12">
        <v>2383770</v>
      </c>
      <c r="AE368" s="12">
        <v>2268679</v>
      </c>
      <c r="AF368" s="12">
        <v>2741162</v>
      </c>
      <c r="AG368" s="12">
        <v>2666511</v>
      </c>
      <c r="AH368" s="11">
        <v>5.21</v>
      </c>
      <c r="AI368" s="11">
        <v>4.9000000000000004</v>
      </c>
      <c r="AJ368" s="13"/>
    </row>
    <row r="369" spans="1:36" x14ac:dyDescent="0.25">
      <c r="A369" t="str">
        <f>"581012"</f>
        <v>581012</v>
      </c>
      <c r="B369" t="s">
        <v>456</v>
      </c>
      <c r="C369" s="10">
        <v>40765316</v>
      </c>
      <c r="D369" s="10">
        <v>40676974</v>
      </c>
      <c r="E369" s="11">
        <v>-0.22</v>
      </c>
      <c r="F369" s="12">
        <v>36109638</v>
      </c>
      <c r="G369" s="12">
        <v>36163125</v>
      </c>
      <c r="H369" s="12"/>
      <c r="I369" s="12"/>
      <c r="J369" s="12"/>
      <c r="K369" s="12"/>
      <c r="L369" s="12"/>
      <c r="M369" s="12"/>
      <c r="N369" s="12">
        <v>36109638</v>
      </c>
      <c r="O369" s="12">
        <v>36163125</v>
      </c>
      <c r="P369" s="11">
        <v>0.15</v>
      </c>
      <c r="Q369" s="12">
        <v>2358808</v>
      </c>
      <c r="R369" s="12">
        <v>1689838</v>
      </c>
      <c r="S369" s="12">
        <v>34222831</v>
      </c>
      <c r="T369" s="12">
        <v>34769309</v>
      </c>
      <c r="U369" s="12">
        <v>33750830</v>
      </c>
      <c r="V369" s="12">
        <v>34473287</v>
      </c>
      <c r="W369" s="12">
        <v>472001</v>
      </c>
      <c r="X369" s="12">
        <v>296022</v>
      </c>
      <c r="Y369" s="12">
        <v>1164</v>
      </c>
      <c r="Z369" s="12">
        <v>1113</v>
      </c>
      <c r="AA369" s="11">
        <v>-4.38</v>
      </c>
      <c r="AB369" s="12">
        <v>8053463</v>
      </c>
      <c r="AC369" s="12">
        <v>8128463</v>
      </c>
      <c r="AD369" s="12">
        <v>1116081</v>
      </c>
      <c r="AE369" s="12">
        <v>700000</v>
      </c>
      <c r="AF369" s="12">
        <v>1630613</v>
      </c>
      <c r="AG369" s="12">
        <v>1627079</v>
      </c>
      <c r="AH369" s="11">
        <v>4</v>
      </c>
      <c r="AI369" s="11">
        <v>4</v>
      </c>
      <c r="AJ369" s="13"/>
    </row>
    <row r="370" spans="1:36" x14ac:dyDescent="0.25">
      <c r="A370" t="str">
        <f>"170801"</f>
        <v>170801</v>
      </c>
      <c r="B370" t="s">
        <v>457</v>
      </c>
      <c r="C370" s="10">
        <v>18500012</v>
      </c>
      <c r="D370" s="10">
        <v>18769500</v>
      </c>
      <c r="E370" s="11">
        <v>1.46</v>
      </c>
      <c r="F370" s="12">
        <v>7523031</v>
      </c>
      <c r="G370" s="12">
        <v>7716534</v>
      </c>
      <c r="H370" s="12"/>
      <c r="I370" s="12"/>
      <c r="J370" s="12"/>
      <c r="K370" s="12"/>
      <c r="L370" s="12"/>
      <c r="M370" s="12"/>
      <c r="N370" s="12">
        <v>7523031</v>
      </c>
      <c r="O370" s="12">
        <v>7716534</v>
      </c>
      <c r="P370" s="11">
        <v>2.57</v>
      </c>
      <c r="Q370" s="12">
        <v>190243</v>
      </c>
      <c r="R370" s="12">
        <v>208698</v>
      </c>
      <c r="S370" s="12">
        <v>7332788</v>
      </c>
      <c r="T370" s="12">
        <v>7507836</v>
      </c>
      <c r="U370" s="12">
        <v>7332788</v>
      </c>
      <c r="V370" s="12">
        <v>7507836</v>
      </c>
      <c r="W370" s="12">
        <v>0</v>
      </c>
      <c r="X370" s="12">
        <v>0</v>
      </c>
      <c r="Y370" s="12">
        <v>953</v>
      </c>
      <c r="Z370" s="12">
        <v>953</v>
      </c>
      <c r="AA370" s="11">
        <v>0</v>
      </c>
      <c r="AB370" s="12">
        <v>3292740</v>
      </c>
      <c r="AC370" s="12">
        <v>3069204</v>
      </c>
      <c r="AD370" s="12">
        <v>1128042</v>
      </c>
      <c r="AE370" s="12">
        <v>672956</v>
      </c>
      <c r="AF370" s="12">
        <v>734360</v>
      </c>
      <c r="AG370" s="12">
        <v>758150</v>
      </c>
      <c r="AH370" s="11">
        <v>3.97</v>
      </c>
      <c r="AI370" s="11">
        <v>4.04</v>
      </c>
      <c r="AJ370" s="13"/>
    </row>
    <row r="371" spans="1:36" x14ac:dyDescent="0.25">
      <c r="A371" t="str">
        <f>"110304"</f>
        <v>110304</v>
      </c>
      <c r="B371" t="s">
        <v>458</v>
      </c>
      <c r="C371" s="10">
        <v>12140290</v>
      </c>
      <c r="D371" s="10">
        <v>12529656</v>
      </c>
      <c r="E371" s="11">
        <v>3.21</v>
      </c>
      <c r="F371" s="12">
        <v>3042873</v>
      </c>
      <c r="G371" s="12">
        <v>3103730</v>
      </c>
      <c r="H371" s="12"/>
      <c r="I371" s="12"/>
      <c r="J371" s="12"/>
      <c r="K371" s="12"/>
      <c r="L371" s="12"/>
      <c r="M371" s="12"/>
      <c r="N371" s="12">
        <v>3042873</v>
      </c>
      <c r="O371" s="12">
        <v>3103730</v>
      </c>
      <c r="P371" s="11">
        <v>2</v>
      </c>
      <c r="Q371" s="12">
        <v>0</v>
      </c>
      <c r="R371" s="12">
        <v>0</v>
      </c>
      <c r="S371" s="12">
        <v>3042877</v>
      </c>
      <c r="T371" s="12">
        <v>3111183</v>
      </c>
      <c r="U371" s="12">
        <v>3042873</v>
      </c>
      <c r="V371" s="12">
        <v>3103730</v>
      </c>
      <c r="W371" s="12">
        <v>4</v>
      </c>
      <c r="X371" s="12">
        <v>7453</v>
      </c>
      <c r="Y371" s="12">
        <v>547</v>
      </c>
      <c r="Z371" s="12">
        <v>552</v>
      </c>
      <c r="AA371" s="11">
        <v>0.91</v>
      </c>
      <c r="AB371" s="12">
        <v>3429826</v>
      </c>
      <c r="AC371" s="12">
        <v>3427551</v>
      </c>
      <c r="AD371" s="12">
        <v>601677</v>
      </c>
      <c r="AE371" s="12">
        <v>601677</v>
      </c>
      <c r="AF371" s="12">
        <v>485609</v>
      </c>
      <c r="AG371" s="12">
        <v>501186</v>
      </c>
      <c r="AH371" s="11">
        <v>4</v>
      </c>
      <c r="AI371" s="11">
        <v>4</v>
      </c>
      <c r="AJ371" s="13"/>
    </row>
    <row r="372" spans="1:36" x14ac:dyDescent="0.25">
      <c r="A372" t="str">
        <f>"521200"</f>
        <v>521200</v>
      </c>
      <c r="B372" t="s">
        <v>459</v>
      </c>
      <c r="C372" s="10">
        <v>25480499</v>
      </c>
      <c r="D372" s="10">
        <v>27013421</v>
      </c>
      <c r="E372" s="11">
        <v>6.02</v>
      </c>
      <c r="F372" s="12">
        <v>12776050</v>
      </c>
      <c r="G372" s="12">
        <v>13258650</v>
      </c>
      <c r="H372" s="12">
        <v>103575</v>
      </c>
      <c r="I372" s="12">
        <v>103575</v>
      </c>
      <c r="J372" s="12"/>
      <c r="K372" s="12"/>
      <c r="L372" s="12"/>
      <c r="M372" s="12"/>
      <c r="N372" s="12">
        <v>12879625</v>
      </c>
      <c r="O372" s="12">
        <v>13362225</v>
      </c>
      <c r="P372" s="11">
        <v>3.75</v>
      </c>
      <c r="Q372" s="12">
        <v>434104</v>
      </c>
      <c r="R372" s="12">
        <v>431140</v>
      </c>
      <c r="S372" s="12">
        <v>12568834</v>
      </c>
      <c r="T372" s="12">
        <v>12916816</v>
      </c>
      <c r="U372" s="12">
        <v>12341946</v>
      </c>
      <c r="V372" s="12">
        <v>12827510</v>
      </c>
      <c r="W372" s="12">
        <v>226888</v>
      </c>
      <c r="X372" s="12">
        <v>89306</v>
      </c>
      <c r="Y372" s="12">
        <v>1351</v>
      </c>
      <c r="Z372" s="12">
        <v>1391</v>
      </c>
      <c r="AA372" s="11">
        <v>2.96</v>
      </c>
      <c r="AB372" s="12">
        <v>812793</v>
      </c>
      <c r="AC372" s="12">
        <v>812793</v>
      </c>
      <c r="AD372" s="12">
        <v>1212252</v>
      </c>
      <c r="AE372" s="12">
        <v>1783000</v>
      </c>
      <c r="AF372" s="12">
        <v>5548005</v>
      </c>
      <c r="AG372" s="12">
        <v>4645005</v>
      </c>
      <c r="AH372" s="11">
        <v>21.77</v>
      </c>
      <c r="AI372" s="11">
        <v>17.2</v>
      </c>
      <c r="AJ372" s="13"/>
    </row>
    <row r="373" spans="1:36" x14ac:dyDescent="0.25">
      <c r="A373" t="str">
        <f>"450801"</f>
        <v>450801</v>
      </c>
      <c r="B373" t="s">
        <v>460</v>
      </c>
      <c r="C373" s="10">
        <v>36620794</v>
      </c>
      <c r="D373" s="10">
        <v>37565842</v>
      </c>
      <c r="E373" s="11">
        <v>2.58</v>
      </c>
      <c r="F373" s="12">
        <v>8641861</v>
      </c>
      <c r="G373" s="12">
        <v>8641861</v>
      </c>
      <c r="H373" s="12"/>
      <c r="I373" s="12"/>
      <c r="J373" s="12"/>
      <c r="K373" s="12"/>
      <c r="L373" s="12"/>
      <c r="M373" s="12"/>
      <c r="N373" s="12">
        <v>8641861</v>
      </c>
      <c r="O373" s="12">
        <v>8641861</v>
      </c>
      <c r="P373" s="11">
        <v>0</v>
      </c>
      <c r="Q373" s="12">
        <v>0</v>
      </c>
      <c r="R373" s="12">
        <v>0</v>
      </c>
      <c r="S373" s="12">
        <v>9020189</v>
      </c>
      <c r="T373" s="12">
        <v>9006643</v>
      </c>
      <c r="U373" s="12">
        <v>8641861</v>
      </c>
      <c r="V373" s="12">
        <v>8641861</v>
      </c>
      <c r="W373" s="12">
        <v>378328</v>
      </c>
      <c r="X373" s="12">
        <v>364782</v>
      </c>
      <c r="Y373" s="12">
        <v>1562</v>
      </c>
      <c r="Z373" s="12">
        <v>1504</v>
      </c>
      <c r="AA373" s="11">
        <v>-3.71</v>
      </c>
      <c r="AB373" s="12">
        <v>9504150</v>
      </c>
      <c r="AC373" s="12">
        <v>7904150</v>
      </c>
      <c r="AD373" s="12">
        <v>43225</v>
      </c>
      <c r="AE373" s="12">
        <v>56028</v>
      </c>
      <c r="AF373" s="12">
        <v>1369550</v>
      </c>
      <c r="AG373" s="12">
        <v>1464831</v>
      </c>
      <c r="AH373" s="11">
        <v>3.74</v>
      </c>
      <c r="AI373" s="11">
        <v>3.9</v>
      </c>
      <c r="AJ373" s="13"/>
    </row>
    <row r="374" spans="1:36" x14ac:dyDescent="0.25">
      <c r="A374" t="str">
        <f>"010615"</f>
        <v>010615</v>
      </c>
      <c r="B374" t="s">
        <v>461</v>
      </c>
      <c r="C374" s="10">
        <v>8548159</v>
      </c>
      <c r="D374" s="10">
        <v>8730680</v>
      </c>
      <c r="E374" s="11">
        <v>2.14</v>
      </c>
      <c r="F374" s="12">
        <v>6535711</v>
      </c>
      <c r="G374" s="12">
        <v>6748122</v>
      </c>
      <c r="H374" s="12"/>
      <c r="I374" s="12"/>
      <c r="J374" s="12"/>
      <c r="K374" s="12"/>
      <c r="L374" s="12"/>
      <c r="M374" s="12"/>
      <c r="N374" s="12">
        <v>6535711</v>
      </c>
      <c r="O374" s="12">
        <v>6748122</v>
      </c>
      <c r="P374" s="11">
        <v>3.25</v>
      </c>
      <c r="Q374" s="12">
        <v>255153</v>
      </c>
      <c r="R374" s="12">
        <v>304552</v>
      </c>
      <c r="S374" s="12">
        <v>6280558</v>
      </c>
      <c r="T374" s="12">
        <v>6443570</v>
      </c>
      <c r="U374" s="12">
        <v>6280558</v>
      </c>
      <c r="V374" s="12">
        <v>6443570</v>
      </c>
      <c r="W374" s="12">
        <v>0</v>
      </c>
      <c r="X374" s="12">
        <v>0</v>
      </c>
      <c r="Y374" s="12">
        <v>265</v>
      </c>
      <c r="Z374" s="12">
        <v>262</v>
      </c>
      <c r="AA374" s="11">
        <v>-1.1299999999999999</v>
      </c>
      <c r="AB374" s="12">
        <v>454538</v>
      </c>
      <c r="AC374" s="12">
        <v>404538</v>
      </c>
      <c r="AD374" s="12">
        <v>815042</v>
      </c>
      <c r="AE374" s="12">
        <v>865042</v>
      </c>
      <c r="AF374" s="12">
        <v>792738</v>
      </c>
      <c r="AG374" s="12">
        <v>764528</v>
      </c>
      <c r="AH374" s="11">
        <v>9.27</v>
      </c>
      <c r="AI374" s="11">
        <v>8.76</v>
      </c>
      <c r="AJ374" s="13"/>
    </row>
    <row r="375" spans="1:36" x14ac:dyDescent="0.25">
      <c r="A375" t="str">
        <f>"280225"</f>
        <v>280225</v>
      </c>
      <c r="B375" t="s">
        <v>462</v>
      </c>
      <c r="C375" s="10">
        <v>49277857</v>
      </c>
      <c r="D375" s="10">
        <v>51791334</v>
      </c>
      <c r="E375" s="11">
        <v>5.0999999999999996</v>
      </c>
      <c r="F375" s="12">
        <v>38740195</v>
      </c>
      <c r="G375" s="12">
        <v>39863661</v>
      </c>
      <c r="H375" s="12"/>
      <c r="I375" s="12"/>
      <c r="J375" s="12"/>
      <c r="K375" s="12"/>
      <c r="L375" s="12"/>
      <c r="M375" s="12"/>
      <c r="N375" s="12">
        <v>38740195</v>
      </c>
      <c r="O375" s="12">
        <v>39863661</v>
      </c>
      <c r="P375" s="11">
        <v>2.9</v>
      </c>
      <c r="Q375" s="12">
        <v>380032</v>
      </c>
      <c r="R375" s="12">
        <v>492387</v>
      </c>
      <c r="S375" s="12">
        <v>38360163</v>
      </c>
      <c r="T375" s="12">
        <v>39380215</v>
      </c>
      <c r="U375" s="12">
        <v>38360163</v>
      </c>
      <c r="V375" s="12">
        <v>39371274</v>
      </c>
      <c r="W375" s="12">
        <v>0</v>
      </c>
      <c r="X375" s="12">
        <v>8941</v>
      </c>
      <c r="Y375" s="12">
        <v>1468</v>
      </c>
      <c r="Z375" s="12">
        <v>1480</v>
      </c>
      <c r="AA375" s="11">
        <v>0.82</v>
      </c>
      <c r="AB375" s="12">
        <v>1905433</v>
      </c>
      <c r="AC375" s="12">
        <v>1905433</v>
      </c>
      <c r="AD375" s="12">
        <v>1500000</v>
      </c>
      <c r="AE375" s="12">
        <v>3415000</v>
      </c>
      <c r="AF375" s="12">
        <v>6276592</v>
      </c>
      <c r="AG375" s="12">
        <v>4361592</v>
      </c>
      <c r="AH375" s="11">
        <v>12.74</v>
      </c>
      <c r="AI375" s="11">
        <v>8.42</v>
      </c>
      <c r="AJ375" s="13"/>
    </row>
    <row r="376" spans="1:36" x14ac:dyDescent="0.25">
      <c r="A376" t="str">
        <f>"460901"</f>
        <v>460901</v>
      </c>
      <c r="B376" t="s">
        <v>463</v>
      </c>
      <c r="C376" s="10">
        <v>53748377</v>
      </c>
      <c r="D376" s="10">
        <v>56805732</v>
      </c>
      <c r="E376" s="11">
        <v>5.69</v>
      </c>
      <c r="F376" s="12">
        <v>13233881</v>
      </c>
      <c r="G376" s="12">
        <v>13233881</v>
      </c>
      <c r="H376" s="12"/>
      <c r="I376" s="12"/>
      <c r="J376" s="12"/>
      <c r="K376" s="12"/>
      <c r="L376" s="12"/>
      <c r="M376" s="12"/>
      <c r="N376" s="12">
        <v>13233881</v>
      </c>
      <c r="O376" s="12">
        <v>13233881</v>
      </c>
      <c r="P376" s="11">
        <v>0</v>
      </c>
      <c r="Q376" s="12">
        <v>518631</v>
      </c>
      <c r="R376" s="12">
        <v>991228</v>
      </c>
      <c r="S376" s="12">
        <v>12970946</v>
      </c>
      <c r="T376" s="12">
        <v>13386382</v>
      </c>
      <c r="U376" s="12">
        <v>12715250</v>
      </c>
      <c r="V376" s="12">
        <v>12242653</v>
      </c>
      <c r="W376" s="12">
        <v>255696</v>
      </c>
      <c r="X376" s="12">
        <v>1143729</v>
      </c>
      <c r="Y376" s="12">
        <v>2133</v>
      </c>
      <c r="Z376" s="12">
        <v>2115</v>
      </c>
      <c r="AA376" s="11">
        <v>-0.84</v>
      </c>
      <c r="AB376" s="12">
        <v>35508581</v>
      </c>
      <c r="AC376" s="12">
        <v>35508581</v>
      </c>
      <c r="AD376" s="12">
        <v>0</v>
      </c>
      <c r="AE376" s="12">
        <v>1743587</v>
      </c>
      <c r="AF376" s="12">
        <v>2097216</v>
      </c>
      <c r="AG376" s="12">
        <v>1353629</v>
      </c>
      <c r="AH376" s="11">
        <v>3.9</v>
      </c>
      <c r="AI376" s="11">
        <v>2.38</v>
      </c>
      <c r="AJ376" s="13"/>
    </row>
    <row r="377" spans="1:36" x14ac:dyDescent="0.25">
      <c r="A377" t="str">
        <f>"580211"</f>
        <v>580211</v>
      </c>
      <c r="B377" t="s">
        <v>464</v>
      </c>
      <c r="C377" s="10">
        <v>243590487</v>
      </c>
      <c r="D377" s="10">
        <v>250124601</v>
      </c>
      <c r="E377" s="11">
        <v>2.68</v>
      </c>
      <c r="F377" s="12">
        <v>135841300</v>
      </c>
      <c r="G377" s="12">
        <v>139209728</v>
      </c>
      <c r="H377" s="12"/>
      <c r="I377" s="12"/>
      <c r="J377" s="12"/>
      <c r="K377" s="12"/>
      <c r="L377" s="12"/>
      <c r="M377" s="12"/>
      <c r="N377" s="12">
        <v>135841300</v>
      </c>
      <c r="O377" s="12">
        <v>139209728</v>
      </c>
      <c r="P377" s="11">
        <v>2.48</v>
      </c>
      <c r="Q377" s="12">
        <v>644908</v>
      </c>
      <c r="R377" s="12">
        <v>3940687</v>
      </c>
      <c r="S377" s="12">
        <v>135244491</v>
      </c>
      <c r="T377" s="12">
        <v>138419068</v>
      </c>
      <c r="U377" s="12">
        <v>135196392</v>
      </c>
      <c r="V377" s="12">
        <v>135269041</v>
      </c>
      <c r="W377" s="12">
        <v>48099</v>
      </c>
      <c r="X377" s="12">
        <v>3150027</v>
      </c>
      <c r="Y377" s="12">
        <v>9862</v>
      </c>
      <c r="Z377" s="12">
        <v>9790</v>
      </c>
      <c r="AA377" s="11">
        <v>-0.73</v>
      </c>
      <c r="AB377" s="12">
        <v>31982521</v>
      </c>
      <c r="AC377" s="12">
        <v>22948935</v>
      </c>
      <c r="AD377" s="12">
        <v>3233308</v>
      </c>
      <c r="AE377" s="12">
        <v>3200000</v>
      </c>
      <c r="AF377" s="12">
        <v>9743606</v>
      </c>
      <c r="AG377" s="12">
        <v>10004950</v>
      </c>
      <c r="AH377" s="11">
        <v>4</v>
      </c>
      <c r="AI377" s="11">
        <v>4</v>
      </c>
      <c r="AJ377" s="13"/>
    </row>
    <row r="378" spans="1:36" x14ac:dyDescent="0.25">
      <c r="A378" t="str">
        <f>"541001"</f>
        <v>541001</v>
      </c>
      <c r="B378" t="s">
        <v>465</v>
      </c>
      <c r="C378" s="10">
        <v>21784576</v>
      </c>
      <c r="D378" s="10">
        <v>22169182</v>
      </c>
      <c r="E378" s="11">
        <v>1.77</v>
      </c>
      <c r="F378" s="12">
        <v>9663692</v>
      </c>
      <c r="G378" s="12">
        <v>9855827</v>
      </c>
      <c r="H378" s="12"/>
      <c r="I378" s="12"/>
      <c r="J378" s="12"/>
      <c r="K378" s="12"/>
      <c r="L378" s="12"/>
      <c r="M378" s="12"/>
      <c r="N378" s="12">
        <v>9663692</v>
      </c>
      <c r="O378" s="12">
        <v>9855827</v>
      </c>
      <c r="P378" s="11">
        <v>1.99</v>
      </c>
      <c r="Q378" s="12">
        <v>0</v>
      </c>
      <c r="R378" s="12">
        <v>0</v>
      </c>
      <c r="S378" s="12">
        <v>9663692</v>
      </c>
      <c r="T378" s="12">
        <v>9855827</v>
      </c>
      <c r="U378" s="12">
        <v>9663692</v>
      </c>
      <c r="V378" s="12">
        <v>9855827</v>
      </c>
      <c r="W378" s="12">
        <v>0</v>
      </c>
      <c r="X378" s="12">
        <v>0</v>
      </c>
      <c r="Y378" s="12">
        <v>753</v>
      </c>
      <c r="Z378" s="12">
        <v>719</v>
      </c>
      <c r="AA378" s="11">
        <v>-4.5199999999999996</v>
      </c>
      <c r="AB378" s="12">
        <v>1083219</v>
      </c>
      <c r="AC378" s="12">
        <v>1283219</v>
      </c>
      <c r="AD378" s="12">
        <v>682170</v>
      </c>
      <c r="AE378" s="12">
        <v>762307</v>
      </c>
      <c r="AF378" s="12">
        <v>2408616</v>
      </c>
      <c r="AG378" s="12">
        <v>1621243</v>
      </c>
      <c r="AH378" s="11">
        <v>11.06</v>
      </c>
      <c r="AI378" s="11">
        <v>7.31</v>
      </c>
      <c r="AJ378" s="13"/>
    </row>
    <row r="379" spans="1:36" x14ac:dyDescent="0.25">
      <c r="A379" t="str">
        <f>"441000"</f>
        <v>441000</v>
      </c>
      <c r="B379" t="s">
        <v>466</v>
      </c>
      <c r="C379" s="10">
        <v>179516780</v>
      </c>
      <c r="D379" s="10">
        <v>189966196</v>
      </c>
      <c r="E379" s="11">
        <v>5.82</v>
      </c>
      <c r="F379" s="12">
        <v>74483747</v>
      </c>
      <c r="G379" s="12">
        <v>75878805</v>
      </c>
      <c r="H379" s="12"/>
      <c r="I379" s="12"/>
      <c r="J379" s="12"/>
      <c r="K379" s="12"/>
      <c r="L379" s="12"/>
      <c r="M379" s="12"/>
      <c r="N379" s="12">
        <v>74483747</v>
      </c>
      <c r="O379" s="12">
        <v>75878805</v>
      </c>
      <c r="P379" s="11">
        <v>1.87</v>
      </c>
      <c r="Q379" s="12">
        <v>6548684</v>
      </c>
      <c r="R379" s="12">
        <v>6056691</v>
      </c>
      <c r="S379" s="12">
        <v>75023777</v>
      </c>
      <c r="T379" s="12">
        <v>76518805</v>
      </c>
      <c r="U379" s="12">
        <v>67935063</v>
      </c>
      <c r="V379" s="12">
        <v>69822114</v>
      </c>
      <c r="W379" s="12">
        <v>7088714</v>
      </c>
      <c r="X379" s="12">
        <v>6696691</v>
      </c>
      <c r="Y379" s="12">
        <v>7741</v>
      </c>
      <c r="Z379" s="12">
        <v>7850</v>
      </c>
      <c r="AA379" s="11">
        <v>1.41</v>
      </c>
      <c r="AB379" s="12">
        <v>22953050</v>
      </c>
      <c r="AC379" s="12">
        <v>30953050</v>
      </c>
      <c r="AD379" s="12">
        <v>5299227</v>
      </c>
      <c r="AE379" s="12">
        <v>5799227</v>
      </c>
      <c r="AF379" s="12">
        <v>27567922</v>
      </c>
      <c r="AG379" s="12">
        <v>13500250</v>
      </c>
      <c r="AH379" s="11">
        <v>15.36</v>
      </c>
      <c r="AI379" s="11">
        <v>7.11</v>
      </c>
      <c r="AJ379" s="13"/>
    </row>
    <row r="380" spans="1:36" x14ac:dyDescent="0.25">
      <c r="A380" t="str">
        <f>"471101"</f>
        <v>471101</v>
      </c>
      <c r="B380" t="s">
        <v>467</v>
      </c>
      <c r="C380" s="10">
        <v>10288163</v>
      </c>
      <c r="D380" s="10">
        <v>10570712</v>
      </c>
      <c r="E380" s="11">
        <v>2.75</v>
      </c>
      <c r="F380" s="12">
        <v>4039572</v>
      </c>
      <c r="G380" s="12">
        <v>4119960</v>
      </c>
      <c r="H380" s="12"/>
      <c r="I380" s="12"/>
      <c r="J380" s="12"/>
      <c r="K380" s="12"/>
      <c r="L380" s="12"/>
      <c r="M380" s="12"/>
      <c r="N380" s="12">
        <v>4039572</v>
      </c>
      <c r="O380" s="12">
        <v>4119960</v>
      </c>
      <c r="P380" s="11">
        <v>1.99</v>
      </c>
      <c r="Q380" s="12">
        <v>172594</v>
      </c>
      <c r="R380" s="12">
        <v>180254</v>
      </c>
      <c r="S380" s="12">
        <v>3941078</v>
      </c>
      <c r="T380" s="12">
        <v>4007535</v>
      </c>
      <c r="U380" s="12">
        <v>3866978</v>
      </c>
      <c r="V380" s="12">
        <v>3939706</v>
      </c>
      <c r="W380" s="12">
        <v>74100</v>
      </c>
      <c r="X380" s="12">
        <v>67829</v>
      </c>
      <c r="Y380" s="12">
        <v>399</v>
      </c>
      <c r="Z380" s="12">
        <v>380</v>
      </c>
      <c r="AA380" s="11">
        <v>-4.76</v>
      </c>
      <c r="AB380" s="12">
        <v>1494821</v>
      </c>
      <c r="AC380" s="12">
        <v>1481707</v>
      </c>
      <c r="AD380" s="12">
        <v>718057</v>
      </c>
      <c r="AE380" s="12">
        <v>676456</v>
      </c>
      <c r="AF380" s="12">
        <v>873659</v>
      </c>
      <c r="AG380" s="12">
        <v>659135</v>
      </c>
      <c r="AH380" s="11">
        <v>8.49</v>
      </c>
      <c r="AI380" s="11">
        <v>6.24</v>
      </c>
      <c r="AJ380" s="13"/>
    </row>
    <row r="381" spans="1:36" x14ac:dyDescent="0.25">
      <c r="A381" t="str">
        <f>"132201"</f>
        <v>132201</v>
      </c>
      <c r="B381" t="s">
        <v>468</v>
      </c>
      <c r="C381" s="10">
        <v>28922989</v>
      </c>
      <c r="D381" s="10">
        <v>29214332</v>
      </c>
      <c r="E381" s="11">
        <v>1.01</v>
      </c>
      <c r="F381" s="12">
        <v>23684119</v>
      </c>
      <c r="G381" s="12">
        <v>24053679</v>
      </c>
      <c r="H381" s="12"/>
      <c r="I381" s="12"/>
      <c r="J381" s="12"/>
      <c r="K381" s="12"/>
      <c r="L381" s="12"/>
      <c r="M381" s="12"/>
      <c r="N381" s="12">
        <v>23684119</v>
      </c>
      <c r="O381" s="12">
        <v>24053679</v>
      </c>
      <c r="P381" s="11">
        <v>1.56</v>
      </c>
      <c r="Q381" s="12">
        <v>1751558</v>
      </c>
      <c r="R381" s="12">
        <v>1627859</v>
      </c>
      <c r="S381" s="12">
        <v>22105946</v>
      </c>
      <c r="T381" s="12">
        <v>22426775</v>
      </c>
      <c r="U381" s="12">
        <v>21932561</v>
      </c>
      <c r="V381" s="12">
        <v>22425820</v>
      </c>
      <c r="W381" s="12">
        <v>173385</v>
      </c>
      <c r="X381" s="12">
        <v>955</v>
      </c>
      <c r="Y381" s="12">
        <v>919</v>
      </c>
      <c r="Z381" s="12">
        <v>876</v>
      </c>
      <c r="AA381" s="11">
        <v>-4.68</v>
      </c>
      <c r="AB381" s="12">
        <v>3876773</v>
      </c>
      <c r="AC381" s="12">
        <v>4676773</v>
      </c>
      <c r="AD381" s="12">
        <v>374759</v>
      </c>
      <c r="AE381" s="12">
        <v>374759</v>
      </c>
      <c r="AF381" s="12">
        <v>1156920</v>
      </c>
      <c r="AG381" s="12">
        <v>1168573</v>
      </c>
      <c r="AH381" s="11">
        <v>4</v>
      </c>
      <c r="AI381" s="11">
        <v>4</v>
      </c>
      <c r="AJ381" s="13"/>
    </row>
    <row r="382" spans="1:36" x14ac:dyDescent="0.25">
      <c r="A382" t="str">
        <f>"580208"</f>
        <v>580208</v>
      </c>
      <c r="B382" t="s">
        <v>469</v>
      </c>
      <c r="C382" s="10">
        <v>71190675</v>
      </c>
      <c r="D382" s="10">
        <v>72685864</v>
      </c>
      <c r="E382" s="11">
        <v>2.1</v>
      </c>
      <c r="F382" s="12">
        <v>45028780</v>
      </c>
      <c r="G382" s="12">
        <v>46290054</v>
      </c>
      <c r="H382" s="12"/>
      <c r="I382" s="12"/>
      <c r="J382" s="12"/>
      <c r="K382" s="12"/>
      <c r="L382" s="12"/>
      <c r="M382" s="12"/>
      <c r="N382" s="12">
        <v>45028780</v>
      </c>
      <c r="O382" s="12">
        <v>46290054</v>
      </c>
      <c r="P382" s="11">
        <v>2.8</v>
      </c>
      <c r="Q382" s="12">
        <v>1027531</v>
      </c>
      <c r="R382" s="12">
        <v>1238842</v>
      </c>
      <c r="S382" s="12">
        <v>44001249</v>
      </c>
      <c r="T382" s="12">
        <v>45051212</v>
      </c>
      <c r="U382" s="12">
        <v>44001249</v>
      </c>
      <c r="V382" s="12">
        <v>45051212</v>
      </c>
      <c r="W382" s="12">
        <v>0</v>
      </c>
      <c r="X382" s="12">
        <v>0</v>
      </c>
      <c r="Y382" s="12">
        <v>2662</v>
      </c>
      <c r="Z382" s="12">
        <v>2631</v>
      </c>
      <c r="AA382" s="11">
        <v>-1.1599999999999999</v>
      </c>
      <c r="AB382" s="12">
        <v>7426952</v>
      </c>
      <c r="AC382" s="12">
        <v>6794952</v>
      </c>
      <c r="AD382" s="12">
        <v>2659418</v>
      </c>
      <c r="AE382" s="12">
        <v>2659418</v>
      </c>
      <c r="AF382" s="12">
        <v>2747368</v>
      </c>
      <c r="AG382" s="12">
        <v>2907435</v>
      </c>
      <c r="AH382" s="11">
        <v>3.86</v>
      </c>
      <c r="AI382" s="11">
        <v>4</v>
      </c>
      <c r="AJ382" s="13"/>
    </row>
    <row r="383" spans="1:36" x14ac:dyDescent="0.25">
      <c r="A383" t="str">
        <f>"280410"</f>
        <v>280410</v>
      </c>
      <c r="B383" t="s">
        <v>470</v>
      </c>
      <c r="C383" s="10">
        <v>94444259</v>
      </c>
      <c r="D383" s="10">
        <v>98195200</v>
      </c>
      <c r="E383" s="11">
        <v>3.97</v>
      </c>
      <c r="F383" s="12">
        <v>79441368</v>
      </c>
      <c r="G383" s="12">
        <v>80998420</v>
      </c>
      <c r="H383" s="12"/>
      <c r="I383" s="12"/>
      <c r="J383" s="12"/>
      <c r="K383" s="12"/>
      <c r="L383" s="12"/>
      <c r="M383" s="12"/>
      <c r="N383" s="12">
        <v>79441368</v>
      </c>
      <c r="O383" s="12">
        <v>80998420</v>
      </c>
      <c r="P383" s="11">
        <v>1.96</v>
      </c>
      <c r="Q383" s="12">
        <v>1741418</v>
      </c>
      <c r="R383" s="12">
        <v>1763854</v>
      </c>
      <c r="S383" s="12">
        <v>77699950</v>
      </c>
      <c r="T383" s="12">
        <v>79365349</v>
      </c>
      <c r="U383" s="12">
        <v>77699950</v>
      </c>
      <c r="V383" s="12">
        <v>79234566</v>
      </c>
      <c r="W383" s="12">
        <v>0</v>
      </c>
      <c r="X383" s="12">
        <v>130783</v>
      </c>
      <c r="Y383" s="12">
        <v>2800</v>
      </c>
      <c r="Z383" s="12">
        <v>2850</v>
      </c>
      <c r="AA383" s="11">
        <v>1.79</v>
      </c>
      <c r="AB383" s="12">
        <v>5155157</v>
      </c>
      <c r="AC383" s="12">
        <v>950000</v>
      </c>
      <c r="AD383" s="12">
        <v>3628294</v>
      </c>
      <c r="AE383" s="12">
        <v>5000000</v>
      </c>
      <c r="AF383" s="12">
        <v>7099790</v>
      </c>
      <c r="AG383" s="12">
        <v>5500000</v>
      </c>
      <c r="AH383" s="11">
        <v>7.52</v>
      </c>
      <c r="AI383" s="11">
        <v>5.6</v>
      </c>
      <c r="AJ383" s="13"/>
    </row>
    <row r="384" spans="1:36" x14ac:dyDescent="0.25">
      <c r="A384" t="str">
        <f>"150801"</f>
        <v>150801</v>
      </c>
      <c r="B384" t="s">
        <v>471</v>
      </c>
      <c r="C384" s="10">
        <v>5276723</v>
      </c>
      <c r="D384" s="10">
        <v>5438569</v>
      </c>
      <c r="E384" s="11">
        <v>3.07</v>
      </c>
      <c r="F384" s="12">
        <v>3565705</v>
      </c>
      <c r="G384" s="12">
        <v>3703722</v>
      </c>
      <c r="H384" s="12"/>
      <c r="I384" s="12"/>
      <c r="J384" s="12"/>
      <c r="K384" s="12"/>
      <c r="L384" s="12"/>
      <c r="M384" s="12"/>
      <c r="N384" s="12">
        <v>3565705</v>
      </c>
      <c r="O384" s="12">
        <v>3703722</v>
      </c>
      <c r="P384" s="11">
        <v>3.87</v>
      </c>
      <c r="Q384" s="12">
        <v>246811</v>
      </c>
      <c r="R384" s="12">
        <v>313722</v>
      </c>
      <c r="S384" s="12">
        <v>3318894</v>
      </c>
      <c r="T384" s="12">
        <v>3390000</v>
      </c>
      <c r="U384" s="12">
        <v>3318894</v>
      </c>
      <c r="V384" s="12">
        <v>3390000</v>
      </c>
      <c r="W384" s="12">
        <v>0</v>
      </c>
      <c r="X384" s="12">
        <v>0</v>
      </c>
      <c r="Y384" s="12">
        <v>103</v>
      </c>
      <c r="Z384" s="12">
        <v>103</v>
      </c>
      <c r="AA384" s="11">
        <v>0</v>
      </c>
      <c r="AB384" s="12">
        <v>821528</v>
      </c>
      <c r="AC384" s="12">
        <v>706562</v>
      </c>
      <c r="AD384" s="12">
        <v>319128</v>
      </c>
      <c r="AE384" s="12">
        <v>328480</v>
      </c>
      <c r="AF384" s="12">
        <v>942397</v>
      </c>
      <c r="AG384" s="12">
        <v>900000</v>
      </c>
      <c r="AH384" s="11">
        <v>17.86</v>
      </c>
      <c r="AI384" s="11">
        <v>16.55</v>
      </c>
      <c r="AJ384" s="13"/>
    </row>
    <row r="385" spans="1:36" x14ac:dyDescent="0.25">
      <c r="A385" t="str">
        <f>"441101"</f>
        <v>441101</v>
      </c>
      <c r="B385" t="s">
        <v>472</v>
      </c>
      <c r="C385" s="10">
        <v>97407064</v>
      </c>
      <c r="D385" s="10">
        <v>99991245</v>
      </c>
      <c r="E385" s="11">
        <v>2.65</v>
      </c>
      <c r="F385" s="12">
        <v>43608227</v>
      </c>
      <c r="G385" s="12">
        <v>44742041</v>
      </c>
      <c r="H385" s="12"/>
      <c r="I385" s="12"/>
      <c r="J385" s="12"/>
      <c r="K385" s="12"/>
      <c r="L385" s="12"/>
      <c r="M385" s="12"/>
      <c r="N385" s="12">
        <v>43608227</v>
      </c>
      <c r="O385" s="12">
        <v>44742041</v>
      </c>
      <c r="P385" s="11">
        <v>2.6</v>
      </c>
      <c r="Q385" s="12">
        <v>2797928</v>
      </c>
      <c r="R385" s="12">
        <v>2997966</v>
      </c>
      <c r="S385" s="12">
        <v>41853568</v>
      </c>
      <c r="T385" s="12">
        <v>41987455</v>
      </c>
      <c r="U385" s="12">
        <v>40810299</v>
      </c>
      <c r="V385" s="12">
        <v>41744075</v>
      </c>
      <c r="W385" s="12">
        <v>1043269</v>
      </c>
      <c r="X385" s="12">
        <v>243380</v>
      </c>
      <c r="Y385" s="12">
        <v>3629</v>
      </c>
      <c r="Z385" s="12">
        <v>3539</v>
      </c>
      <c r="AA385" s="11">
        <v>-2.48</v>
      </c>
      <c r="AB385" s="12">
        <v>18430750</v>
      </c>
      <c r="AC385" s="12">
        <v>18430750</v>
      </c>
      <c r="AD385" s="12">
        <v>8528952</v>
      </c>
      <c r="AE385" s="12">
        <v>8525952</v>
      </c>
      <c r="AF385" s="12">
        <v>3999650</v>
      </c>
      <c r="AG385" s="12">
        <v>4000000</v>
      </c>
      <c r="AH385" s="11">
        <v>4.1100000000000003</v>
      </c>
      <c r="AI385" s="11">
        <v>4</v>
      </c>
      <c r="AJ385" s="13"/>
    </row>
    <row r="386" spans="1:36" x14ac:dyDescent="0.25">
      <c r="A386" t="str">
        <f>"441201"</f>
        <v>441201</v>
      </c>
      <c r="B386" t="s">
        <v>473</v>
      </c>
      <c r="C386" s="10">
        <v>171202208</v>
      </c>
      <c r="D386" s="10">
        <v>176593137</v>
      </c>
      <c r="E386" s="11">
        <v>3.15</v>
      </c>
      <c r="F386" s="12">
        <v>116474300</v>
      </c>
      <c r="G386" s="12">
        <v>119800000</v>
      </c>
      <c r="H386" s="12"/>
      <c r="I386" s="12"/>
      <c r="J386" s="12"/>
      <c r="K386" s="12"/>
      <c r="L386" s="12"/>
      <c r="M386" s="12"/>
      <c r="N386" s="12">
        <v>116474300</v>
      </c>
      <c r="O386" s="12">
        <v>119800000</v>
      </c>
      <c r="P386" s="11">
        <v>2.86</v>
      </c>
      <c r="Q386" s="12">
        <v>934379</v>
      </c>
      <c r="R386" s="12">
        <v>1733301</v>
      </c>
      <c r="S386" s="12">
        <v>115540010</v>
      </c>
      <c r="T386" s="12">
        <v>119831539</v>
      </c>
      <c r="U386" s="12">
        <v>115539921</v>
      </c>
      <c r="V386" s="12">
        <v>118066699</v>
      </c>
      <c r="W386" s="12">
        <v>89</v>
      </c>
      <c r="X386" s="12">
        <v>1764840</v>
      </c>
      <c r="Y386" s="12">
        <v>6758</v>
      </c>
      <c r="Z386" s="12">
        <v>6758</v>
      </c>
      <c r="AA386" s="11">
        <v>0</v>
      </c>
      <c r="AB386" s="12">
        <v>723401</v>
      </c>
      <c r="AC386" s="12">
        <v>750000</v>
      </c>
      <c r="AD386" s="12">
        <v>1644000</v>
      </c>
      <c r="AE386" s="12">
        <v>1820000</v>
      </c>
      <c r="AF386" s="12">
        <v>6846195</v>
      </c>
      <c r="AG386" s="12">
        <v>7063725</v>
      </c>
      <c r="AH386" s="11">
        <v>4</v>
      </c>
      <c r="AI386" s="11">
        <v>4</v>
      </c>
      <c r="AJ386" s="13"/>
    </row>
    <row r="387" spans="1:36" x14ac:dyDescent="0.25">
      <c r="A387" t="str">
        <f>"580306"</f>
        <v>580306</v>
      </c>
      <c r="B387" t="s">
        <v>474</v>
      </c>
      <c r="C387" s="10">
        <v>18823358</v>
      </c>
      <c r="D387" s="10">
        <v>19795316</v>
      </c>
      <c r="E387" s="11">
        <v>5.16</v>
      </c>
      <c r="F387" s="12">
        <v>16756517</v>
      </c>
      <c r="G387" s="12">
        <v>16931526</v>
      </c>
      <c r="H387" s="12"/>
      <c r="I387" s="12"/>
      <c r="J387" s="12"/>
      <c r="K387" s="12"/>
      <c r="L387" s="12"/>
      <c r="M387" s="12"/>
      <c r="N387" s="12">
        <v>16756517</v>
      </c>
      <c r="O387" s="12">
        <v>16931526</v>
      </c>
      <c r="P387" s="11">
        <v>1.04</v>
      </c>
      <c r="Q387" s="12">
        <v>0</v>
      </c>
      <c r="R387" s="12">
        <v>0</v>
      </c>
      <c r="S387" s="12">
        <v>17511764</v>
      </c>
      <c r="T387" s="12">
        <v>17434201</v>
      </c>
      <c r="U387" s="12">
        <v>16756517</v>
      </c>
      <c r="V387" s="12">
        <v>16931526</v>
      </c>
      <c r="W387" s="12">
        <v>755247</v>
      </c>
      <c r="X387" s="12">
        <v>502675</v>
      </c>
      <c r="Y387" s="12">
        <v>308</v>
      </c>
      <c r="Z387" s="12">
        <v>311</v>
      </c>
      <c r="AA387" s="11">
        <v>0.97</v>
      </c>
      <c r="AB387" s="12">
        <v>2124112</v>
      </c>
      <c r="AC387" s="12">
        <v>2125000</v>
      </c>
      <c r="AD387" s="12">
        <v>1080070</v>
      </c>
      <c r="AE387" s="12">
        <v>1791514</v>
      </c>
      <c r="AF387" s="12">
        <v>1688986</v>
      </c>
      <c r="AG387" s="12">
        <v>791692</v>
      </c>
      <c r="AH387" s="11">
        <v>8.9700000000000006</v>
      </c>
      <c r="AI387" s="11">
        <v>4</v>
      </c>
      <c r="AJ387" s="13"/>
    </row>
    <row r="388" spans="1:36" x14ac:dyDescent="0.25">
      <c r="A388" t="str">
        <f>"591401"</f>
        <v>591401</v>
      </c>
      <c r="B388" t="s">
        <v>475</v>
      </c>
      <c r="C388" s="10">
        <v>85299550</v>
      </c>
      <c r="D388" s="10">
        <v>89826369</v>
      </c>
      <c r="E388" s="11">
        <v>5.31</v>
      </c>
      <c r="F388" s="12">
        <v>43330000</v>
      </c>
      <c r="G388" s="12">
        <v>43650000</v>
      </c>
      <c r="H388" s="12"/>
      <c r="I388" s="12"/>
      <c r="J388" s="12"/>
      <c r="K388" s="12"/>
      <c r="L388" s="12"/>
      <c r="M388" s="12"/>
      <c r="N388" s="12">
        <v>43330000</v>
      </c>
      <c r="O388" s="12">
        <v>43650000</v>
      </c>
      <c r="P388" s="11">
        <v>0.74</v>
      </c>
      <c r="Q388" s="12">
        <v>2511960</v>
      </c>
      <c r="R388" s="12">
        <v>2338229</v>
      </c>
      <c r="S388" s="12">
        <v>40818040</v>
      </c>
      <c r="T388" s="12">
        <v>41311771</v>
      </c>
      <c r="U388" s="12">
        <v>40818040</v>
      </c>
      <c r="V388" s="12">
        <v>41311771</v>
      </c>
      <c r="W388" s="12">
        <v>0</v>
      </c>
      <c r="X388" s="12">
        <v>0</v>
      </c>
      <c r="Y388" s="12">
        <v>2867</v>
      </c>
      <c r="Z388" s="12">
        <v>2875</v>
      </c>
      <c r="AA388" s="11">
        <v>0.28000000000000003</v>
      </c>
      <c r="AB388" s="12">
        <v>12187918</v>
      </c>
      <c r="AC388" s="12">
        <v>11490000</v>
      </c>
      <c r="AD388" s="12">
        <v>4300000</v>
      </c>
      <c r="AE388" s="12">
        <v>3800000</v>
      </c>
      <c r="AF388" s="12">
        <v>8321514</v>
      </c>
      <c r="AG388" s="12">
        <v>7625000</v>
      </c>
      <c r="AH388" s="11">
        <v>9.76</v>
      </c>
      <c r="AI388" s="11">
        <v>8.49</v>
      </c>
      <c r="AJ388" s="13"/>
    </row>
    <row r="389" spans="1:36" x14ac:dyDescent="0.25">
      <c r="A389" t="str">
        <f>"051301"</f>
        <v>051301</v>
      </c>
      <c r="B389" t="s">
        <v>476</v>
      </c>
      <c r="C389" s="10">
        <v>22382141</v>
      </c>
      <c r="D389" s="10">
        <v>22915697</v>
      </c>
      <c r="E389" s="11">
        <v>2.38</v>
      </c>
      <c r="F389" s="12">
        <v>7894589</v>
      </c>
      <c r="G389" s="12">
        <v>8127479</v>
      </c>
      <c r="H389" s="12"/>
      <c r="I389" s="12"/>
      <c r="J389" s="12"/>
      <c r="K389" s="12"/>
      <c r="L389" s="12"/>
      <c r="M389" s="12"/>
      <c r="N389" s="12">
        <v>7894589</v>
      </c>
      <c r="O389" s="12">
        <v>8127479</v>
      </c>
      <c r="P389" s="11">
        <v>2.95</v>
      </c>
      <c r="Q389" s="12">
        <v>402282</v>
      </c>
      <c r="R389" s="12">
        <v>459799</v>
      </c>
      <c r="S389" s="12">
        <v>7593143</v>
      </c>
      <c r="T389" s="12">
        <v>7694890</v>
      </c>
      <c r="U389" s="12">
        <v>7492307</v>
      </c>
      <c r="V389" s="12">
        <v>7667680</v>
      </c>
      <c r="W389" s="12">
        <v>100836</v>
      </c>
      <c r="X389" s="12">
        <v>27210</v>
      </c>
      <c r="Y389" s="12">
        <v>960</v>
      </c>
      <c r="Z389" s="12">
        <v>980</v>
      </c>
      <c r="AA389" s="11">
        <v>2.08</v>
      </c>
      <c r="AB389" s="12">
        <v>5334049</v>
      </c>
      <c r="AC389" s="12">
        <v>6134049</v>
      </c>
      <c r="AD389" s="12">
        <v>525000</v>
      </c>
      <c r="AE389" s="12">
        <v>145524</v>
      </c>
      <c r="AF389" s="12">
        <v>1249204</v>
      </c>
      <c r="AG389" s="12">
        <v>914336</v>
      </c>
      <c r="AH389" s="11">
        <v>5.58</v>
      </c>
      <c r="AI389" s="11">
        <v>3.99</v>
      </c>
      <c r="AJ389" s="13"/>
    </row>
    <row r="390" spans="1:36" x14ac:dyDescent="0.25">
      <c r="A390" t="str">
        <f>"150901"</f>
        <v>150901</v>
      </c>
      <c r="B390" t="s">
        <v>477</v>
      </c>
      <c r="C390" s="10">
        <v>16756338</v>
      </c>
      <c r="D390" s="10">
        <v>17437946</v>
      </c>
      <c r="E390" s="11">
        <v>4.07</v>
      </c>
      <c r="F390" s="12">
        <v>3966291</v>
      </c>
      <c r="G390" s="12">
        <v>4037013</v>
      </c>
      <c r="H390" s="12"/>
      <c r="I390" s="12"/>
      <c r="J390" s="12"/>
      <c r="K390" s="12"/>
      <c r="L390" s="12"/>
      <c r="M390" s="12"/>
      <c r="N390" s="12">
        <v>3966291</v>
      </c>
      <c r="O390" s="12">
        <v>4037013</v>
      </c>
      <c r="P390" s="11">
        <v>1.78</v>
      </c>
      <c r="Q390" s="12">
        <v>329603</v>
      </c>
      <c r="R390" s="12">
        <v>315454</v>
      </c>
      <c r="S390" s="12">
        <v>3709896</v>
      </c>
      <c r="T390" s="12">
        <v>3721559</v>
      </c>
      <c r="U390" s="12">
        <v>3636688</v>
      </c>
      <c r="V390" s="12">
        <v>3721559</v>
      </c>
      <c r="W390" s="12">
        <v>73208</v>
      </c>
      <c r="X390" s="12">
        <v>0</v>
      </c>
      <c r="Y390" s="12">
        <v>717</v>
      </c>
      <c r="Z390" s="12">
        <v>707</v>
      </c>
      <c r="AA390" s="11">
        <v>-1.39</v>
      </c>
      <c r="AB390" s="12">
        <v>1182209</v>
      </c>
      <c r="AC390" s="12">
        <v>1132209</v>
      </c>
      <c r="AD390" s="12">
        <v>461502</v>
      </c>
      <c r="AE390" s="12">
        <v>654936</v>
      </c>
      <c r="AF390" s="12">
        <v>2574848</v>
      </c>
      <c r="AG390" s="12">
        <v>1919912</v>
      </c>
      <c r="AH390" s="11">
        <v>15.37</v>
      </c>
      <c r="AI390" s="11">
        <v>11.01</v>
      </c>
      <c r="AJ390" s="13"/>
    </row>
    <row r="391" spans="1:36" x14ac:dyDescent="0.25">
      <c r="A391" t="str">
        <f>"471201"</f>
        <v>471201</v>
      </c>
      <c r="B391" t="s">
        <v>478</v>
      </c>
      <c r="C391" s="10">
        <v>9806982</v>
      </c>
      <c r="D391" s="10">
        <v>10225491</v>
      </c>
      <c r="E391" s="11">
        <v>4.2699999999999996</v>
      </c>
      <c r="F391" s="12">
        <v>2946655</v>
      </c>
      <c r="G391" s="12">
        <v>2997471</v>
      </c>
      <c r="H391" s="12"/>
      <c r="I391" s="12"/>
      <c r="J391" s="12"/>
      <c r="K391" s="12"/>
      <c r="L391" s="12"/>
      <c r="M391" s="12"/>
      <c r="N391" s="12">
        <v>2946655</v>
      </c>
      <c r="O391" s="12">
        <v>2997471</v>
      </c>
      <c r="P391" s="11">
        <v>1.72</v>
      </c>
      <c r="Q391" s="12">
        <v>217404</v>
      </c>
      <c r="R391" s="12">
        <v>203273</v>
      </c>
      <c r="S391" s="12">
        <v>2729251</v>
      </c>
      <c r="T391" s="12">
        <v>2794198</v>
      </c>
      <c r="U391" s="12">
        <v>2729251</v>
      </c>
      <c r="V391" s="12">
        <v>2794198</v>
      </c>
      <c r="W391" s="12">
        <v>0</v>
      </c>
      <c r="X391" s="12">
        <v>0</v>
      </c>
      <c r="Y391" s="12">
        <v>367</v>
      </c>
      <c r="Z391" s="12">
        <v>361</v>
      </c>
      <c r="AA391" s="11">
        <v>-1.63</v>
      </c>
      <c r="AB391" s="12">
        <v>2373376</v>
      </c>
      <c r="AC391" s="12">
        <v>2314453</v>
      </c>
      <c r="AD391" s="12">
        <v>404093</v>
      </c>
      <c r="AE391" s="12">
        <v>90000</v>
      </c>
      <c r="AF391" s="12">
        <v>398566</v>
      </c>
      <c r="AG391" s="12">
        <v>409213</v>
      </c>
      <c r="AH391" s="11">
        <v>4.0599999999999996</v>
      </c>
      <c r="AI391" s="11">
        <v>4</v>
      </c>
      <c r="AJ391" s="13"/>
    </row>
    <row r="392" spans="1:36" x14ac:dyDescent="0.25">
      <c r="A392" t="str">
        <f>"512101"</f>
        <v>512101</v>
      </c>
      <c r="B392" t="s">
        <v>479</v>
      </c>
      <c r="C392" s="10">
        <v>10293578</v>
      </c>
      <c r="D392" s="10">
        <v>10864444</v>
      </c>
      <c r="E392" s="11">
        <v>5.55</v>
      </c>
      <c r="F392" s="12">
        <v>3759522</v>
      </c>
      <c r="G392" s="12">
        <v>3834712</v>
      </c>
      <c r="H392" s="12"/>
      <c r="I392" s="12"/>
      <c r="J392" s="12"/>
      <c r="K392" s="12"/>
      <c r="L392" s="12"/>
      <c r="M392" s="12"/>
      <c r="N392" s="12">
        <v>3759522</v>
      </c>
      <c r="O392" s="12">
        <v>3834712</v>
      </c>
      <c r="P392" s="11">
        <v>2</v>
      </c>
      <c r="Q392" s="12">
        <v>122606</v>
      </c>
      <c r="R392" s="12">
        <v>174167</v>
      </c>
      <c r="S392" s="12">
        <v>3698026</v>
      </c>
      <c r="T392" s="12">
        <v>3744167</v>
      </c>
      <c r="U392" s="12">
        <v>3636916</v>
      </c>
      <c r="V392" s="12">
        <v>3660545</v>
      </c>
      <c r="W392" s="12">
        <v>61110</v>
      </c>
      <c r="X392" s="12">
        <v>83622</v>
      </c>
      <c r="Y392" s="12">
        <v>331</v>
      </c>
      <c r="Z392" s="12">
        <v>332</v>
      </c>
      <c r="AA392" s="11">
        <v>0.3</v>
      </c>
      <c r="AB392" s="12">
        <v>1846314</v>
      </c>
      <c r="AC392" s="12">
        <v>1966067</v>
      </c>
      <c r="AD392" s="12">
        <v>1203368</v>
      </c>
      <c r="AE392" s="12">
        <v>1541873</v>
      </c>
      <c r="AF392" s="12">
        <v>1347262</v>
      </c>
      <c r="AG392" s="12">
        <v>434578</v>
      </c>
      <c r="AH392" s="11">
        <v>13.09</v>
      </c>
      <c r="AI392" s="11">
        <v>4</v>
      </c>
      <c r="AJ392" s="13"/>
    </row>
    <row r="393" spans="1:36" x14ac:dyDescent="0.25">
      <c r="A393" t="str">
        <f>"250401"</f>
        <v>250401</v>
      </c>
      <c r="B393" t="s">
        <v>480</v>
      </c>
      <c r="C393" s="10">
        <v>15944075</v>
      </c>
      <c r="D393" s="10">
        <v>16517457</v>
      </c>
      <c r="E393" s="11">
        <v>3.6</v>
      </c>
      <c r="F393" s="12">
        <v>4547349</v>
      </c>
      <c r="G393" s="12">
        <v>4683539</v>
      </c>
      <c r="H393" s="12"/>
      <c r="I393" s="12"/>
      <c r="J393" s="12"/>
      <c r="K393" s="12"/>
      <c r="L393" s="12">
        <v>43467</v>
      </c>
      <c r="M393" s="12">
        <v>0</v>
      </c>
      <c r="N393" s="12">
        <v>4503882</v>
      </c>
      <c r="O393" s="12">
        <v>4683539</v>
      </c>
      <c r="P393" s="11">
        <v>3.99</v>
      </c>
      <c r="Q393" s="12">
        <v>0</v>
      </c>
      <c r="R393" s="12">
        <v>0</v>
      </c>
      <c r="S393" s="12">
        <v>4570707</v>
      </c>
      <c r="T393" s="12">
        <v>4685839</v>
      </c>
      <c r="U393" s="12">
        <v>4547349</v>
      </c>
      <c r="V393" s="12">
        <v>4683539</v>
      </c>
      <c r="W393" s="12">
        <v>23358</v>
      </c>
      <c r="X393" s="12">
        <v>2300</v>
      </c>
      <c r="Y393" s="12">
        <v>612</v>
      </c>
      <c r="Z393" s="12">
        <v>611</v>
      </c>
      <c r="AA393" s="11">
        <v>-0.16</v>
      </c>
      <c r="AB393" s="12">
        <v>1342245</v>
      </c>
      <c r="AC393" s="12">
        <v>1244122</v>
      </c>
      <c r="AD393" s="12">
        <v>150000</v>
      </c>
      <c r="AE393" s="12">
        <v>150000</v>
      </c>
      <c r="AF393" s="12">
        <v>711877</v>
      </c>
      <c r="AG393" s="12">
        <v>660000</v>
      </c>
      <c r="AH393" s="11">
        <v>4.46</v>
      </c>
      <c r="AI393" s="11">
        <v>4</v>
      </c>
      <c r="AJ393" s="13"/>
    </row>
    <row r="394" spans="1:36" x14ac:dyDescent="0.25">
      <c r="A394" t="str">
        <f>"212001"</f>
        <v>212001</v>
      </c>
      <c r="B394" t="s">
        <v>481</v>
      </c>
      <c r="C394" s="10">
        <v>25735423</v>
      </c>
      <c r="D394" s="10">
        <v>26275933</v>
      </c>
      <c r="E394" s="11">
        <v>2.1</v>
      </c>
      <c r="F394" s="12">
        <v>6625724</v>
      </c>
      <c r="G394" s="12">
        <v>6756913</v>
      </c>
      <c r="H394" s="12"/>
      <c r="I394" s="12"/>
      <c r="J394" s="12"/>
      <c r="K394" s="12"/>
      <c r="L394" s="12"/>
      <c r="M394" s="12"/>
      <c r="N394" s="12">
        <v>6625724</v>
      </c>
      <c r="O394" s="12">
        <v>6756913</v>
      </c>
      <c r="P394" s="11">
        <v>1.98</v>
      </c>
      <c r="Q394" s="12">
        <v>196538</v>
      </c>
      <c r="R394" s="12">
        <v>190300</v>
      </c>
      <c r="S394" s="12">
        <v>6430258</v>
      </c>
      <c r="T394" s="12">
        <v>6593997</v>
      </c>
      <c r="U394" s="12">
        <v>6429186</v>
      </c>
      <c r="V394" s="12">
        <v>6566613</v>
      </c>
      <c r="W394" s="12">
        <v>1072</v>
      </c>
      <c r="X394" s="12">
        <v>27384</v>
      </c>
      <c r="Y394" s="12">
        <v>1044</v>
      </c>
      <c r="Z394" s="12">
        <v>1045</v>
      </c>
      <c r="AA394" s="11">
        <v>0.1</v>
      </c>
      <c r="AB394" s="12">
        <v>4669660</v>
      </c>
      <c r="AC394" s="12">
        <v>4769659</v>
      </c>
      <c r="AD394" s="12">
        <v>899483</v>
      </c>
      <c r="AE394" s="12">
        <v>832398</v>
      </c>
      <c r="AF394" s="12">
        <v>1029399</v>
      </c>
      <c r="AG394" s="12">
        <v>1051037</v>
      </c>
      <c r="AH394" s="11">
        <v>4</v>
      </c>
      <c r="AI394" s="11">
        <v>4</v>
      </c>
      <c r="AJ394" s="13"/>
    </row>
    <row r="395" spans="1:36" x14ac:dyDescent="0.25">
      <c r="A395" t="str">
        <f>"240901"</f>
        <v>240901</v>
      </c>
      <c r="B395" t="s">
        <v>482</v>
      </c>
      <c r="C395" s="10">
        <v>15132408</v>
      </c>
      <c r="D395" s="10">
        <v>15088548</v>
      </c>
      <c r="E395" s="11">
        <v>-0.28999999999999998</v>
      </c>
      <c r="F395" s="12">
        <v>4165936</v>
      </c>
      <c r="G395" s="12">
        <v>4165936</v>
      </c>
      <c r="H395" s="12"/>
      <c r="I395" s="12"/>
      <c r="J395" s="12"/>
      <c r="K395" s="12"/>
      <c r="L395" s="12"/>
      <c r="M395" s="12"/>
      <c r="N395" s="12">
        <v>4165936</v>
      </c>
      <c r="O395" s="12">
        <v>4165936</v>
      </c>
      <c r="P395" s="11">
        <v>0</v>
      </c>
      <c r="Q395" s="12">
        <v>305758</v>
      </c>
      <c r="R395" s="12">
        <v>257500</v>
      </c>
      <c r="S395" s="12">
        <v>3899508</v>
      </c>
      <c r="T395" s="12">
        <v>3939506</v>
      </c>
      <c r="U395" s="12">
        <v>3860178</v>
      </c>
      <c r="V395" s="12">
        <v>3908436</v>
      </c>
      <c r="W395" s="12">
        <v>39330</v>
      </c>
      <c r="X395" s="12">
        <v>31070</v>
      </c>
      <c r="Y395" s="12">
        <v>661</v>
      </c>
      <c r="Z395" s="12">
        <v>670</v>
      </c>
      <c r="AA395" s="11">
        <v>1.36</v>
      </c>
      <c r="AB395" s="12">
        <v>2908869</v>
      </c>
      <c r="AC395" s="12">
        <v>2879805</v>
      </c>
      <c r="AD395" s="12">
        <v>169000</v>
      </c>
      <c r="AE395" s="12">
        <v>143140</v>
      </c>
      <c r="AF395" s="12">
        <v>602269</v>
      </c>
      <c r="AG395" s="12">
        <v>452915</v>
      </c>
      <c r="AH395" s="11">
        <v>3.98</v>
      </c>
      <c r="AI395" s="11">
        <v>3</v>
      </c>
      <c r="AJ395" s="13"/>
    </row>
    <row r="396" spans="1:36" x14ac:dyDescent="0.25">
      <c r="A396" t="str">
        <f>"660801"</f>
        <v>660801</v>
      </c>
      <c r="B396" t="s">
        <v>483</v>
      </c>
      <c r="C396" s="10">
        <v>58950394</v>
      </c>
      <c r="D396" s="10">
        <v>61940871</v>
      </c>
      <c r="E396" s="11">
        <v>5.07</v>
      </c>
      <c r="F396" s="12">
        <v>51406990</v>
      </c>
      <c r="G396" s="12">
        <v>53810996</v>
      </c>
      <c r="H396" s="12"/>
      <c r="I396" s="12"/>
      <c r="J396" s="12"/>
      <c r="K396" s="12"/>
      <c r="L396" s="12"/>
      <c r="M396" s="12"/>
      <c r="N396" s="12">
        <v>51406990</v>
      </c>
      <c r="O396" s="12">
        <v>53810996</v>
      </c>
      <c r="P396" s="11">
        <v>4.68</v>
      </c>
      <c r="Q396" s="12">
        <v>2876157</v>
      </c>
      <c r="R396" s="12">
        <v>4241302</v>
      </c>
      <c r="S396" s="12">
        <v>48530839</v>
      </c>
      <c r="T396" s="12">
        <v>49569695</v>
      </c>
      <c r="U396" s="12">
        <v>48530833</v>
      </c>
      <c r="V396" s="12">
        <v>49569694</v>
      </c>
      <c r="W396" s="12">
        <v>6</v>
      </c>
      <c r="X396" s="12">
        <v>1</v>
      </c>
      <c r="Y396" s="12">
        <v>1906</v>
      </c>
      <c r="Z396" s="12">
        <v>1921</v>
      </c>
      <c r="AA396" s="11">
        <v>0.79</v>
      </c>
      <c r="AB396" s="12">
        <v>5954204</v>
      </c>
      <c r="AC396" s="12">
        <v>5045681</v>
      </c>
      <c r="AD396" s="12">
        <v>250000</v>
      </c>
      <c r="AE396" s="12">
        <v>550000</v>
      </c>
      <c r="AF396" s="12">
        <v>2490927</v>
      </c>
      <c r="AG396" s="12">
        <v>2475000</v>
      </c>
      <c r="AH396" s="11">
        <v>4.2300000000000004</v>
      </c>
      <c r="AI396" s="11">
        <v>4</v>
      </c>
      <c r="AJ396" s="13"/>
    </row>
    <row r="397" spans="1:36" x14ac:dyDescent="0.25">
      <c r="A397" t="str">
        <f>"580207"</f>
        <v>580207</v>
      </c>
      <c r="B397" t="s">
        <v>484</v>
      </c>
      <c r="C397" s="10">
        <v>59272525</v>
      </c>
      <c r="D397" s="10">
        <v>60203745</v>
      </c>
      <c r="E397" s="11">
        <v>1.57</v>
      </c>
      <c r="F397" s="12">
        <v>39350460</v>
      </c>
      <c r="G397" s="12">
        <v>40117049</v>
      </c>
      <c r="H397" s="12"/>
      <c r="I397" s="12"/>
      <c r="J397" s="12"/>
      <c r="K397" s="12"/>
      <c r="L397" s="12"/>
      <c r="M397" s="12"/>
      <c r="N397" s="12">
        <v>39350460</v>
      </c>
      <c r="O397" s="12">
        <v>40117049</v>
      </c>
      <c r="P397" s="11">
        <v>1.95</v>
      </c>
      <c r="Q397" s="12">
        <v>610930</v>
      </c>
      <c r="R397" s="12">
        <v>538508</v>
      </c>
      <c r="S397" s="12">
        <v>38739530</v>
      </c>
      <c r="T397" s="12">
        <v>39578541</v>
      </c>
      <c r="U397" s="12">
        <v>38739530</v>
      </c>
      <c r="V397" s="12">
        <v>39578541</v>
      </c>
      <c r="W397" s="12">
        <v>0</v>
      </c>
      <c r="X397" s="12">
        <v>0</v>
      </c>
      <c r="Y397" s="12">
        <v>2304</v>
      </c>
      <c r="Z397" s="12">
        <v>2246</v>
      </c>
      <c r="AA397" s="11">
        <v>-2.52</v>
      </c>
      <c r="AB397" s="12">
        <v>5663000</v>
      </c>
      <c r="AC397" s="12">
        <v>6063000</v>
      </c>
      <c r="AD397" s="12">
        <v>1480696</v>
      </c>
      <c r="AE397" s="12">
        <v>2171180</v>
      </c>
      <c r="AF397" s="12">
        <v>4813618</v>
      </c>
      <c r="AG397" s="12">
        <v>3107889</v>
      </c>
      <c r="AH397" s="11">
        <v>8.1199999999999992</v>
      </c>
      <c r="AI397" s="11">
        <v>5.16</v>
      </c>
      <c r="AJ397" s="13"/>
    </row>
    <row r="398" spans="1:36" x14ac:dyDescent="0.25">
      <c r="A398" t="str">
        <f>"660900"</f>
        <v>660900</v>
      </c>
      <c r="B398" t="s">
        <v>485</v>
      </c>
      <c r="C398" s="10">
        <v>245169123</v>
      </c>
      <c r="D398" s="10">
        <v>251979860</v>
      </c>
      <c r="E398" s="11">
        <v>2.78</v>
      </c>
      <c r="F398" s="12">
        <v>134077473</v>
      </c>
      <c r="G398" s="12">
        <v>135270763</v>
      </c>
      <c r="H398" s="12"/>
      <c r="I398" s="12"/>
      <c r="J398" s="12"/>
      <c r="K398" s="12"/>
      <c r="L398" s="12"/>
      <c r="M398" s="12"/>
      <c r="N398" s="12">
        <v>134077473</v>
      </c>
      <c r="O398" s="12">
        <v>135270763</v>
      </c>
      <c r="P398" s="11">
        <v>0.89</v>
      </c>
      <c r="Q398" s="12">
        <v>5119913</v>
      </c>
      <c r="R398" s="12">
        <v>12933509</v>
      </c>
      <c r="S398" s="12">
        <v>131094825</v>
      </c>
      <c r="T398" s="12">
        <v>129802958</v>
      </c>
      <c r="U398" s="12">
        <v>128957560</v>
      </c>
      <c r="V398" s="12">
        <v>122337254</v>
      </c>
      <c r="W398" s="12">
        <v>2137265</v>
      </c>
      <c r="X398" s="12">
        <v>7465704</v>
      </c>
      <c r="Y398" s="12">
        <v>8061</v>
      </c>
      <c r="Z398" s="12">
        <v>7800</v>
      </c>
      <c r="AA398" s="11">
        <v>-3.24</v>
      </c>
      <c r="AB398" s="12">
        <v>19924388</v>
      </c>
      <c r="AC398" s="12">
        <v>15048336</v>
      </c>
      <c r="AD398" s="12">
        <v>6332450</v>
      </c>
      <c r="AE398" s="12">
        <v>6238458</v>
      </c>
      <c r="AF398" s="12">
        <v>7185401</v>
      </c>
      <c r="AG398" s="12">
        <v>7979031</v>
      </c>
      <c r="AH398" s="11">
        <v>2.93</v>
      </c>
      <c r="AI398" s="11">
        <v>3.17</v>
      </c>
      <c r="AJ398" s="13"/>
    </row>
    <row r="399" spans="1:36" x14ac:dyDescent="0.25">
      <c r="A399" t="str">
        <f>"500108"</f>
        <v>500108</v>
      </c>
      <c r="B399" t="s">
        <v>486</v>
      </c>
      <c r="C399" s="10">
        <v>71967897</v>
      </c>
      <c r="D399" s="10">
        <v>73216050</v>
      </c>
      <c r="E399" s="11">
        <v>1.73</v>
      </c>
      <c r="F399" s="12">
        <v>54363308</v>
      </c>
      <c r="G399" s="12">
        <v>55392222</v>
      </c>
      <c r="H399" s="12"/>
      <c r="I399" s="12"/>
      <c r="J399" s="12"/>
      <c r="K399" s="12"/>
      <c r="L399" s="12"/>
      <c r="M399" s="12"/>
      <c r="N399" s="12">
        <v>54363308</v>
      </c>
      <c r="O399" s="12">
        <v>55392222</v>
      </c>
      <c r="P399" s="11">
        <v>1.89</v>
      </c>
      <c r="Q399" s="12">
        <v>5788412</v>
      </c>
      <c r="R399" s="12">
        <v>4930011</v>
      </c>
      <c r="S399" s="12">
        <v>48574896</v>
      </c>
      <c r="T399" s="12">
        <v>50462211</v>
      </c>
      <c r="U399" s="12">
        <v>48574896</v>
      </c>
      <c r="V399" s="12">
        <v>50462211</v>
      </c>
      <c r="W399" s="12">
        <v>0</v>
      </c>
      <c r="X399" s="12">
        <v>0</v>
      </c>
      <c r="Y399" s="12">
        <v>2226</v>
      </c>
      <c r="Z399" s="12">
        <v>2232</v>
      </c>
      <c r="AA399" s="11">
        <v>0.27</v>
      </c>
      <c r="AB399" s="12">
        <v>8104861</v>
      </c>
      <c r="AC399" s="12">
        <v>8250000</v>
      </c>
      <c r="AD399" s="12">
        <v>3555427</v>
      </c>
      <c r="AE399" s="12">
        <v>3670189</v>
      </c>
      <c r="AF399" s="12">
        <v>2874714</v>
      </c>
      <c r="AG399" s="12">
        <v>2928642</v>
      </c>
      <c r="AH399" s="11">
        <v>3.99</v>
      </c>
      <c r="AI399" s="11">
        <v>4</v>
      </c>
      <c r="AJ399" s="13"/>
    </row>
    <row r="400" spans="1:36" x14ac:dyDescent="0.25">
      <c r="A400" t="str">
        <f>"431201"</f>
        <v>431201</v>
      </c>
      <c r="B400" t="s">
        <v>487</v>
      </c>
      <c r="C400" s="10">
        <v>19919355</v>
      </c>
      <c r="D400" s="10">
        <v>20303849</v>
      </c>
      <c r="E400" s="11">
        <v>1.93</v>
      </c>
      <c r="F400" s="12">
        <v>10994739</v>
      </c>
      <c r="G400" s="12">
        <v>11349471</v>
      </c>
      <c r="H400" s="12"/>
      <c r="I400" s="12"/>
      <c r="J400" s="12"/>
      <c r="K400" s="12"/>
      <c r="L400" s="12">
        <v>0</v>
      </c>
      <c r="M400" s="12">
        <v>1893</v>
      </c>
      <c r="N400" s="12">
        <v>10994739</v>
      </c>
      <c r="O400" s="12">
        <v>11347578</v>
      </c>
      <c r="P400" s="11">
        <v>3.21</v>
      </c>
      <c r="Q400" s="12">
        <v>819438</v>
      </c>
      <c r="R400" s="12">
        <v>876392</v>
      </c>
      <c r="S400" s="12">
        <v>10175301</v>
      </c>
      <c r="T400" s="12">
        <v>10473079</v>
      </c>
      <c r="U400" s="12">
        <v>10175301</v>
      </c>
      <c r="V400" s="12">
        <v>10473079</v>
      </c>
      <c r="W400" s="12">
        <v>0</v>
      </c>
      <c r="X400" s="12">
        <v>0</v>
      </c>
      <c r="Y400" s="12">
        <v>680</v>
      </c>
      <c r="Z400" s="12">
        <v>676</v>
      </c>
      <c r="AA400" s="11">
        <v>-0.59</v>
      </c>
      <c r="AB400" s="12">
        <v>4336707</v>
      </c>
      <c r="AC400" s="12">
        <v>4490153</v>
      </c>
      <c r="AD400" s="12">
        <v>550000</v>
      </c>
      <c r="AE400" s="12">
        <v>450000</v>
      </c>
      <c r="AF400" s="12">
        <v>796774</v>
      </c>
      <c r="AG400" s="12">
        <v>812154</v>
      </c>
      <c r="AH400" s="11">
        <v>4</v>
      </c>
      <c r="AI400" s="11">
        <v>4</v>
      </c>
      <c r="AJ400" s="13"/>
    </row>
    <row r="401" spans="1:36" x14ac:dyDescent="0.25">
      <c r="A401" t="str">
        <f>"411501"</f>
        <v>411501</v>
      </c>
      <c r="B401" t="s">
        <v>488</v>
      </c>
      <c r="C401" s="10">
        <v>52138439</v>
      </c>
      <c r="D401" s="10">
        <v>52891318</v>
      </c>
      <c r="E401" s="11">
        <v>1.44</v>
      </c>
      <c r="F401" s="12">
        <v>34800284</v>
      </c>
      <c r="G401" s="12">
        <v>35824944</v>
      </c>
      <c r="H401" s="12"/>
      <c r="I401" s="12"/>
      <c r="J401" s="12"/>
      <c r="K401" s="12"/>
      <c r="L401" s="12"/>
      <c r="M401" s="12"/>
      <c r="N401" s="12">
        <v>34800284</v>
      </c>
      <c r="O401" s="12">
        <v>35824944</v>
      </c>
      <c r="P401" s="11">
        <v>2.94</v>
      </c>
      <c r="Q401" s="12">
        <v>1574135</v>
      </c>
      <c r="R401" s="12">
        <v>1697200</v>
      </c>
      <c r="S401" s="12">
        <v>33226149</v>
      </c>
      <c r="T401" s="12">
        <v>34127744</v>
      </c>
      <c r="U401" s="12">
        <v>33226149</v>
      </c>
      <c r="V401" s="12">
        <v>34127744</v>
      </c>
      <c r="W401" s="12">
        <v>0</v>
      </c>
      <c r="X401" s="12">
        <v>0</v>
      </c>
      <c r="Y401" s="12">
        <v>2570</v>
      </c>
      <c r="Z401" s="12">
        <v>2560</v>
      </c>
      <c r="AA401" s="11">
        <v>-0.39</v>
      </c>
      <c r="AB401" s="12">
        <v>1742791</v>
      </c>
      <c r="AC401" s="12">
        <v>1742791</v>
      </c>
      <c r="AD401" s="12">
        <v>1177000</v>
      </c>
      <c r="AE401" s="12">
        <v>900000</v>
      </c>
      <c r="AF401" s="12">
        <v>1560217</v>
      </c>
      <c r="AG401" s="12">
        <v>1557332</v>
      </c>
      <c r="AH401" s="11">
        <v>2.99</v>
      </c>
      <c r="AI401" s="11">
        <v>2.94</v>
      </c>
      <c r="AJ401" s="13"/>
    </row>
    <row r="402" spans="1:36" x14ac:dyDescent="0.25">
      <c r="A402" t="str">
        <f>"280405"</f>
        <v>280405</v>
      </c>
      <c r="B402" t="s">
        <v>489</v>
      </c>
      <c r="C402" s="10">
        <v>38215400</v>
      </c>
      <c r="D402" s="10">
        <v>39246850</v>
      </c>
      <c r="E402" s="11">
        <v>2.7</v>
      </c>
      <c r="F402" s="12">
        <v>29973390</v>
      </c>
      <c r="G402" s="12">
        <v>30847407</v>
      </c>
      <c r="H402" s="12"/>
      <c r="I402" s="12"/>
      <c r="J402" s="12"/>
      <c r="K402" s="12"/>
      <c r="L402" s="12"/>
      <c r="M402" s="12"/>
      <c r="N402" s="12">
        <v>29973390</v>
      </c>
      <c r="O402" s="12">
        <v>30847407</v>
      </c>
      <c r="P402" s="11">
        <v>2.92</v>
      </c>
      <c r="Q402" s="12">
        <v>930015</v>
      </c>
      <c r="R402" s="12">
        <v>1085594</v>
      </c>
      <c r="S402" s="12">
        <v>29043375</v>
      </c>
      <c r="T402" s="12">
        <v>29761813</v>
      </c>
      <c r="U402" s="12">
        <v>29043375</v>
      </c>
      <c r="V402" s="12">
        <v>29761813</v>
      </c>
      <c r="W402" s="12">
        <v>0</v>
      </c>
      <c r="X402" s="12">
        <v>0</v>
      </c>
      <c r="Y402" s="12">
        <v>1710</v>
      </c>
      <c r="Z402" s="12">
        <v>1723</v>
      </c>
      <c r="AA402" s="11">
        <v>0.76</v>
      </c>
      <c r="AB402" s="12">
        <v>7343667</v>
      </c>
      <c r="AC402" s="12">
        <v>7727482</v>
      </c>
      <c r="AD402" s="12">
        <v>687037</v>
      </c>
      <c r="AE402" s="12">
        <v>800427</v>
      </c>
      <c r="AF402" s="12">
        <v>1528616</v>
      </c>
      <c r="AG402" s="12">
        <v>1569874</v>
      </c>
      <c r="AH402" s="11">
        <v>4</v>
      </c>
      <c r="AI402" s="11">
        <v>4</v>
      </c>
      <c r="AJ402" s="13"/>
    </row>
    <row r="403" spans="1:36" x14ac:dyDescent="0.25">
      <c r="A403" t="str">
        <f>"101601"</f>
        <v>101601</v>
      </c>
      <c r="B403" t="s">
        <v>490</v>
      </c>
      <c r="C403" s="10">
        <v>12409824</v>
      </c>
      <c r="D403" s="10">
        <v>12519024</v>
      </c>
      <c r="E403" s="11">
        <v>0.88</v>
      </c>
      <c r="F403" s="12">
        <v>8422589</v>
      </c>
      <c r="G403" s="12">
        <v>8422589</v>
      </c>
      <c r="H403" s="12"/>
      <c r="I403" s="12"/>
      <c r="J403" s="12"/>
      <c r="K403" s="12"/>
      <c r="L403" s="12"/>
      <c r="M403" s="12"/>
      <c r="N403" s="12">
        <v>8422589</v>
      </c>
      <c r="O403" s="12">
        <v>8422589</v>
      </c>
      <c r="P403" s="11">
        <v>0</v>
      </c>
      <c r="Q403" s="12">
        <v>466817</v>
      </c>
      <c r="R403" s="12">
        <v>409071</v>
      </c>
      <c r="S403" s="12">
        <v>8427811</v>
      </c>
      <c r="T403" s="12">
        <v>8169011</v>
      </c>
      <c r="U403" s="12">
        <v>7955772</v>
      </c>
      <c r="V403" s="12">
        <v>8013518</v>
      </c>
      <c r="W403" s="12">
        <v>472039</v>
      </c>
      <c r="X403" s="12">
        <v>155493</v>
      </c>
      <c r="Y403" s="12">
        <v>413</v>
      </c>
      <c r="Z403" s="12">
        <v>414</v>
      </c>
      <c r="AA403" s="11">
        <v>0.24</v>
      </c>
      <c r="AB403" s="12">
        <v>1946885</v>
      </c>
      <c r="AC403" s="12">
        <v>2678747</v>
      </c>
      <c r="AD403" s="12">
        <v>0</v>
      </c>
      <c r="AE403" s="12">
        <v>0</v>
      </c>
      <c r="AF403" s="12">
        <v>497000</v>
      </c>
      <c r="AG403" s="12">
        <v>501000</v>
      </c>
      <c r="AH403" s="11">
        <v>4</v>
      </c>
      <c r="AI403" s="11">
        <v>4</v>
      </c>
      <c r="AJ403" s="13"/>
    </row>
    <row r="404" spans="1:36" x14ac:dyDescent="0.25">
      <c r="A404" t="str">
        <f>"621101"</f>
        <v>621101</v>
      </c>
      <c r="B404" t="s">
        <v>491</v>
      </c>
      <c r="C404" s="10">
        <v>59000000</v>
      </c>
      <c r="D404" s="10">
        <v>61320000</v>
      </c>
      <c r="E404" s="11">
        <v>3.93</v>
      </c>
      <c r="F404" s="12">
        <v>41060000</v>
      </c>
      <c r="G404" s="12">
        <v>42380000</v>
      </c>
      <c r="H404" s="12"/>
      <c r="I404" s="12"/>
      <c r="J404" s="12"/>
      <c r="K404" s="12"/>
      <c r="L404" s="12"/>
      <c r="M404" s="12"/>
      <c r="N404" s="12">
        <v>41060000</v>
      </c>
      <c r="O404" s="12">
        <v>42380000</v>
      </c>
      <c r="P404" s="11">
        <v>3.21</v>
      </c>
      <c r="Q404" s="12">
        <v>2324078</v>
      </c>
      <c r="R404" s="12">
        <v>2567791</v>
      </c>
      <c r="S404" s="12">
        <v>38275922</v>
      </c>
      <c r="T404" s="12">
        <v>39812209</v>
      </c>
      <c r="U404" s="12">
        <v>38735922</v>
      </c>
      <c r="V404" s="12">
        <v>39812209</v>
      </c>
      <c r="W404" s="12">
        <v>-460000</v>
      </c>
      <c r="X404" s="12">
        <v>0</v>
      </c>
      <c r="Y404" s="12">
        <v>2211</v>
      </c>
      <c r="Z404" s="12">
        <v>2215</v>
      </c>
      <c r="AA404" s="11">
        <v>0.18</v>
      </c>
      <c r="AB404" s="12">
        <v>503700</v>
      </c>
      <c r="AC404" s="12">
        <v>503700</v>
      </c>
      <c r="AD404" s="12">
        <v>1500000</v>
      </c>
      <c r="AE404" s="12">
        <v>1535000</v>
      </c>
      <c r="AF404" s="12">
        <v>2053759</v>
      </c>
      <c r="AG404" s="12">
        <v>1500000</v>
      </c>
      <c r="AH404" s="11">
        <v>3.48</v>
      </c>
      <c r="AI404" s="11">
        <v>2.4500000000000002</v>
      </c>
      <c r="AJ404" s="13"/>
    </row>
    <row r="405" spans="1:36" x14ac:dyDescent="0.25">
      <c r="A405" t="str">
        <f>"661100"</f>
        <v>661100</v>
      </c>
      <c r="B405" t="s">
        <v>492</v>
      </c>
      <c r="C405" s="10">
        <v>259622488</v>
      </c>
      <c r="D405" s="10">
        <v>272804093</v>
      </c>
      <c r="E405" s="11">
        <v>5.08</v>
      </c>
      <c r="F405" s="12">
        <v>204441642</v>
      </c>
      <c r="G405" s="12">
        <v>212400779</v>
      </c>
      <c r="H405" s="12"/>
      <c r="I405" s="12"/>
      <c r="J405" s="12"/>
      <c r="K405" s="12"/>
      <c r="L405" s="12"/>
      <c r="M405" s="12"/>
      <c r="N405" s="12">
        <v>204441642</v>
      </c>
      <c r="O405" s="12">
        <v>212400779</v>
      </c>
      <c r="P405" s="11">
        <v>3.89</v>
      </c>
      <c r="Q405" s="12">
        <v>7733417</v>
      </c>
      <c r="R405" s="12">
        <v>8179688</v>
      </c>
      <c r="S405" s="12">
        <v>196708225</v>
      </c>
      <c r="T405" s="12">
        <v>200822474</v>
      </c>
      <c r="U405" s="12">
        <v>196708225</v>
      </c>
      <c r="V405" s="12">
        <v>204221091</v>
      </c>
      <c r="W405" s="12">
        <v>0</v>
      </c>
      <c r="X405" s="12">
        <v>-3398617</v>
      </c>
      <c r="Y405" s="12">
        <v>10716</v>
      </c>
      <c r="Z405" s="12">
        <v>10728</v>
      </c>
      <c r="AA405" s="11">
        <v>0.11</v>
      </c>
      <c r="AB405" s="12">
        <v>12371667</v>
      </c>
      <c r="AC405" s="12">
        <v>12666614</v>
      </c>
      <c r="AD405" s="12">
        <v>533820</v>
      </c>
      <c r="AE405" s="12">
        <v>1400145</v>
      </c>
      <c r="AF405" s="12">
        <v>10353241</v>
      </c>
      <c r="AG405" s="12">
        <v>10912164</v>
      </c>
      <c r="AH405" s="11">
        <v>3.99</v>
      </c>
      <c r="AI405" s="11">
        <v>4</v>
      </c>
      <c r="AJ405" s="13"/>
    </row>
    <row r="406" spans="1:36" x14ac:dyDescent="0.25">
      <c r="A406" t="str">
        <f>"650101"</f>
        <v>650101</v>
      </c>
      <c r="B406" t="s">
        <v>493</v>
      </c>
      <c r="C406" s="10">
        <v>48356781</v>
      </c>
      <c r="D406" s="10">
        <v>49206317</v>
      </c>
      <c r="E406" s="11">
        <v>1.76</v>
      </c>
      <c r="F406" s="12">
        <v>12567974</v>
      </c>
      <c r="G406" s="12">
        <v>12899813</v>
      </c>
      <c r="H406" s="12">
        <v>535071</v>
      </c>
      <c r="I406" s="12">
        <v>562045</v>
      </c>
      <c r="J406" s="12"/>
      <c r="K406" s="12"/>
      <c r="L406" s="12"/>
      <c r="M406" s="12"/>
      <c r="N406" s="12">
        <v>13103045</v>
      </c>
      <c r="O406" s="12">
        <v>13461858</v>
      </c>
      <c r="P406" s="11">
        <v>2.74</v>
      </c>
      <c r="Q406" s="12">
        <v>0</v>
      </c>
      <c r="R406" s="12">
        <v>0</v>
      </c>
      <c r="S406" s="12">
        <v>12794150</v>
      </c>
      <c r="T406" s="12">
        <v>13091725</v>
      </c>
      <c r="U406" s="12">
        <v>12567974</v>
      </c>
      <c r="V406" s="12">
        <v>12899813</v>
      </c>
      <c r="W406" s="12">
        <v>226176</v>
      </c>
      <c r="X406" s="12">
        <v>191912</v>
      </c>
      <c r="Y406" s="12">
        <v>2162</v>
      </c>
      <c r="Z406" s="12">
        <v>2162</v>
      </c>
      <c r="AA406" s="11">
        <v>0</v>
      </c>
      <c r="AB406" s="12">
        <v>9046868</v>
      </c>
      <c r="AC406" s="12">
        <v>8863517</v>
      </c>
      <c r="AD406" s="12">
        <v>550000</v>
      </c>
      <c r="AE406" s="12">
        <v>2968253</v>
      </c>
      <c r="AF406" s="12">
        <v>1837557</v>
      </c>
      <c r="AG406" s="12">
        <v>1230158</v>
      </c>
      <c r="AH406" s="11">
        <v>3.8</v>
      </c>
      <c r="AI406" s="11">
        <v>2.5</v>
      </c>
      <c r="AJ406" s="13"/>
    </row>
    <row r="407" spans="1:36" x14ac:dyDescent="0.25">
      <c r="A407" t="str">
        <f>"600402"</f>
        <v>600402</v>
      </c>
      <c r="B407" t="s">
        <v>494</v>
      </c>
      <c r="C407" s="10">
        <v>25890854</v>
      </c>
      <c r="D407" s="10">
        <v>26464414</v>
      </c>
      <c r="E407" s="11">
        <v>2.2200000000000002</v>
      </c>
      <c r="F407" s="12">
        <v>7786807</v>
      </c>
      <c r="G407" s="12">
        <v>7984428</v>
      </c>
      <c r="H407" s="12"/>
      <c r="I407" s="12"/>
      <c r="J407" s="12"/>
      <c r="K407" s="12"/>
      <c r="L407" s="12"/>
      <c r="M407" s="12"/>
      <c r="N407" s="12">
        <v>7786807</v>
      </c>
      <c r="O407" s="12">
        <v>7984428</v>
      </c>
      <c r="P407" s="11">
        <v>2.54</v>
      </c>
      <c r="Q407" s="12">
        <v>85440</v>
      </c>
      <c r="R407" s="12">
        <v>127982</v>
      </c>
      <c r="S407" s="12">
        <v>7729367</v>
      </c>
      <c r="T407" s="12">
        <v>7888019</v>
      </c>
      <c r="U407" s="12">
        <v>7701367</v>
      </c>
      <c r="V407" s="12">
        <v>7856446</v>
      </c>
      <c r="W407" s="12">
        <v>28000</v>
      </c>
      <c r="X407" s="12">
        <v>31573</v>
      </c>
      <c r="Y407" s="12">
        <v>1142</v>
      </c>
      <c r="Z407" s="12">
        <v>1142</v>
      </c>
      <c r="AA407" s="11">
        <v>0</v>
      </c>
      <c r="AB407" s="12">
        <v>3531402</v>
      </c>
      <c r="AC407" s="12">
        <v>3932048</v>
      </c>
      <c r="AD407" s="12">
        <v>800000</v>
      </c>
      <c r="AE407" s="12">
        <v>800000</v>
      </c>
      <c r="AF407" s="12">
        <v>984737</v>
      </c>
      <c r="AG407" s="12">
        <v>1011546</v>
      </c>
      <c r="AH407" s="11">
        <v>3.8</v>
      </c>
      <c r="AI407" s="11">
        <v>3.82</v>
      </c>
      <c r="AJ407" s="13"/>
    </row>
    <row r="408" spans="1:36" x14ac:dyDescent="0.25">
      <c r="A408" t="str">
        <f>"441600"</f>
        <v>441600</v>
      </c>
      <c r="B408" t="s">
        <v>495</v>
      </c>
      <c r="C408" s="10">
        <v>267800000</v>
      </c>
      <c r="D408" s="10">
        <v>275391654</v>
      </c>
      <c r="E408" s="11">
        <v>2.83</v>
      </c>
      <c r="F408" s="12">
        <v>110754396</v>
      </c>
      <c r="G408" s="12">
        <v>110864396</v>
      </c>
      <c r="H408" s="12"/>
      <c r="I408" s="12"/>
      <c r="J408" s="12"/>
      <c r="K408" s="12"/>
      <c r="L408" s="12"/>
      <c r="M408" s="12"/>
      <c r="N408" s="12">
        <v>110754396</v>
      </c>
      <c r="O408" s="12">
        <v>110864396</v>
      </c>
      <c r="P408" s="11">
        <v>0.1</v>
      </c>
      <c r="Q408" s="12">
        <v>2002941</v>
      </c>
      <c r="R408" s="12">
        <v>2062833</v>
      </c>
      <c r="S408" s="12">
        <v>110902306</v>
      </c>
      <c r="T408" s="12">
        <v>111593966</v>
      </c>
      <c r="U408" s="12">
        <v>108751455</v>
      </c>
      <c r="V408" s="12">
        <v>108801563</v>
      </c>
      <c r="W408" s="12">
        <v>2150851</v>
      </c>
      <c r="X408" s="12">
        <v>2792403</v>
      </c>
      <c r="Y408" s="12">
        <v>11338</v>
      </c>
      <c r="Z408" s="12">
        <v>11300</v>
      </c>
      <c r="AA408" s="11">
        <v>-0.34</v>
      </c>
      <c r="AB408" s="12">
        <v>27380307</v>
      </c>
      <c r="AC408" s="12">
        <v>28000000</v>
      </c>
      <c r="AD408" s="12">
        <v>500000</v>
      </c>
      <c r="AE408" s="12">
        <v>0</v>
      </c>
      <c r="AF408" s="12">
        <v>10698980</v>
      </c>
      <c r="AG408" s="12">
        <v>11015565</v>
      </c>
      <c r="AH408" s="11">
        <v>4</v>
      </c>
      <c r="AI408" s="11">
        <v>4</v>
      </c>
      <c r="AJ408" s="13"/>
    </row>
    <row r="409" spans="1:36" x14ac:dyDescent="0.25">
      <c r="A409" t="str">
        <f>"151001"</f>
        <v>151001</v>
      </c>
      <c r="B409" t="s">
        <v>496</v>
      </c>
      <c r="C409" s="10">
        <v>6581401</v>
      </c>
      <c r="D409" s="10">
        <v>6769869</v>
      </c>
      <c r="E409" s="11">
        <v>2.86</v>
      </c>
      <c r="F409" s="12">
        <v>4604801</v>
      </c>
      <c r="G409" s="12">
        <v>4629534</v>
      </c>
      <c r="H409" s="12"/>
      <c r="I409" s="12"/>
      <c r="J409" s="12"/>
      <c r="K409" s="12"/>
      <c r="L409" s="12"/>
      <c r="M409" s="12"/>
      <c r="N409" s="12">
        <v>4604801</v>
      </c>
      <c r="O409" s="12">
        <v>4629534</v>
      </c>
      <c r="P409" s="11">
        <v>0.54</v>
      </c>
      <c r="Q409" s="12">
        <v>610226</v>
      </c>
      <c r="R409" s="12">
        <v>493281</v>
      </c>
      <c r="S409" s="12">
        <v>3995593</v>
      </c>
      <c r="T409" s="12">
        <v>4136935</v>
      </c>
      <c r="U409" s="12">
        <v>3994575</v>
      </c>
      <c r="V409" s="12">
        <v>4136253</v>
      </c>
      <c r="W409" s="12">
        <v>1018</v>
      </c>
      <c r="X409" s="12">
        <v>682</v>
      </c>
      <c r="Y409" s="12">
        <v>83</v>
      </c>
      <c r="Z409" s="12">
        <v>83</v>
      </c>
      <c r="AA409" s="11">
        <v>0</v>
      </c>
      <c r="AB409" s="12">
        <v>1489109</v>
      </c>
      <c r="AC409" s="12">
        <v>1107511</v>
      </c>
      <c r="AD409" s="12">
        <v>824000</v>
      </c>
      <c r="AE409" s="12">
        <v>739000</v>
      </c>
      <c r="AF409" s="12">
        <v>665109</v>
      </c>
      <c r="AG409" s="12">
        <v>368511</v>
      </c>
      <c r="AH409" s="11">
        <v>10.11</v>
      </c>
      <c r="AI409" s="11">
        <v>5.44</v>
      </c>
      <c r="AJ409" s="13"/>
    </row>
    <row r="410" spans="1:36" x14ac:dyDescent="0.25">
      <c r="A410" t="str">
        <f>"400601"</f>
        <v>400601</v>
      </c>
      <c r="B410" t="s">
        <v>497</v>
      </c>
      <c r="C410" s="10">
        <v>34234824</v>
      </c>
      <c r="D410" s="10">
        <v>36385957</v>
      </c>
      <c r="E410" s="11">
        <v>6.28</v>
      </c>
      <c r="F410" s="12">
        <v>13024626</v>
      </c>
      <c r="G410" s="12">
        <v>13415365</v>
      </c>
      <c r="H410" s="12"/>
      <c r="I410" s="12"/>
      <c r="J410" s="12"/>
      <c r="K410" s="12"/>
      <c r="L410" s="12"/>
      <c r="M410" s="12"/>
      <c r="N410" s="12">
        <v>13024626</v>
      </c>
      <c r="O410" s="12">
        <v>13415365</v>
      </c>
      <c r="P410" s="11">
        <v>3</v>
      </c>
      <c r="Q410" s="12">
        <v>0</v>
      </c>
      <c r="R410" s="12">
        <v>0</v>
      </c>
      <c r="S410" s="12">
        <v>13405678</v>
      </c>
      <c r="T410" s="12">
        <v>13579393</v>
      </c>
      <c r="U410" s="12">
        <v>13024626</v>
      </c>
      <c r="V410" s="12">
        <v>13415365</v>
      </c>
      <c r="W410" s="12">
        <v>381052</v>
      </c>
      <c r="X410" s="12">
        <v>164028</v>
      </c>
      <c r="Y410" s="12">
        <v>1525</v>
      </c>
      <c r="Z410" s="12">
        <v>1450</v>
      </c>
      <c r="AA410" s="11">
        <v>-4.92</v>
      </c>
      <c r="AB410" s="12">
        <v>15315551</v>
      </c>
      <c r="AC410" s="12">
        <v>15015551</v>
      </c>
      <c r="AD410" s="12">
        <v>2962425</v>
      </c>
      <c r="AE410" s="12">
        <v>5011564</v>
      </c>
      <c r="AF410" s="12">
        <v>5743297</v>
      </c>
      <c r="AG410" s="12">
        <v>2694158</v>
      </c>
      <c r="AH410" s="11">
        <v>16.78</v>
      </c>
      <c r="AI410" s="11">
        <v>7.4</v>
      </c>
      <c r="AJ410" s="13"/>
    </row>
    <row r="411" spans="1:36" x14ac:dyDescent="0.25">
      <c r="A411" t="str">
        <f>"610901"</f>
        <v>610901</v>
      </c>
      <c r="B411" t="s">
        <v>498</v>
      </c>
      <c r="C411" s="10">
        <v>19096781</v>
      </c>
      <c r="D411" s="10">
        <v>19096781</v>
      </c>
      <c r="E411" s="11">
        <v>0</v>
      </c>
      <c r="F411" s="12">
        <v>5617939</v>
      </c>
      <c r="G411" s="12">
        <v>5805157</v>
      </c>
      <c r="H411" s="12"/>
      <c r="I411" s="12"/>
      <c r="J411" s="12"/>
      <c r="K411" s="12"/>
      <c r="L411" s="12"/>
      <c r="M411" s="12"/>
      <c r="N411" s="12">
        <v>5617939</v>
      </c>
      <c r="O411" s="12">
        <v>5805157</v>
      </c>
      <c r="P411" s="11">
        <v>3.33</v>
      </c>
      <c r="Q411" s="12">
        <v>117535</v>
      </c>
      <c r="R411" s="12">
        <v>209739</v>
      </c>
      <c r="S411" s="12">
        <v>5500404</v>
      </c>
      <c r="T411" s="12">
        <v>5595418</v>
      </c>
      <c r="U411" s="12">
        <v>5500404</v>
      </c>
      <c r="V411" s="12">
        <v>5595418</v>
      </c>
      <c r="W411" s="12">
        <v>0</v>
      </c>
      <c r="X411" s="12">
        <v>0</v>
      </c>
      <c r="Y411" s="12">
        <v>782</v>
      </c>
      <c r="Z411" s="12">
        <v>798</v>
      </c>
      <c r="AA411" s="11">
        <v>2.0499999999999998</v>
      </c>
      <c r="AB411" s="12">
        <v>2482131</v>
      </c>
      <c r="AC411" s="12">
        <v>2373252</v>
      </c>
      <c r="AD411" s="12">
        <v>356633</v>
      </c>
      <c r="AE411" s="12">
        <v>315512</v>
      </c>
      <c r="AF411" s="12">
        <v>762693</v>
      </c>
      <c r="AG411" s="12">
        <v>762693</v>
      </c>
      <c r="AH411" s="11">
        <v>3.99</v>
      </c>
      <c r="AI411" s="11">
        <v>3.99</v>
      </c>
      <c r="AJ411" s="13"/>
    </row>
    <row r="412" spans="1:36" x14ac:dyDescent="0.25">
      <c r="A412" t="str">
        <f>"400800"</f>
        <v>400800</v>
      </c>
      <c r="B412" t="s">
        <v>499</v>
      </c>
      <c r="C412" s="10">
        <v>140921509</v>
      </c>
      <c r="D412" s="10">
        <v>144214871</v>
      </c>
      <c r="E412" s="11">
        <v>2.34</v>
      </c>
      <c r="F412" s="12">
        <v>25828989</v>
      </c>
      <c r="G412" s="12">
        <v>25828989</v>
      </c>
      <c r="H412" s="12"/>
      <c r="I412" s="12"/>
      <c r="J412" s="12"/>
      <c r="K412" s="12"/>
      <c r="L412" s="12"/>
      <c r="M412" s="12"/>
      <c r="N412" s="12">
        <v>25828989</v>
      </c>
      <c r="O412" s="12">
        <v>25828989</v>
      </c>
      <c r="P412" s="11">
        <v>0</v>
      </c>
      <c r="Q412" s="12">
        <v>2069003</v>
      </c>
      <c r="R412" s="12">
        <v>2870181</v>
      </c>
      <c r="S412" s="12">
        <v>23477668</v>
      </c>
      <c r="T412" s="12">
        <v>24294070</v>
      </c>
      <c r="U412" s="12">
        <v>23759986</v>
      </c>
      <c r="V412" s="12">
        <v>22958808</v>
      </c>
      <c r="W412" s="12">
        <v>-282318</v>
      </c>
      <c r="X412" s="12">
        <v>1335262</v>
      </c>
      <c r="Y412" s="12">
        <v>7000</v>
      </c>
      <c r="Z412" s="12">
        <v>7000</v>
      </c>
      <c r="AA412" s="11">
        <v>0</v>
      </c>
      <c r="AB412" s="12">
        <v>9479730</v>
      </c>
      <c r="AC412" s="12">
        <v>9479730</v>
      </c>
      <c r="AD412" s="12">
        <v>1067305</v>
      </c>
      <c r="AE412" s="12">
        <v>1746194</v>
      </c>
      <c r="AF412" s="12">
        <v>5636849</v>
      </c>
      <c r="AG412" s="12">
        <v>5768000</v>
      </c>
      <c r="AH412" s="11">
        <v>4</v>
      </c>
      <c r="AI412" s="11">
        <v>4</v>
      </c>
      <c r="AJ412" s="13"/>
    </row>
    <row r="413" spans="1:36" x14ac:dyDescent="0.25">
      <c r="A413" t="str">
        <f>"400701"</f>
        <v>400701</v>
      </c>
      <c r="B413" t="s">
        <v>500</v>
      </c>
      <c r="C413" s="10">
        <v>70518028</v>
      </c>
      <c r="D413" s="10">
        <v>72179915</v>
      </c>
      <c r="E413" s="11">
        <v>2.36</v>
      </c>
      <c r="F413" s="12">
        <v>32178516</v>
      </c>
      <c r="G413" s="12">
        <v>32979761</v>
      </c>
      <c r="H413" s="12"/>
      <c r="I413" s="12"/>
      <c r="J413" s="12"/>
      <c r="K413" s="12"/>
      <c r="L413" s="12"/>
      <c r="M413" s="12"/>
      <c r="N413" s="12">
        <v>32178516</v>
      </c>
      <c r="O413" s="12">
        <v>32979761</v>
      </c>
      <c r="P413" s="11">
        <v>2.4900000000000002</v>
      </c>
      <c r="Q413" s="12">
        <v>1341612</v>
      </c>
      <c r="R413" s="12">
        <v>1524984</v>
      </c>
      <c r="S413" s="12">
        <v>30836904</v>
      </c>
      <c r="T413" s="12">
        <v>31454777</v>
      </c>
      <c r="U413" s="12">
        <v>30836904</v>
      </c>
      <c r="V413" s="12">
        <v>31454777</v>
      </c>
      <c r="W413" s="12">
        <v>0</v>
      </c>
      <c r="X413" s="12">
        <v>0</v>
      </c>
      <c r="Y413" s="12">
        <v>3597</v>
      </c>
      <c r="Z413" s="12">
        <v>3517</v>
      </c>
      <c r="AA413" s="11">
        <v>-2.2200000000000002</v>
      </c>
      <c r="AB413" s="12">
        <v>13533458</v>
      </c>
      <c r="AC413" s="12">
        <v>15352108</v>
      </c>
      <c r="AD413" s="12">
        <v>0</v>
      </c>
      <c r="AE413" s="12">
        <v>1681350</v>
      </c>
      <c r="AF413" s="12">
        <v>2820721</v>
      </c>
      <c r="AG413" s="12">
        <v>2887196</v>
      </c>
      <c r="AH413" s="11">
        <v>4</v>
      </c>
      <c r="AI413" s="11">
        <v>4</v>
      </c>
      <c r="AJ413" s="13"/>
    </row>
    <row r="414" spans="1:36" x14ac:dyDescent="0.25">
      <c r="A414" t="str">
        <f>"530301"</f>
        <v>530301</v>
      </c>
      <c r="B414" t="s">
        <v>501</v>
      </c>
      <c r="C414" s="10">
        <v>81400312</v>
      </c>
      <c r="D414" s="10">
        <v>84193846</v>
      </c>
      <c r="E414" s="11">
        <v>3.43</v>
      </c>
      <c r="F414" s="12">
        <v>55573058</v>
      </c>
      <c r="G414" s="12">
        <v>57041399</v>
      </c>
      <c r="H414" s="12"/>
      <c r="I414" s="12"/>
      <c r="J414" s="12"/>
      <c r="K414" s="12"/>
      <c r="L414" s="12"/>
      <c r="M414" s="12"/>
      <c r="N414" s="12">
        <v>55573058</v>
      </c>
      <c r="O414" s="12">
        <v>57041399</v>
      </c>
      <c r="P414" s="11">
        <v>2.64</v>
      </c>
      <c r="Q414" s="12">
        <v>3185128</v>
      </c>
      <c r="R414" s="12">
        <v>3185113</v>
      </c>
      <c r="S414" s="12">
        <v>52387930</v>
      </c>
      <c r="T414" s="12">
        <v>54095786</v>
      </c>
      <c r="U414" s="12">
        <v>52387930</v>
      </c>
      <c r="V414" s="12">
        <v>53856286</v>
      </c>
      <c r="W414" s="12">
        <v>0</v>
      </c>
      <c r="X414" s="12">
        <v>239500</v>
      </c>
      <c r="Y414" s="12">
        <v>4258</v>
      </c>
      <c r="Z414" s="12">
        <v>4236</v>
      </c>
      <c r="AA414" s="11">
        <v>-0.52</v>
      </c>
      <c r="AB414" s="12">
        <v>7207309</v>
      </c>
      <c r="AC414" s="12">
        <v>9427837</v>
      </c>
      <c r="AD414" s="12">
        <v>1563500</v>
      </c>
      <c r="AE414" s="12">
        <v>1563500</v>
      </c>
      <c r="AF414" s="12">
        <v>3256012</v>
      </c>
      <c r="AG414" s="12">
        <v>3367754</v>
      </c>
      <c r="AH414" s="11">
        <v>4</v>
      </c>
      <c r="AI414" s="11">
        <v>4</v>
      </c>
      <c r="AJ414" s="13"/>
    </row>
    <row r="415" spans="1:36" x14ac:dyDescent="0.25">
      <c r="A415" t="str">
        <f>"580103"</f>
        <v>580103</v>
      </c>
      <c r="B415" t="s">
        <v>502</v>
      </c>
      <c r="C415" s="10">
        <v>116529994</v>
      </c>
      <c r="D415" s="10">
        <v>118395622</v>
      </c>
      <c r="E415" s="11">
        <v>1.6</v>
      </c>
      <c r="F415" s="12">
        <v>64905535</v>
      </c>
      <c r="G415" s="12">
        <v>64521901</v>
      </c>
      <c r="H415" s="12"/>
      <c r="I415" s="12"/>
      <c r="J415" s="12"/>
      <c r="K415" s="12"/>
      <c r="L415" s="12"/>
      <c r="M415" s="12"/>
      <c r="N415" s="12">
        <v>64905535</v>
      </c>
      <c r="O415" s="12">
        <v>64521901</v>
      </c>
      <c r="P415" s="11">
        <v>-0.59</v>
      </c>
      <c r="Q415" s="12">
        <v>2145159</v>
      </c>
      <c r="R415" s="12">
        <v>314128</v>
      </c>
      <c r="S415" s="12">
        <v>63467980</v>
      </c>
      <c r="T415" s="12">
        <v>64207773</v>
      </c>
      <c r="U415" s="12">
        <v>62760376</v>
      </c>
      <c r="V415" s="12">
        <v>64207773</v>
      </c>
      <c r="W415" s="12">
        <v>707604</v>
      </c>
      <c r="X415" s="12">
        <v>0</v>
      </c>
      <c r="Y415" s="12">
        <v>4706</v>
      </c>
      <c r="Z415" s="12">
        <v>4704</v>
      </c>
      <c r="AA415" s="11">
        <v>-0.04</v>
      </c>
      <c r="AB415" s="12">
        <v>20988155</v>
      </c>
      <c r="AC415" s="12">
        <v>15179748</v>
      </c>
      <c r="AD415" s="12">
        <v>3000000</v>
      </c>
      <c r="AE415" s="12">
        <v>2300000</v>
      </c>
      <c r="AF415" s="12">
        <v>4615845</v>
      </c>
      <c r="AG415" s="12">
        <v>3141591</v>
      </c>
      <c r="AH415" s="11">
        <v>3.96</v>
      </c>
      <c r="AI415" s="11">
        <v>2.65</v>
      </c>
      <c r="AJ415" s="13"/>
    </row>
    <row r="416" spans="1:36" x14ac:dyDescent="0.25">
      <c r="A416" t="str">
        <f>"280204"</f>
        <v>280204</v>
      </c>
      <c r="B416" t="s">
        <v>503</v>
      </c>
      <c r="C416" s="10">
        <v>55321132</v>
      </c>
      <c r="D416" s="10">
        <v>57228137</v>
      </c>
      <c r="E416" s="11">
        <v>3.45</v>
      </c>
      <c r="F416" s="12">
        <v>37010640</v>
      </c>
      <c r="G416" s="12">
        <v>38269002</v>
      </c>
      <c r="H416" s="12"/>
      <c r="I416" s="12"/>
      <c r="J416" s="12"/>
      <c r="K416" s="12"/>
      <c r="L416" s="12"/>
      <c r="M416" s="12"/>
      <c r="N416" s="12">
        <v>37010640</v>
      </c>
      <c r="O416" s="12">
        <v>38269002</v>
      </c>
      <c r="P416" s="11">
        <v>3.4</v>
      </c>
      <c r="Q416" s="12">
        <v>46317</v>
      </c>
      <c r="R416" s="12">
        <v>29436</v>
      </c>
      <c r="S416" s="12">
        <v>36964323</v>
      </c>
      <c r="T416" s="12">
        <v>38239566</v>
      </c>
      <c r="U416" s="12">
        <v>36964323</v>
      </c>
      <c r="V416" s="12">
        <v>38239566</v>
      </c>
      <c r="W416" s="12">
        <v>0</v>
      </c>
      <c r="X416" s="12">
        <v>0</v>
      </c>
      <c r="Y416" s="12">
        <v>2097</v>
      </c>
      <c r="Z416" s="12">
        <v>2105</v>
      </c>
      <c r="AA416" s="11">
        <v>0.38</v>
      </c>
      <c r="AB416" s="12">
        <v>453218</v>
      </c>
      <c r="AC416" s="12">
        <v>255000</v>
      </c>
      <c r="AD416" s="12">
        <v>2327992</v>
      </c>
      <c r="AE416" s="12">
        <v>1574851</v>
      </c>
      <c r="AF416" s="12">
        <v>1527293</v>
      </c>
      <c r="AG416" s="12">
        <v>800000</v>
      </c>
      <c r="AH416" s="11">
        <v>2.76</v>
      </c>
      <c r="AI416" s="11">
        <v>1.4</v>
      </c>
      <c r="AJ416" s="13"/>
    </row>
    <row r="417" spans="1:36" x14ac:dyDescent="0.25">
      <c r="A417" t="str">
        <f>"142201"</f>
        <v>142201</v>
      </c>
      <c r="B417" t="s">
        <v>504</v>
      </c>
      <c r="C417" s="10">
        <v>16434726</v>
      </c>
      <c r="D417" s="10">
        <v>16820965</v>
      </c>
      <c r="E417" s="11">
        <v>2.35</v>
      </c>
      <c r="F417" s="12">
        <v>5301907</v>
      </c>
      <c r="G417" s="12">
        <v>5431650</v>
      </c>
      <c r="H417" s="12"/>
      <c r="I417" s="12"/>
      <c r="J417" s="12"/>
      <c r="K417" s="12"/>
      <c r="L417" s="12"/>
      <c r="M417" s="12"/>
      <c r="N417" s="12">
        <v>5301907</v>
      </c>
      <c r="O417" s="12">
        <v>5431650</v>
      </c>
      <c r="P417" s="11">
        <v>2.4500000000000002</v>
      </c>
      <c r="Q417" s="12">
        <v>0</v>
      </c>
      <c r="R417" s="12">
        <v>0</v>
      </c>
      <c r="S417" s="12">
        <v>5387089</v>
      </c>
      <c r="T417" s="12">
        <v>5512456</v>
      </c>
      <c r="U417" s="12">
        <v>5301907</v>
      </c>
      <c r="V417" s="12">
        <v>5431650</v>
      </c>
      <c r="W417" s="12">
        <v>85182</v>
      </c>
      <c r="X417" s="12">
        <v>80806</v>
      </c>
      <c r="Y417" s="12">
        <v>564</v>
      </c>
      <c r="Z417" s="12">
        <v>579</v>
      </c>
      <c r="AA417" s="11">
        <v>2.66</v>
      </c>
      <c r="AB417" s="12">
        <v>5278182</v>
      </c>
      <c r="AC417" s="12">
        <v>4747979</v>
      </c>
      <c r="AD417" s="12">
        <v>1317676</v>
      </c>
      <c r="AE417" s="12">
        <v>520000</v>
      </c>
      <c r="AF417" s="12">
        <v>605703</v>
      </c>
      <c r="AG417" s="12">
        <v>672839</v>
      </c>
      <c r="AH417" s="11">
        <v>3.69</v>
      </c>
      <c r="AI417" s="11">
        <v>4</v>
      </c>
      <c r="AJ417" s="13"/>
    </row>
    <row r="418" spans="1:36" x14ac:dyDescent="0.25">
      <c r="A418" t="str">
        <f>"010623"</f>
        <v>010623</v>
      </c>
      <c r="B418" t="s">
        <v>505</v>
      </c>
      <c r="C418" s="10">
        <v>107244155</v>
      </c>
      <c r="D418" s="10">
        <v>111108452</v>
      </c>
      <c r="E418" s="11">
        <v>3.6</v>
      </c>
      <c r="F418" s="12">
        <v>82446594</v>
      </c>
      <c r="G418" s="12">
        <v>85002438</v>
      </c>
      <c r="H418" s="12"/>
      <c r="I418" s="12"/>
      <c r="J418" s="12"/>
      <c r="K418" s="12"/>
      <c r="L418" s="12"/>
      <c r="M418" s="12"/>
      <c r="N418" s="12">
        <v>82446594</v>
      </c>
      <c r="O418" s="12">
        <v>85002438</v>
      </c>
      <c r="P418" s="11">
        <v>3.1</v>
      </c>
      <c r="Q418" s="12">
        <v>4233783</v>
      </c>
      <c r="R418" s="12">
        <v>3914372</v>
      </c>
      <c r="S418" s="12">
        <v>78212811</v>
      </c>
      <c r="T418" s="12">
        <v>81112866</v>
      </c>
      <c r="U418" s="12">
        <v>78212811</v>
      </c>
      <c r="V418" s="12">
        <v>81088066</v>
      </c>
      <c r="W418" s="12">
        <v>0</v>
      </c>
      <c r="X418" s="12">
        <v>24800</v>
      </c>
      <c r="Y418" s="12">
        <v>5752</v>
      </c>
      <c r="Z418" s="12">
        <v>5807</v>
      </c>
      <c r="AA418" s="11">
        <v>0.96</v>
      </c>
      <c r="AB418" s="12">
        <v>6524108</v>
      </c>
      <c r="AC418" s="12">
        <v>9400500</v>
      </c>
      <c r="AD418" s="12">
        <v>750000</v>
      </c>
      <c r="AE418" s="12">
        <v>1500000</v>
      </c>
      <c r="AF418" s="12">
        <v>7432740</v>
      </c>
      <c r="AG418" s="12">
        <v>4400000</v>
      </c>
      <c r="AH418" s="11">
        <v>6.93</v>
      </c>
      <c r="AI418" s="11">
        <v>3.96</v>
      </c>
      <c r="AJ418" s="13"/>
    </row>
    <row r="419" spans="1:36" x14ac:dyDescent="0.25">
      <c r="A419" t="str">
        <f>"280229"</f>
        <v>280229</v>
      </c>
      <c r="B419" t="s">
        <v>506</v>
      </c>
      <c r="C419" s="10">
        <v>31389464</v>
      </c>
      <c r="D419" s="10">
        <v>32492312</v>
      </c>
      <c r="E419" s="11">
        <v>3.51</v>
      </c>
      <c r="F419" s="12">
        <v>22024914</v>
      </c>
      <c r="G419" s="12">
        <v>22761266</v>
      </c>
      <c r="H419" s="12"/>
      <c r="I419" s="12"/>
      <c r="J419" s="12"/>
      <c r="K419" s="12"/>
      <c r="L419" s="12"/>
      <c r="M419" s="12"/>
      <c r="N419" s="12">
        <v>22024914</v>
      </c>
      <c r="O419" s="12">
        <v>22761266</v>
      </c>
      <c r="P419" s="11">
        <v>3.34</v>
      </c>
      <c r="Q419" s="12">
        <v>374377</v>
      </c>
      <c r="R419" s="12">
        <v>521165</v>
      </c>
      <c r="S419" s="12">
        <v>21676574</v>
      </c>
      <c r="T419" s="12">
        <v>22247737</v>
      </c>
      <c r="U419" s="12">
        <v>21650537</v>
      </c>
      <c r="V419" s="12">
        <v>22240101</v>
      </c>
      <c r="W419" s="12">
        <v>26037</v>
      </c>
      <c r="X419" s="12">
        <v>7636</v>
      </c>
      <c r="Y419" s="12">
        <v>1204</v>
      </c>
      <c r="Z419" s="12">
        <v>1170</v>
      </c>
      <c r="AA419" s="11">
        <v>-2.82</v>
      </c>
      <c r="AB419" s="12">
        <v>4952751</v>
      </c>
      <c r="AC419" s="12">
        <v>4711759</v>
      </c>
      <c r="AD419" s="12">
        <v>790000</v>
      </c>
      <c r="AE419" s="12">
        <v>735000</v>
      </c>
      <c r="AF419" s="12">
        <v>1255012</v>
      </c>
      <c r="AG419" s="12">
        <v>1299692</v>
      </c>
      <c r="AH419" s="11">
        <v>4</v>
      </c>
      <c r="AI419" s="11">
        <v>4</v>
      </c>
      <c r="AJ419" s="13"/>
    </row>
    <row r="420" spans="1:36" x14ac:dyDescent="0.25">
      <c r="A420" t="str">
        <f>"651501"</f>
        <v>651501</v>
      </c>
      <c r="B420" t="s">
        <v>507</v>
      </c>
      <c r="C420" s="10">
        <v>27907192</v>
      </c>
      <c r="D420" s="10">
        <v>28467400</v>
      </c>
      <c r="E420" s="11">
        <v>2.0099999999999998</v>
      </c>
      <c r="F420" s="12">
        <v>9383829</v>
      </c>
      <c r="G420" s="12">
        <v>9562122</v>
      </c>
      <c r="H420" s="12"/>
      <c r="I420" s="12"/>
      <c r="J420" s="12"/>
      <c r="K420" s="12"/>
      <c r="L420" s="12"/>
      <c r="M420" s="12"/>
      <c r="N420" s="12">
        <v>9383829</v>
      </c>
      <c r="O420" s="12">
        <v>9562122</v>
      </c>
      <c r="P420" s="11">
        <v>1.9</v>
      </c>
      <c r="Q420" s="12">
        <v>0</v>
      </c>
      <c r="R420" s="12">
        <v>0</v>
      </c>
      <c r="S420" s="12">
        <v>9535947</v>
      </c>
      <c r="T420" s="12">
        <v>9767288</v>
      </c>
      <c r="U420" s="12">
        <v>9383829</v>
      </c>
      <c r="V420" s="12">
        <v>9562122</v>
      </c>
      <c r="W420" s="12">
        <v>152118</v>
      </c>
      <c r="X420" s="12">
        <v>205166</v>
      </c>
      <c r="Y420" s="12">
        <v>1166</v>
      </c>
      <c r="Z420" s="12">
        <v>1155</v>
      </c>
      <c r="AA420" s="11">
        <v>-0.94</v>
      </c>
      <c r="AB420" s="12">
        <v>4069482</v>
      </c>
      <c r="AC420" s="12">
        <v>5742324</v>
      </c>
      <c r="AD420" s="12">
        <v>0</v>
      </c>
      <c r="AE420" s="12">
        <v>0</v>
      </c>
      <c r="AF420" s="12">
        <v>1116288</v>
      </c>
      <c r="AG420" s="12">
        <v>700000</v>
      </c>
      <c r="AH420" s="11">
        <v>4</v>
      </c>
      <c r="AI420" s="11">
        <v>2.46</v>
      </c>
      <c r="AJ420" s="13"/>
    </row>
    <row r="421" spans="1:36" x14ac:dyDescent="0.25">
      <c r="A421" t="str">
        <f>"661301"</f>
        <v>661301</v>
      </c>
      <c r="B421" t="s">
        <v>508</v>
      </c>
      <c r="C421" s="10">
        <v>41965245</v>
      </c>
      <c r="D421" s="10">
        <v>42884512</v>
      </c>
      <c r="E421" s="11">
        <v>2.19</v>
      </c>
      <c r="F421" s="12">
        <v>37319150</v>
      </c>
      <c r="G421" s="12">
        <v>38241004</v>
      </c>
      <c r="H421" s="12"/>
      <c r="I421" s="12"/>
      <c r="J421" s="12"/>
      <c r="K421" s="12"/>
      <c r="L421" s="12"/>
      <c r="M421" s="12"/>
      <c r="N421" s="12">
        <v>37319150</v>
      </c>
      <c r="O421" s="12">
        <v>38241004</v>
      </c>
      <c r="P421" s="11">
        <v>2.4700000000000002</v>
      </c>
      <c r="Q421" s="12">
        <v>1446094</v>
      </c>
      <c r="R421" s="12">
        <v>1668357</v>
      </c>
      <c r="S421" s="12">
        <v>37319150</v>
      </c>
      <c r="T421" s="12">
        <v>38650887</v>
      </c>
      <c r="U421" s="12">
        <v>35873056</v>
      </c>
      <c r="V421" s="12">
        <v>36572647</v>
      </c>
      <c r="W421" s="12">
        <v>1446094</v>
      </c>
      <c r="X421" s="12">
        <v>2078240</v>
      </c>
      <c r="Y421" s="12">
        <v>1083</v>
      </c>
      <c r="Z421" s="12">
        <v>1076</v>
      </c>
      <c r="AA421" s="11">
        <v>-0.65</v>
      </c>
      <c r="AB421" s="12">
        <v>2667159</v>
      </c>
      <c r="AC421" s="12">
        <v>1891587</v>
      </c>
      <c r="AD421" s="12">
        <v>625000</v>
      </c>
      <c r="AE421" s="12">
        <v>650000</v>
      </c>
      <c r="AF421" s="12">
        <v>1612300</v>
      </c>
      <c r="AG421" s="12">
        <v>1715380</v>
      </c>
      <c r="AH421" s="11">
        <v>3.84</v>
      </c>
      <c r="AI421" s="11">
        <v>4</v>
      </c>
      <c r="AJ421" s="13"/>
    </row>
    <row r="422" spans="1:36" x14ac:dyDescent="0.25">
      <c r="A422" t="str">
        <f>"280501"</f>
        <v>280501</v>
      </c>
      <c r="B422" t="s">
        <v>509</v>
      </c>
      <c r="C422" s="10">
        <v>102113515</v>
      </c>
      <c r="D422" s="10">
        <v>104868519</v>
      </c>
      <c r="E422" s="11">
        <v>2.7</v>
      </c>
      <c r="F422" s="12">
        <v>84488575</v>
      </c>
      <c r="G422" s="12">
        <v>86086546</v>
      </c>
      <c r="H422" s="12"/>
      <c r="I422" s="12"/>
      <c r="J422" s="12"/>
      <c r="K422" s="12"/>
      <c r="L422" s="12"/>
      <c r="M422" s="12"/>
      <c r="N422" s="12">
        <v>84488575</v>
      </c>
      <c r="O422" s="12">
        <v>86086546</v>
      </c>
      <c r="P422" s="11">
        <v>1.89</v>
      </c>
      <c r="Q422" s="12">
        <v>4524542</v>
      </c>
      <c r="R422" s="12">
        <v>4683494</v>
      </c>
      <c r="S422" s="12">
        <v>79964033</v>
      </c>
      <c r="T422" s="12">
        <v>81700531</v>
      </c>
      <c r="U422" s="12">
        <v>79964033</v>
      </c>
      <c r="V422" s="12">
        <v>81403052</v>
      </c>
      <c r="W422" s="12">
        <v>0</v>
      </c>
      <c r="X422" s="12">
        <v>297479</v>
      </c>
      <c r="Y422" s="12">
        <v>2658</v>
      </c>
      <c r="Z422" s="12">
        <v>2638</v>
      </c>
      <c r="AA422" s="11">
        <v>-0.75</v>
      </c>
      <c r="AB422" s="12">
        <v>18709157</v>
      </c>
      <c r="AC422" s="12">
        <v>17573484</v>
      </c>
      <c r="AD422" s="12">
        <v>1710818</v>
      </c>
      <c r="AE422" s="12">
        <v>2350000</v>
      </c>
      <c r="AF422" s="12">
        <v>9219421</v>
      </c>
      <c r="AG422" s="12">
        <v>8179620</v>
      </c>
      <c r="AH422" s="11">
        <v>9.0299999999999994</v>
      </c>
      <c r="AI422" s="11">
        <v>7.8</v>
      </c>
      <c r="AJ422" s="13"/>
    </row>
    <row r="423" spans="1:36" x14ac:dyDescent="0.25">
      <c r="A423" t="str">
        <f>"420303"</f>
        <v>420303</v>
      </c>
      <c r="B423" t="s">
        <v>510</v>
      </c>
      <c r="C423" s="10">
        <v>158690480</v>
      </c>
      <c r="D423" s="10">
        <v>163200980</v>
      </c>
      <c r="E423" s="11">
        <v>2.84</v>
      </c>
      <c r="F423" s="12">
        <v>85272237</v>
      </c>
      <c r="G423" s="12">
        <v>87777567</v>
      </c>
      <c r="H423" s="12"/>
      <c r="I423" s="12"/>
      <c r="J423" s="12"/>
      <c r="K423" s="12"/>
      <c r="L423" s="12"/>
      <c r="M423" s="12"/>
      <c r="N423" s="12">
        <v>85272237</v>
      </c>
      <c r="O423" s="12">
        <v>87777567</v>
      </c>
      <c r="P423" s="11">
        <v>2.94</v>
      </c>
      <c r="Q423" s="12">
        <v>0</v>
      </c>
      <c r="R423" s="12">
        <v>0</v>
      </c>
      <c r="S423" s="12">
        <v>85272237</v>
      </c>
      <c r="T423" s="12">
        <v>87777567</v>
      </c>
      <c r="U423" s="12">
        <v>85272237</v>
      </c>
      <c r="V423" s="12">
        <v>87777567</v>
      </c>
      <c r="W423" s="12">
        <v>0</v>
      </c>
      <c r="X423" s="12">
        <v>0</v>
      </c>
      <c r="Y423" s="12">
        <v>8552</v>
      </c>
      <c r="Z423" s="12">
        <v>8525</v>
      </c>
      <c r="AA423" s="11">
        <v>-0.32</v>
      </c>
      <c r="AB423" s="12">
        <v>7608455</v>
      </c>
      <c r="AC423" s="12">
        <v>7612500</v>
      </c>
      <c r="AD423" s="12">
        <v>2700876</v>
      </c>
      <c r="AE423" s="12">
        <v>2400000</v>
      </c>
      <c r="AF423" s="12">
        <v>6334156</v>
      </c>
      <c r="AG423" s="12">
        <v>6500000</v>
      </c>
      <c r="AH423" s="11">
        <v>3.99</v>
      </c>
      <c r="AI423" s="11">
        <v>3.98</v>
      </c>
      <c r="AJ423" s="13"/>
    </row>
    <row r="424" spans="1:36" x14ac:dyDescent="0.25">
      <c r="A424" t="str">
        <f>"400900"</f>
        <v>400900</v>
      </c>
      <c r="B424" t="s">
        <v>511</v>
      </c>
      <c r="C424" s="10">
        <v>73491613</v>
      </c>
      <c r="D424" s="10">
        <v>77887449</v>
      </c>
      <c r="E424" s="11">
        <v>5.98</v>
      </c>
      <c r="F424" s="12">
        <v>28046677</v>
      </c>
      <c r="G424" s="12">
        <v>28601055</v>
      </c>
      <c r="H424" s="12"/>
      <c r="I424" s="12"/>
      <c r="J424" s="12"/>
      <c r="K424" s="12"/>
      <c r="L424" s="12"/>
      <c r="M424" s="12"/>
      <c r="N424" s="12">
        <v>28046677</v>
      </c>
      <c r="O424" s="12">
        <v>28601055</v>
      </c>
      <c r="P424" s="11">
        <v>1.98</v>
      </c>
      <c r="Q424" s="12">
        <v>155443</v>
      </c>
      <c r="R424" s="12">
        <v>524992</v>
      </c>
      <c r="S424" s="12">
        <v>27955601</v>
      </c>
      <c r="T424" s="12">
        <v>28504071</v>
      </c>
      <c r="U424" s="12">
        <v>27891234</v>
      </c>
      <c r="V424" s="12">
        <v>28076063</v>
      </c>
      <c r="W424" s="12">
        <v>64367</v>
      </c>
      <c r="X424" s="12">
        <v>428008</v>
      </c>
      <c r="Y424" s="12">
        <v>3364</v>
      </c>
      <c r="Z424" s="12">
        <v>3379</v>
      </c>
      <c r="AA424" s="11">
        <v>0.45</v>
      </c>
      <c r="AB424" s="12">
        <v>5370947</v>
      </c>
      <c r="AC424" s="12">
        <v>8214428</v>
      </c>
      <c r="AD424" s="12">
        <v>5107385</v>
      </c>
      <c r="AE424" s="12">
        <v>5050000</v>
      </c>
      <c r="AF424" s="12">
        <v>4003460</v>
      </c>
      <c r="AG424" s="12">
        <v>3076554</v>
      </c>
      <c r="AH424" s="11">
        <v>5.45</v>
      </c>
      <c r="AI424" s="11">
        <v>3.95</v>
      </c>
      <c r="AJ424" s="13"/>
    </row>
    <row r="425" spans="1:36" x14ac:dyDescent="0.25">
      <c r="A425" t="str">
        <f>"630202"</f>
        <v>630202</v>
      </c>
      <c r="B425" t="s">
        <v>512</v>
      </c>
      <c r="C425" s="10">
        <v>13300785</v>
      </c>
      <c r="D425" s="10">
        <v>13417450</v>
      </c>
      <c r="E425" s="11">
        <v>0.88</v>
      </c>
      <c r="F425" s="12">
        <v>9055785</v>
      </c>
      <c r="G425" s="12">
        <v>9054450</v>
      </c>
      <c r="H425" s="12"/>
      <c r="I425" s="12"/>
      <c r="J425" s="12"/>
      <c r="K425" s="12"/>
      <c r="L425" s="12"/>
      <c r="M425" s="12"/>
      <c r="N425" s="12">
        <v>9055785</v>
      </c>
      <c r="O425" s="12">
        <v>9054450</v>
      </c>
      <c r="P425" s="11">
        <v>-0.01</v>
      </c>
      <c r="Q425" s="12">
        <v>260350</v>
      </c>
      <c r="R425" s="12">
        <v>125344</v>
      </c>
      <c r="S425" s="12">
        <v>8957803</v>
      </c>
      <c r="T425" s="12">
        <v>9004136</v>
      </c>
      <c r="U425" s="12">
        <v>8795435</v>
      </c>
      <c r="V425" s="12">
        <v>8929106</v>
      </c>
      <c r="W425" s="12">
        <v>162368</v>
      </c>
      <c r="X425" s="12">
        <v>75030</v>
      </c>
      <c r="Y425" s="12">
        <v>513</v>
      </c>
      <c r="Z425" s="12">
        <v>515</v>
      </c>
      <c r="AA425" s="11">
        <v>0.39</v>
      </c>
      <c r="AB425" s="12">
        <v>2797241</v>
      </c>
      <c r="AC425" s="12">
        <v>1265000</v>
      </c>
      <c r="AD425" s="12">
        <v>309436</v>
      </c>
      <c r="AE425" s="12">
        <v>275000</v>
      </c>
      <c r="AF425" s="12">
        <v>2294972</v>
      </c>
      <c r="AG425" s="12">
        <v>2020000</v>
      </c>
      <c r="AH425" s="11">
        <v>17.25</v>
      </c>
      <c r="AI425" s="11">
        <v>15.06</v>
      </c>
      <c r="AJ425" s="13"/>
    </row>
    <row r="426" spans="1:36" x14ac:dyDescent="0.25">
      <c r="A426" t="str">
        <f>"131101"</f>
        <v>131101</v>
      </c>
      <c r="B426" t="s">
        <v>513</v>
      </c>
      <c r="C426" s="10">
        <v>22262552</v>
      </c>
      <c r="D426" s="10">
        <v>22703351</v>
      </c>
      <c r="E426" s="11">
        <v>1.98</v>
      </c>
      <c r="F426" s="12">
        <v>13446278</v>
      </c>
      <c r="G426" s="12">
        <v>13893572</v>
      </c>
      <c r="H426" s="12"/>
      <c r="I426" s="12"/>
      <c r="J426" s="12"/>
      <c r="K426" s="12"/>
      <c r="L426" s="12"/>
      <c r="M426" s="12"/>
      <c r="N426" s="12">
        <v>13446278</v>
      </c>
      <c r="O426" s="12">
        <v>13893572</v>
      </c>
      <c r="P426" s="11">
        <v>3.33</v>
      </c>
      <c r="Q426" s="12">
        <v>456613</v>
      </c>
      <c r="R426" s="12">
        <v>629027</v>
      </c>
      <c r="S426" s="12">
        <v>12989665</v>
      </c>
      <c r="T426" s="12">
        <v>13264545</v>
      </c>
      <c r="U426" s="12">
        <v>12989665</v>
      </c>
      <c r="V426" s="12">
        <v>13264545</v>
      </c>
      <c r="W426" s="12">
        <v>0</v>
      </c>
      <c r="X426" s="12">
        <v>0</v>
      </c>
      <c r="Y426" s="12">
        <v>700</v>
      </c>
      <c r="Z426" s="12">
        <v>698</v>
      </c>
      <c r="AA426" s="11">
        <v>-0.28999999999999998</v>
      </c>
      <c r="AB426" s="12">
        <v>1045577</v>
      </c>
      <c r="AC426" s="12">
        <v>1500000</v>
      </c>
      <c r="AD426" s="12">
        <v>2100000</v>
      </c>
      <c r="AE426" s="12">
        <v>2100000</v>
      </c>
      <c r="AF426" s="12">
        <v>1290311</v>
      </c>
      <c r="AG426" s="12">
        <v>900000</v>
      </c>
      <c r="AH426" s="11">
        <v>5.8</v>
      </c>
      <c r="AI426" s="11">
        <v>3.96</v>
      </c>
      <c r="AJ426" s="13"/>
    </row>
    <row r="427" spans="1:36" x14ac:dyDescent="0.25">
      <c r="A427" t="str">
        <f>"090501"</f>
        <v>090501</v>
      </c>
      <c r="B427" t="s">
        <v>514</v>
      </c>
      <c r="C427" s="10">
        <v>29423825</v>
      </c>
      <c r="D427" s="10">
        <v>30390775</v>
      </c>
      <c r="E427" s="11">
        <v>3.29</v>
      </c>
      <c r="F427" s="12">
        <v>10762605</v>
      </c>
      <c r="G427" s="12">
        <v>10945600</v>
      </c>
      <c r="H427" s="12"/>
      <c r="I427" s="12"/>
      <c r="J427" s="12"/>
      <c r="K427" s="12"/>
      <c r="L427" s="12"/>
      <c r="M427" s="12"/>
      <c r="N427" s="12">
        <v>10762605</v>
      </c>
      <c r="O427" s="12">
        <v>10945600</v>
      </c>
      <c r="P427" s="11">
        <v>1.7</v>
      </c>
      <c r="Q427" s="12">
        <v>234396</v>
      </c>
      <c r="R427" s="12">
        <v>142478</v>
      </c>
      <c r="S427" s="12">
        <v>10720146</v>
      </c>
      <c r="T427" s="12">
        <v>10804103</v>
      </c>
      <c r="U427" s="12">
        <v>10528209</v>
      </c>
      <c r="V427" s="12">
        <v>10803122</v>
      </c>
      <c r="W427" s="12">
        <v>191937</v>
      </c>
      <c r="X427" s="12">
        <v>981</v>
      </c>
      <c r="Y427" s="12">
        <v>1320</v>
      </c>
      <c r="Z427" s="12">
        <v>1320</v>
      </c>
      <c r="AA427" s="11">
        <v>0</v>
      </c>
      <c r="AB427" s="12">
        <v>2462574</v>
      </c>
      <c r="AC427" s="12">
        <v>2400000</v>
      </c>
      <c r="AD427" s="12">
        <v>902322</v>
      </c>
      <c r="AE427" s="12">
        <v>1000000</v>
      </c>
      <c r="AF427" s="12">
        <v>3910437</v>
      </c>
      <c r="AG427" s="12">
        <v>3800000</v>
      </c>
      <c r="AH427" s="11">
        <v>13.29</v>
      </c>
      <c r="AI427" s="11">
        <v>12.5</v>
      </c>
      <c r="AJ427" s="13"/>
    </row>
    <row r="428" spans="1:36" x14ac:dyDescent="0.25">
      <c r="A428" t="str">
        <f>"090901"</f>
        <v>090901</v>
      </c>
      <c r="B428" t="s">
        <v>515</v>
      </c>
      <c r="C428" s="10">
        <v>21271283</v>
      </c>
      <c r="D428" s="10">
        <v>22122100</v>
      </c>
      <c r="E428" s="11">
        <v>4</v>
      </c>
      <c r="F428" s="12">
        <v>4662000</v>
      </c>
      <c r="G428" s="12">
        <v>4724940</v>
      </c>
      <c r="H428" s="12"/>
      <c r="I428" s="12"/>
      <c r="J428" s="12"/>
      <c r="K428" s="12"/>
      <c r="L428" s="12"/>
      <c r="M428" s="12"/>
      <c r="N428" s="12">
        <v>4662000</v>
      </c>
      <c r="O428" s="12">
        <v>4724940</v>
      </c>
      <c r="P428" s="11">
        <v>1.35</v>
      </c>
      <c r="Q428" s="12">
        <v>731880</v>
      </c>
      <c r="R428" s="12">
        <v>701013</v>
      </c>
      <c r="S428" s="12">
        <v>3978453</v>
      </c>
      <c r="T428" s="12">
        <v>4030722</v>
      </c>
      <c r="U428" s="12">
        <v>3930120</v>
      </c>
      <c r="V428" s="12">
        <v>4023927</v>
      </c>
      <c r="W428" s="12">
        <v>48333</v>
      </c>
      <c r="X428" s="12">
        <v>6795</v>
      </c>
      <c r="Y428" s="12">
        <v>855</v>
      </c>
      <c r="Z428" s="12">
        <v>845</v>
      </c>
      <c r="AA428" s="11">
        <v>-1.17</v>
      </c>
      <c r="AB428" s="12">
        <v>38077</v>
      </c>
      <c r="AC428" s="12">
        <v>20000</v>
      </c>
      <c r="AD428" s="12">
        <v>265000</v>
      </c>
      <c r="AE428" s="12">
        <v>550000</v>
      </c>
      <c r="AF428" s="12">
        <v>2160408</v>
      </c>
      <c r="AG428" s="12">
        <v>1628485</v>
      </c>
      <c r="AH428" s="11">
        <v>10.16</v>
      </c>
      <c r="AI428" s="11">
        <v>7.36</v>
      </c>
      <c r="AJ428" s="13"/>
    </row>
    <row r="429" spans="1:36" x14ac:dyDescent="0.25">
      <c r="A429" t="str">
        <f>"580404"</f>
        <v>580404</v>
      </c>
      <c r="B429" t="s">
        <v>516</v>
      </c>
      <c r="C429" s="10">
        <v>163306840</v>
      </c>
      <c r="D429" s="10">
        <v>166810381</v>
      </c>
      <c r="E429" s="11">
        <v>2.15</v>
      </c>
      <c r="F429" s="12">
        <v>142972406</v>
      </c>
      <c r="G429" s="12">
        <v>145977791</v>
      </c>
      <c r="H429" s="12"/>
      <c r="I429" s="12"/>
      <c r="J429" s="12"/>
      <c r="K429" s="12"/>
      <c r="L429" s="12"/>
      <c r="M429" s="12"/>
      <c r="N429" s="12">
        <v>142972406</v>
      </c>
      <c r="O429" s="12">
        <v>145977791</v>
      </c>
      <c r="P429" s="11">
        <v>2.1</v>
      </c>
      <c r="Q429" s="12">
        <v>3664680</v>
      </c>
      <c r="R429" s="12">
        <v>4077127</v>
      </c>
      <c r="S429" s="12">
        <v>139606715</v>
      </c>
      <c r="T429" s="12">
        <v>142298045</v>
      </c>
      <c r="U429" s="12">
        <v>139307726</v>
      </c>
      <c r="V429" s="12">
        <v>141900664</v>
      </c>
      <c r="W429" s="12">
        <v>298989</v>
      </c>
      <c r="X429" s="12">
        <v>397381</v>
      </c>
      <c r="Y429" s="12">
        <v>5339</v>
      </c>
      <c r="Z429" s="12">
        <v>5112</v>
      </c>
      <c r="AA429" s="11">
        <v>-4.25</v>
      </c>
      <c r="AB429" s="12">
        <v>12947498</v>
      </c>
      <c r="AC429" s="12">
        <v>12767294</v>
      </c>
      <c r="AD429" s="12">
        <v>2500000</v>
      </c>
      <c r="AE429" s="12">
        <v>2400000</v>
      </c>
      <c r="AF429" s="12">
        <v>6532273</v>
      </c>
      <c r="AG429" s="12">
        <v>6670000</v>
      </c>
      <c r="AH429" s="11">
        <v>4</v>
      </c>
      <c r="AI429" s="11">
        <v>4</v>
      </c>
      <c r="AJ429" s="13"/>
    </row>
    <row r="430" spans="1:36" x14ac:dyDescent="0.25">
      <c r="A430" t="str">
        <f>"170901"</f>
        <v>170901</v>
      </c>
      <c r="B430" t="s">
        <v>517</v>
      </c>
      <c r="C430" s="10">
        <v>11052473</v>
      </c>
      <c r="D430" s="10">
        <v>11691582</v>
      </c>
      <c r="E430" s="11">
        <v>5.78</v>
      </c>
      <c r="F430" s="12">
        <v>6177507</v>
      </c>
      <c r="G430" s="12">
        <v>6423155</v>
      </c>
      <c r="H430" s="12"/>
      <c r="I430" s="12"/>
      <c r="J430" s="12"/>
      <c r="K430" s="12"/>
      <c r="L430" s="12"/>
      <c r="M430" s="12"/>
      <c r="N430" s="12">
        <v>6177507</v>
      </c>
      <c r="O430" s="12">
        <v>6423155</v>
      </c>
      <c r="P430" s="11">
        <v>3.98</v>
      </c>
      <c r="Q430" s="12">
        <v>257891</v>
      </c>
      <c r="R430" s="12">
        <v>364479</v>
      </c>
      <c r="S430" s="12">
        <v>5920028</v>
      </c>
      <c r="T430" s="12">
        <v>6058802</v>
      </c>
      <c r="U430" s="12">
        <v>5919616</v>
      </c>
      <c r="V430" s="12">
        <v>6058676</v>
      </c>
      <c r="W430" s="12">
        <v>412</v>
      </c>
      <c r="X430" s="12">
        <v>126</v>
      </c>
      <c r="Y430" s="12">
        <v>500</v>
      </c>
      <c r="Z430" s="12">
        <v>500</v>
      </c>
      <c r="AA430" s="11">
        <v>0</v>
      </c>
      <c r="AB430" s="12">
        <v>5104479</v>
      </c>
      <c r="AC430" s="12">
        <v>5258040</v>
      </c>
      <c r="AD430" s="12">
        <v>531469</v>
      </c>
      <c r="AE430" s="12">
        <v>375000</v>
      </c>
      <c r="AF430" s="12">
        <v>441199</v>
      </c>
      <c r="AG430" s="12">
        <v>467660</v>
      </c>
      <c r="AH430" s="11">
        <v>3.99</v>
      </c>
      <c r="AI430" s="11">
        <v>4</v>
      </c>
      <c r="AJ430" s="13"/>
    </row>
    <row r="431" spans="1:36" x14ac:dyDescent="0.25">
      <c r="A431" t="str">
        <f>"081200"</f>
        <v>081200</v>
      </c>
      <c r="B431" t="s">
        <v>518</v>
      </c>
      <c r="C431" s="10">
        <v>42180906</v>
      </c>
      <c r="D431" s="10">
        <v>42180906</v>
      </c>
      <c r="E431" s="11">
        <v>0</v>
      </c>
      <c r="F431" s="12">
        <v>10989680</v>
      </c>
      <c r="G431" s="12">
        <v>11270312</v>
      </c>
      <c r="H431" s="12"/>
      <c r="I431" s="12"/>
      <c r="J431" s="12"/>
      <c r="K431" s="12"/>
      <c r="L431" s="12"/>
      <c r="M431" s="12"/>
      <c r="N431" s="12">
        <v>10989680</v>
      </c>
      <c r="O431" s="12">
        <v>11270312</v>
      </c>
      <c r="P431" s="11">
        <v>2.5499999999999998</v>
      </c>
      <c r="Q431" s="12">
        <v>287404</v>
      </c>
      <c r="R431" s="12">
        <v>317851</v>
      </c>
      <c r="S431" s="12">
        <v>10893740</v>
      </c>
      <c r="T431" s="12">
        <v>10957984</v>
      </c>
      <c r="U431" s="12">
        <v>10702276</v>
      </c>
      <c r="V431" s="12">
        <v>10952461</v>
      </c>
      <c r="W431" s="12">
        <v>191464</v>
      </c>
      <c r="X431" s="12">
        <v>5523</v>
      </c>
      <c r="Y431" s="12">
        <v>1833</v>
      </c>
      <c r="Z431" s="12">
        <v>1817</v>
      </c>
      <c r="AA431" s="11">
        <v>-0.87</v>
      </c>
      <c r="AB431" s="12">
        <v>3544826</v>
      </c>
      <c r="AC431" s="12">
        <v>3544826</v>
      </c>
      <c r="AD431" s="12">
        <v>1937452</v>
      </c>
      <c r="AE431" s="12">
        <v>1110250</v>
      </c>
      <c r="AF431" s="12">
        <v>1641279</v>
      </c>
      <c r="AG431" s="12">
        <v>1641279</v>
      </c>
      <c r="AH431" s="11">
        <v>3.89</v>
      </c>
      <c r="AI431" s="11">
        <v>3.89</v>
      </c>
      <c r="AJ431" s="13"/>
    </row>
    <row r="432" spans="1:36" x14ac:dyDescent="0.25">
      <c r="A432" t="str">
        <f>"512201"</f>
        <v>512201</v>
      </c>
      <c r="B432" t="s">
        <v>519</v>
      </c>
      <c r="C432" s="10">
        <v>22764112</v>
      </c>
      <c r="D432" s="10">
        <v>23595133</v>
      </c>
      <c r="E432" s="11">
        <v>3.65</v>
      </c>
      <c r="F432" s="12">
        <v>6389134</v>
      </c>
      <c r="G432" s="12">
        <v>6534756</v>
      </c>
      <c r="H432" s="12"/>
      <c r="I432" s="12"/>
      <c r="J432" s="12"/>
      <c r="K432" s="12"/>
      <c r="L432" s="12"/>
      <c r="M432" s="12"/>
      <c r="N432" s="12">
        <v>6389134</v>
      </c>
      <c r="O432" s="12">
        <v>6534756</v>
      </c>
      <c r="P432" s="11">
        <v>2.2799999999999998</v>
      </c>
      <c r="Q432" s="12">
        <v>70206</v>
      </c>
      <c r="R432" s="12">
        <v>68202</v>
      </c>
      <c r="S432" s="12">
        <v>6401981</v>
      </c>
      <c r="T432" s="12">
        <v>6466554</v>
      </c>
      <c r="U432" s="12">
        <v>6318928</v>
      </c>
      <c r="V432" s="12">
        <v>6466554</v>
      </c>
      <c r="W432" s="12">
        <v>83053</v>
      </c>
      <c r="X432" s="12">
        <v>0</v>
      </c>
      <c r="Y432" s="12">
        <v>957</v>
      </c>
      <c r="Z432" s="12">
        <v>973</v>
      </c>
      <c r="AA432" s="11">
        <v>1.67</v>
      </c>
      <c r="AB432" s="12">
        <v>3923802</v>
      </c>
      <c r="AC432" s="12">
        <v>3845062</v>
      </c>
      <c r="AD432" s="12">
        <v>462569</v>
      </c>
      <c r="AE432" s="12">
        <v>483253</v>
      </c>
      <c r="AF432" s="12">
        <v>1470897</v>
      </c>
      <c r="AG432" s="12">
        <v>1550000</v>
      </c>
      <c r="AH432" s="11">
        <v>6.46</v>
      </c>
      <c r="AI432" s="11">
        <v>6.57</v>
      </c>
      <c r="AJ432" s="13"/>
    </row>
    <row r="433" spans="1:36" x14ac:dyDescent="0.25">
      <c r="A433" t="str">
        <f>"411504"</f>
        <v>411504</v>
      </c>
      <c r="B433" t="s">
        <v>520</v>
      </c>
      <c r="C433" s="10">
        <v>13517050</v>
      </c>
      <c r="D433" s="10">
        <v>13879035</v>
      </c>
      <c r="E433" s="11">
        <v>2.68</v>
      </c>
      <c r="F433" s="12">
        <v>7481175</v>
      </c>
      <c r="G433" s="12">
        <v>7630798</v>
      </c>
      <c r="H433" s="12"/>
      <c r="I433" s="12"/>
      <c r="J433" s="12"/>
      <c r="K433" s="12"/>
      <c r="L433" s="12"/>
      <c r="M433" s="12"/>
      <c r="N433" s="12">
        <v>7481175</v>
      </c>
      <c r="O433" s="12">
        <v>7630798</v>
      </c>
      <c r="P433" s="11">
        <v>2</v>
      </c>
      <c r="Q433" s="12">
        <v>223286</v>
      </c>
      <c r="R433" s="12">
        <v>358031</v>
      </c>
      <c r="S433" s="12">
        <v>7378980</v>
      </c>
      <c r="T433" s="12">
        <v>7407106</v>
      </c>
      <c r="U433" s="12">
        <v>7257889</v>
      </c>
      <c r="V433" s="12">
        <v>7272767</v>
      </c>
      <c r="W433" s="12">
        <v>121091</v>
      </c>
      <c r="X433" s="12">
        <v>134339</v>
      </c>
      <c r="Y433" s="12">
        <v>562</v>
      </c>
      <c r="Z433" s="12">
        <v>560</v>
      </c>
      <c r="AA433" s="11">
        <v>-0.36</v>
      </c>
      <c r="AB433" s="12">
        <v>1895500</v>
      </c>
      <c r="AC433" s="12">
        <v>1600099</v>
      </c>
      <c r="AD433" s="12">
        <v>1464000</v>
      </c>
      <c r="AE433" s="12">
        <v>1464000</v>
      </c>
      <c r="AF433" s="12">
        <v>540682</v>
      </c>
      <c r="AG433" s="12">
        <v>555161</v>
      </c>
      <c r="AH433" s="11">
        <v>4</v>
      </c>
      <c r="AI433" s="11">
        <v>4</v>
      </c>
      <c r="AJ433" s="13"/>
    </row>
    <row r="434" spans="1:36" x14ac:dyDescent="0.25">
      <c r="A434" t="str">
        <f>"500304"</f>
        <v>500304</v>
      </c>
      <c r="B434" t="s">
        <v>521</v>
      </c>
      <c r="C434" s="10">
        <v>83090000</v>
      </c>
      <c r="D434" s="10">
        <v>84460000</v>
      </c>
      <c r="E434" s="11">
        <v>1.65</v>
      </c>
      <c r="F434" s="12">
        <v>68896744</v>
      </c>
      <c r="G434" s="12">
        <v>70344181</v>
      </c>
      <c r="H434" s="12"/>
      <c r="I434" s="12"/>
      <c r="J434" s="12"/>
      <c r="K434" s="12"/>
      <c r="L434" s="12"/>
      <c r="M434" s="12"/>
      <c r="N434" s="12">
        <v>68896744</v>
      </c>
      <c r="O434" s="12">
        <v>70344181</v>
      </c>
      <c r="P434" s="11">
        <v>2.1</v>
      </c>
      <c r="Q434" s="12">
        <v>2075831</v>
      </c>
      <c r="R434" s="12">
        <v>1716778</v>
      </c>
      <c r="S434" s="12">
        <v>66820913</v>
      </c>
      <c r="T434" s="12">
        <v>68627403</v>
      </c>
      <c r="U434" s="12">
        <v>66820913</v>
      </c>
      <c r="V434" s="12">
        <v>68627403</v>
      </c>
      <c r="W434" s="12">
        <v>0</v>
      </c>
      <c r="X434" s="12">
        <v>0</v>
      </c>
      <c r="Y434" s="12">
        <v>3034</v>
      </c>
      <c r="Z434" s="12">
        <v>3041</v>
      </c>
      <c r="AA434" s="11">
        <v>0.23</v>
      </c>
      <c r="AB434" s="12">
        <v>14332184</v>
      </c>
      <c r="AC434" s="12">
        <v>14400000</v>
      </c>
      <c r="AD434" s="12">
        <v>2970894</v>
      </c>
      <c r="AE434" s="12">
        <v>3000000</v>
      </c>
      <c r="AF434" s="12">
        <v>3323600</v>
      </c>
      <c r="AG434" s="12">
        <v>3378400</v>
      </c>
      <c r="AH434" s="11">
        <v>4</v>
      </c>
      <c r="AI434" s="11">
        <v>4</v>
      </c>
      <c r="AJ434" s="13"/>
    </row>
    <row r="435" spans="1:36" x14ac:dyDescent="0.25">
      <c r="A435" t="str">
        <f>"181101"</f>
        <v>181101</v>
      </c>
      <c r="B435" t="s">
        <v>522</v>
      </c>
      <c r="C435" s="10">
        <v>20077004</v>
      </c>
      <c r="D435" s="10">
        <v>20250350</v>
      </c>
      <c r="E435" s="11">
        <v>0.86</v>
      </c>
      <c r="F435" s="12">
        <v>5208545</v>
      </c>
      <c r="G435" s="12">
        <v>5260630</v>
      </c>
      <c r="H435" s="12"/>
      <c r="I435" s="12"/>
      <c r="J435" s="12"/>
      <c r="K435" s="12"/>
      <c r="L435" s="12"/>
      <c r="M435" s="12"/>
      <c r="N435" s="12">
        <v>5208545</v>
      </c>
      <c r="O435" s="12">
        <v>5260630</v>
      </c>
      <c r="P435" s="11">
        <v>1</v>
      </c>
      <c r="Q435" s="12">
        <v>149684</v>
      </c>
      <c r="R435" s="12">
        <v>208153</v>
      </c>
      <c r="S435" s="12">
        <v>5378365</v>
      </c>
      <c r="T435" s="12">
        <v>5175776</v>
      </c>
      <c r="U435" s="12">
        <v>5058861</v>
      </c>
      <c r="V435" s="12">
        <v>5052477</v>
      </c>
      <c r="W435" s="12">
        <v>319504</v>
      </c>
      <c r="X435" s="12">
        <v>123299</v>
      </c>
      <c r="Y435" s="12">
        <v>865</v>
      </c>
      <c r="Z435" s="12">
        <v>850</v>
      </c>
      <c r="AA435" s="11">
        <v>-1.73</v>
      </c>
      <c r="AB435" s="12">
        <v>4233795</v>
      </c>
      <c r="AC435" s="12">
        <v>4500000</v>
      </c>
      <c r="AD435" s="12">
        <v>949135</v>
      </c>
      <c r="AE435" s="12">
        <v>1083599</v>
      </c>
      <c r="AF435" s="12">
        <v>800004</v>
      </c>
      <c r="AG435" s="12">
        <v>810014</v>
      </c>
      <c r="AH435" s="11">
        <v>3.98</v>
      </c>
      <c r="AI435" s="11">
        <v>4</v>
      </c>
      <c r="AJ435" s="13"/>
    </row>
    <row r="436" spans="1:36" x14ac:dyDescent="0.25">
      <c r="A436" t="str">
        <f>"280211"</f>
        <v>280211</v>
      </c>
      <c r="B436" t="s">
        <v>523</v>
      </c>
      <c r="C436" s="10">
        <v>150144641</v>
      </c>
      <c r="D436" s="10">
        <v>153863333</v>
      </c>
      <c r="E436" s="11">
        <v>2.48</v>
      </c>
      <c r="F436" s="12">
        <v>119670036</v>
      </c>
      <c r="G436" s="12">
        <v>123134998</v>
      </c>
      <c r="H436" s="12"/>
      <c r="I436" s="12"/>
      <c r="J436" s="12"/>
      <c r="K436" s="12"/>
      <c r="L436" s="12"/>
      <c r="M436" s="12"/>
      <c r="N436" s="12">
        <v>119670036</v>
      </c>
      <c r="O436" s="12">
        <v>123134998</v>
      </c>
      <c r="P436" s="11">
        <v>2.9</v>
      </c>
      <c r="Q436" s="12">
        <v>2963226</v>
      </c>
      <c r="R436" s="12">
        <v>3422281</v>
      </c>
      <c r="S436" s="12">
        <v>116706810</v>
      </c>
      <c r="T436" s="12">
        <v>119712717</v>
      </c>
      <c r="U436" s="12">
        <v>116706810</v>
      </c>
      <c r="V436" s="12">
        <v>119712717</v>
      </c>
      <c r="W436" s="12">
        <v>0</v>
      </c>
      <c r="X436" s="12">
        <v>0</v>
      </c>
      <c r="Y436" s="12">
        <v>5578</v>
      </c>
      <c r="Z436" s="12">
        <v>5550</v>
      </c>
      <c r="AA436" s="11">
        <v>-0.5</v>
      </c>
      <c r="AB436" s="12">
        <v>6244129</v>
      </c>
      <c r="AC436" s="12">
        <v>7612498</v>
      </c>
      <c r="AD436" s="12">
        <v>3049651</v>
      </c>
      <c r="AE436" s="12">
        <v>2850000</v>
      </c>
      <c r="AF436" s="12">
        <v>6005789</v>
      </c>
      <c r="AG436" s="12">
        <v>6154533</v>
      </c>
      <c r="AH436" s="11">
        <v>4</v>
      </c>
      <c r="AI436" s="11">
        <v>4</v>
      </c>
      <c r="AJ436" s="13"/>
    </row>
    <row r="437" spans="1:36" x14ac:dyDescent="0.25">
      <c r="A437" t="str">
        <f>"550101"</f>
        <v>550101</v>
      </c>
      <c r="B437" t="s">
        <v>524</v>
      </c>
      <c r="C437" s="10">
        <v>16642703</v>
      </c>
      <c r="D437" s="10">
        <v>16848907</v>
      </c>
      <c r="E437" s="11">
        <v>1.24</v>
      </c>
      <c r="F437" s="12">
        <v>4866763</v>
      </c>
      <c r="G437" s="12">
        <v>4984156</v>
      </c>
      <c r="H437" s="12"/>
      <c r="I437" s="12"/>
      <c r="J437" s="12"/>
      <c r="K437" s="12"/>
      <c r="L437" s="12"/>
      <c r="M437" s="12"/>
      <c r="N437" s="12">
        <v>4866763</v>
      </c>
      <c r="O437" s="12">
        <v>4984156</v>
      </c>
      <c r="P437" s="11">
        <v>2.41</v>
      </c>
      <c r="Q437" s="12">
        <v>11985</v>
      </c>
      <c r="R437" s="12">
        <v>0</v>
      </c>
      <c r="S437" s="12">
        <v>4854778</v>
      </c>
      <c r="T437" s="12">
        <v>4984156</v>
      </c>
      <c r="U437" s="12">
        <v>4854778</v>
      </c>
      <c r="V437" s="12">
        <v>4984156</v>
      </c>
      <c r="W437" s="12">
        <v>0</v>
      </c>
      <c r="X437" s="12">
        <v>0</v>
      </c>
      <c r="Y437" s="12">
        <v>779</v>
      </c>
      <c r="Z437" s="12">
        <v>782</v>
      </c>
      <c r="AA437" s="11">
        <v>0.39</v>
      </c>
      <c r="AB437" s="12">
        <v>5157114</v>
      </c>
      <c r="AC437" s="12">
        <v>4566164</v>
      </c>
      <c r="AD437" s="12">
        <v>603868</v>
      </c>
      <c r="AE437" s="12">
        <v>600000</v>
      </c>
      <c r="AF437" s="12">
        <v>665708</v>
      </c>
      <c r="AG437" s="12">
        <v>673956</v>
      </c>
      <c r="AH437" s="11">
        <v>4</v>
      </c>
      <c r="AI437" s="11">
        <v>4</v>
      </c>
      <c r="AJ437" s="13"/>
    </row>
    <row r="438" spans="1:36" x14ac:dyDescent="0.25">
      <c r="A438" t="str">
        <f>"512300"</f>
        <v>512300</v>
      </c>
      <c r="B438" t="s">
        <v>525</v>
      </c>
      <c r="C438" s="10">
        <v>45500000</v>
      </c>
      <c r="D438" s="10">
        <v>45200000</v>
      </c>
      <c r="E438" s="11">
        <v>-0.66</v>
      </c>
      <c r="F438" s="12">
        <v>9853914</v>
      </c>
      <c r="G438" s="12">
        <v>10108162</v>
      </c>
      <c r="H438" s="12"/>
      <c r="I438" s="12"/>
      <c r="J438" s="12"/>
      <c r="K438" s="12"/>
      <c r="L438" s="12"/>
      <c r="M438" s="12"/>
      <c r="N438" s="12">
        <v>9853914</v>
      </c>
      <c r="O438" s="12">
        <v>10108162</v>
      </c>
      <c r="P438" s="11">
        <v>2.58</v>
      </c>
      <c r="Q438" s="12">
        <v>0</v>
      </c>
      <c r="R438" s="12">
        <v>0</v>
      </c>
      <c r="S438" s="12">
        <v>9853914</v>
      </c>
      <c r="T438" s="12">
        <v>10108162</v>
      </c>
      <c r="U438" s="12">
        <v>9853914</v>
      </c>
      <c r="V438" s="12">
        <v>10108162</v>
      </c>
      <c r="W438" s="12">
        <v>0</v>
      </c>
      <c r="X438" s="12">
        <v>0</v>
      </c>
      <c r="Y438" s="12">
        <v>1749</v>
      </c>
      <c r="Z438" s="12">
        <v>1749</v>
      </c>
      <c r="AA438" s="11">
        <v>0</v>
      </c>
      <c r="AB438" s="12">
        <v>971466</v>
      </c>
      <c r="AC438" s="12">
        <v>1360000</v>
      </c>
      <c r="AD438" s="12">
        <v>2201600</v>
      </c>
      <c r="AE438" s="12">
        <v>2200000</v>
      </c>
      <c r="AF438" s="12">
        <v>1820020</v>
      </c>
      <c r="AG438" s="12">
        <v>1808000</v>
      </c>
      <c r="AH438" s="11">
        <v>4</v>
      </c>
      <c r="AI438" s="11">
        <v>4</v>
      </c>
      <c r="AJ438" s="13"/>
    </row>
    <row r="439" spans="1:36" x14ac:dyDescent="0.25">
      <c r="A439" t="str">
        <f>"042400"</f>
        <v>042400</v>
      </c>
      <c r="B439" t="s">
        <v>526</v>
      </c>
      <c r="C439" s="10">
        <v>39814691</v>
      </c>
      <c r="D439" s="10">
        <v>40534441</v>
      </c>
      <c r="E439" s="11">
        <v>1.81</v>
      </c>
      <c r="F439" s="12">
        <v>13750593</v>
      </c>
      <c r="G439" s="12">
        <v>13750593</v>
      </c>
      <c r="H439" s="12"/>
      <c r="I439" s="12"/>
      <c r="J439" s="12"/>
      <c r="K439" s="12"/>
      <c r="L439" s="12"/>
      <c r="M439" s="12"/>
      <c r="N439" s="12">
        <v>13750593</v>
      </c>
      <c r="O439" s="12">
        <v>13750593</v>
      </c>
      <c r="P439" s="11">
        <v>0</v>
      </c>
      <c r="Q439" s="12">
        <v>360967</v>
      </c>
      <c r="R439" s="12">
        <v>341505</v>
      </c>
      <c r="S439" s="12">
        <v>13599006</v>
      </c>
      <c r="T439" s="12">
        <v>13923420</v>
      </c>
      <c r="U439" s="12">
        <v>13389626</v>
      </c>
      <c r="V439" s="12">
        <v>13409088</v>
      </c>
      <c r="W439" s="12">
        <v>209380</v>
      </c>
      <c r="X439" s="12">
        <v>514332</v>
      </c>
      <c r="Y439" s="12">
        <v>2180</v>
      </c>
      <c r="Z439" s="12">
        <v>2172</v>
      </c>
      <c r="AA439" s="11">
        <v>-0.37</v>
      </c>
      <c r="AB439" s="12">
        <v>6499126</v>
      </c>
      <c r="AC439" s="12">
        <v>6365126</v>
      </c>
      <c r="AD439" s="12">
        <v>701416</v>
      </c>
      <c r="AE439" s="12">
        <v>1290633</v>
      </c>
      <c r="AF439" s="12">
        <v>1592588</v>
      </c>
      <c r="AG439" s="12">
        <v>1621377</v>
      </c>
      <c r="AH439" s="11">
        <v>4</v>
      </c>
      <c r="AI439" s="11">
        <v>4</v>
      </c>
      <c r="AJ439" s="13"/>
    </row>
    <row r="440" spans="1:36" x14ac:dyDescent="0.25">
      <c r="A440" t="str">
        <f>"251400"</f>
        <v>251400</v>
      </c>
      <c r="B440" t="s">
        <v>527</v>
      </c>
      <c r="C440" s="10">
        <v>44230233</v>
      </c>
      <c r="D440" s="10">
        <v>46550725</v>
      </c>
      <c r="E440" s="11">
        <v>5.25</v>
      </c>
      <c r="F440" s="12">
        <v>17030860</v>
      </c>
      <c r="G440" s="12">
        <v>17460683</v>
      </c>
      <c r="H440" s="12"/>
      <c r="I440" s="12"/>
      <c r="J440" s="12"/>
      <c r="K440" s="12"/>
      <c r="L440" s="12"/>
      <c r="M440" s="12"/>
      <c r="N440" s="12">
        <v>17030860</v>
      </c>
      <c r="O440" s="12">
        <v>17460683</v>
      </c>
      <c r="P440" s="11">
        <v>2.52</v>
      </c>
      <c r="Q440" s="12">
        <v>563724</v>
      </c>
      <c r="R440" s="12">
        <v>535577</v>
      </c>
      <c r="S440" s="12">
        <v>16467136</v>
      </c>
      <c r="T440" s="12">
        <v>16925106</v>
      </c>
      <c r="U440" s="12">
        <v>16467136</v>
      </c>
      <c r="V440" s="12">
        <v>16925106</v>
      </c>
      <c r="W440" s="12">
        <v>0</v>
      </c>
      <c r="X440" s="12">
        <v>0</v>
      </c>
      <c r="Y440" s="12">
        <v>2060</v>
      </c>
      <c r="Z440" s="12">
        <v>2013</v>
      </c>
      <c r="AA440" s="11">
        <v>-2.2799999999999998</v>
      </c>
      <c r="AB440" s="12">
        <v>5124228</v>
      </c>
      <c r="AC440" s="12">
        <v>5091728</v>
      </c>
      <c r="AD440" s="12">
        <v>1851463</v>
      </c>
      <c r="AE440" s="12">
        <v>2650622</v>
      </c>
      <c r="AF440" s="12">
        <v>3347614</v>
      </c>
      <c r="AG440" s="12">
        <v>1935728</v>
      </c>
      <c r="AH440" s="11">
        <v>7.57</v>
      </c>
      <c r="AI440" s="11">
        <v>4.16</v>
      </c>
      <c r="AJ440" s="13"/>
    </row>
    <row r="441" spans="1:36" x14ac:dyDescent="0.25">
      <c r="A441" t="str">
        <f>"471400"</f>
        <v>471400</v>
      </c>
      <c r="B441" t="s">
        <v>528</v>
      </c>
      <c r="C441" s="10">
        <v>38678108</v>
      </c>
      <c r="D441" s="10">
        <v>39442416</v>
      </c>
      <c r="E441" s="11">
        <v>1.98</v>
      </c>
      <c r="F441" s="12">
        <v>20728563</v>
      </c>
      <c r="G441" s="12">
        <v>21106104</v>
      </c>
      <c r="H441" s="12"/>
      <c r="I441" s="12"/>
      <c r="J441" s="12"/>
      <c r="K441" s="12"/>
      <c r="L441" s="12"/>
      <c r="M441" s="12"/>
      <c r="N441" s="12">
        <v>20728563</v>
      </c>
      <c r="O441" s="12">
        <v>21106104</v>
      </c>
      <c r="P441" s="11">
        <v>1.82</v>
      </c>
      <c r="Q441" s="12">
        <v>833115</v>
      </c>
      <c r="R441" s="12">
        <v>782018</v>
      </c>
      <c r="S441" s="12">
        <v>19995641</v>
      </c>
      <c r="T441" s="12">
        <v>20324086</v>
      </c>
      <c r="U441" s="12">
        <v>19895448</v>
      </c>
      <c r="V441" s="12">
        <v>20324086</v>
      </c>
      <c r="W441" s="12">
        <v>100193</v>
      </c>
      <c r="X441" s="12">
        <v>0</v>
      </c>
      <c r="Y441" s="12">
        <v>1745</v>
      </c>
      <c r="Z441" s="12">
        <v>1756</v>
      </c>
      <c r="AA441" s="11">
        <v>0.63</v>
      </c>
      <c r="AB441" s="12">
        <v>691647</v>
      </c>
      <c r="AC441" s="12">
        <v>1260754</v>
      </c>
      <c r="AD441" s="12">
        <v>1157606</v>
      </c>
      <c r="AE441" s="12">
        <v>1225575</v>
      </c>
      <c r="AF441" s="12">
        <v>2375037</v>
      </c>
      <c r="AG441" s="12">
        <v>1613870</v>
      </c>
      <c r="AH441" s="11">
        <v>6.14</v>
      </c>
      <c r="AI441" s="11">
        <v>4.09</v>
      </c>
      <c r="AJ441" s="13"/>
    </row>
    <row r="442" spans="1:36" x14ac:dyDescent="0.25">
      <c r="A442" t="str">
        <f>"421201"</f>
        <v>421201</v>
      </c>
      <c r="B442" t="s">
        <v>529</v>
      </c>
      <c r="C442" s="10">
        <v>20971800</v>
      </c>
      <c r="D442" s="10">
        <v>21201763</v>
      </c>
      <c r="E442" s="11">
        <v>1.1000000000000001</v>
      </c>
      <c r="F442" s="12">
        <v>9922259</v>
      </c>
      <c r="G442" s="12">
        <v>9875717</v>
      </c>
      <c r="H442" s="12"/>
      <c r="I442" s="12"/>
      <c r="J442" s="12"/>
      <c r="K442" s="12"/>
      <c r="L442" s="12"/>
      <c r="M442" s="12"/>
      <c r="N442" s="12">
        <v>9922259</v>
      </c>
      <c r="O442" s="12">
        <v>9875717</v>
      </c>
      <c r="P442" s="11">
        <v>-0.47</v>
      </c>
      <c r="Q442" s="12">
        <v>413890</v>
      </c>
      <c r="R442" s="12">
        <v>157951</v>
      </c>
      <c r="S442" s="12">
        <v>9612781</v>
      </c>
      <c r="T442" s="12">
        <v>9717766</v>
      </c>
      <c r="U442" s="12">
        <v>9508369</v>
      </c>
      <c r="V442" s="12">
        <v>9717766</v>
      </c>
      <c r="W442" s="12">
        <v>104412</v>
      </c>
      <c r="X442" s="12">
        <v>0</v>
      </c>
      <c r="Y442" s="12">
        <v>898</v>
      </c>
      <c r="Z442" s="12">
        <v>904</v>
      </c>
      <c r="AA442" s="11">
        <v>0.67</v>
      </c>
      <c r="AB442" s="12">
        <v>3811466</v>
      </c>
      <c r="AC442" s="12">
        <v>3887695</v>
      </c>
      <c r="AD442" s="12">
        <v>308545</v>
      </c>
      <c r="AE442" s="12">
        <v>652119</v>
      </c>
      <c r="AF442" s="12">
        <v>838872</v>
      </c>
      <c r="AG442" s="12">
        <v>848071</v>
      </c>
      <c r="AH442" s="11">
        <v>4</v>
      </c>
      <c r="AI442" s="11">
        <v>4</v>
      </c>
      <c r="AJ442" s="13"/>
    </row>
    <row r="443" spans="1:36" x14ac:dyDescent="0.25">
      <c r="A443" t="str">
        <f>"621201"</f>
        <v>621201</v>
      </c>
      <c r="B443" t="s">
        <v>530</v>
      </c>
      <c r="C443" s="10">
        <v>54296155</v>
      </c>
      <c r="D443" s="10">
        <v>55577578</v>
      </c>
      <c r="E443" s="11">
        <v>2.36</v>
      </c>
      <c r="F443" s="12">
        <v>41338014</v>
      </c>
      <c r="G443" s="12">
        <v>42571819</v>
      </c>
      <c r="H443" s="12"/>
      <c r="I443" s="12"/>
      <c r="J443" s="12"/>
      <c r="K443" s="12"/>
      <c r="L443" s="12"/>
      <c r="M443" s="12"/>
      <c r="N443" s="12">
        <v>41338014</v>
      </c>
      <c r="O443" s="12">
        <v>42571819</v>
      </c>
      <c r="P443" s="11">
        <v>2.98</v>
      </c>
      <c r="Q443" s="12">
        <v>260651</v>
      </c>
      <c r="R443" s="12">
        <v>411393</v>
      </c>
      <c r="S443" s="12">
        <v>41559792</v>
      </c>
      <c r="T443" s="12">
        <v>42429180</v>
      </c>
      <c r="U443" s="12">
        <v>41077363</v>
      </c>
      <c r="V443" s="12">
        <v>42160426</v>
      </c>
      <c r="W443" s="12">
        <v>482429</v>
      </c>
      <c r="X443" s="12">
        <v>268754</v>
      </c>
      <c r="Y443" s="12">
        <v>1294</v>
      </c>
      <c r="Z443" s="12">
        <v>1228</v>
      </c>
      <c r="AA443" s="11">
        <v>-5.0999999999999996</v>
      </c>
      <c r="AB443" s="12">
        <v>13291234</v>
      </c>
      <c r="AC443" s="12">
        <v>14045234</v>
      </c>
      <c r="AD443" s="12">
        <v>3385000</v>
      </c>
      <c r="AE443" s="12">
        <v>3265620</v>
      </c>
      <c r="AF443" s="12">
        <v>2178846</v>
      </c>
      <c r="AG443" s="12">
        <v>2223103</v>
      </c>
      <c r="AH443" s="11">
        <v>4.01</v>
      </c>
      <c r="AI443" s="11">
        <v>4</v>
      </c>
      <c r="AJ443" s="13"/>
    </row>
    <row r="444" spans="1:36" x14ac:dyDescent="0.25">
      <c r="A444" t="str">
        <f>"271201"</f>
        <v>271201</v>
      </c>
      <c r="B444" t="s">
        <v>531</v>
      </c>
      <c r="C444" s="10">
        <v>18655925</v>
      </c>
      <c r="D444" s="10">
        <v>19189342</v>
      </c>
      <c r="E444" s="11">
        <v>2.86</v>
      </c>
      <c r="F444" s="12">
        <v>4781849</v>
      </c>
      <c r="G444" s="12">
        <v>4829668</v>
      </c>
      <c r="H444" s="12"/>
      <c r="I444" s="12"/>
      <c r="J444" s="12"/>
      <c r="K444" s="12"/>
      <c r="L444" s="12"/>
      <c r="M444" s="12"/>
      <c r="N444" s="12">
        <v>4781849</v>
      </c>
      <c r="O444" s="12">
        <v>4829668</v>
      </c>
      <c r="P444" s="11">
        <v>1</v>
      </c>
      <c r="Q444" s="12">
        <v>51151</v>
      </c>
      <c r="R444" s="12">
        <v>10558</v>
      </c>
      <c r="S444" s="12">
        <v>4747193</v>
      </c>
      <c r="T444" s="12">
        <v>4851396</v>
      </c>
      <c r="U444" s="12">
        <v>4730698</v>
      </c>
      <c r="V444" s="12">
        <v>4819110</v>
      </c>
      <c r="W444" s="12">
        <v>16495</v>
      </c>
      <c r="X444" s="12">
        <v>32286</v>
      </c>
      <c r="Y444" s="12">
        <v>742</v>
      </c>
      <c r="Z444" s="12">
        <v>725</v>
      </c>
      <c r="AA444" s="11">
        <v>-2.29</v>
      </c>
      <c r="AB444" s="12">
        <v>7933898</v>
      </c>
      <c r="AC444" s="12">
        <v>7683898</v>
      </c>
      <c r="AD444" s="12">
        <v>159000</v>
      </c>
      <c r="AE444" s="12">
        <v>175000</v>
      </c>
      <c r="AF444" s="12">
        <v>769544</v>
      </c>
      <c r="AG444" s="12">
        <v>767574</v>
      </c>
      <c r="AH444" s="11">
        <v>4.12</v>
      </c>
      <c r="AI444" s="11">
        <v>4</v>
      </c>
      <c r="AJ444" s="13"/>
    </row>
    <row r="445" spans="1:36" x14ac:dyDescent="0.25">
      <c r="A445" t="str">
        <f>"142301"</f>
        <v>142301</v>
      </c>
      <c r="B445" t="s">
        <v>532</v>
      </c>
      <c r="C445" s="10">
        <v>98313735</v>
      </c>
      <c r="D445" s="10">
        <v>102070976</v>
      </c>
      <c r="E445" s="11">
        <v>3.82</v>
      </c>
      <c r="F445" s="12">
        <v>61554907</v>
      </c>
      <c r="G445" s="12">
        <v>64181775</v>
      </c>
      <c r="H445" s="12"/>
      <c r="I445" s="12"/>
      <c r="J445" s="12"/>
      <c r="K445" s="12"/>
      <c r="L445" s="12"/>
      <c r="M445" s="12"/>
      <c r="N445" s="12">
        <v>61554907</v>
      </c>
      <c r="O445" s="12">
        <v>64181775</v>
      </c>
      <c r="P445" s="11">
        <v>4.2699999999999996</v>
      </c>
      <c r="Q445" s="12">
        <v>1980352</v>
      </c>
      <c r="R445" s="12">
        <v>2632682</v>
      </c>
      <c r="S445" s="12">
        <v>59574555</v>
      </c>
      <c r="T445" s="12">
        <v>61549093</v>
      </c>
      <c r="U445" s="12">
        <v>59574555</v>
      </c>
      <c r="V445" s="12">
        <v>61549093</v>
      </c>
      <c r="W445" s="12">
        <v>0</v>
      </c>
      <c r="X445" s="12">
        <v>0</v>
      </c>
      <c r="Y445" s="12">
        <v>5037</v>
      </c>
      <c r="Z445" s="12">
        <v>4950</v>
      </c>
      <c r="AA445" s="11">
        <v>-1.73</v>
      </c>
      <c r="AB445" s="12">
        <v>7313483</v>
      </c>
      <c r="AC445" s="12">
        <v>8492622</v>
      </c>
      <c r="AD445" s="12">
        <v>2450000</v>
      </c>
      <c r="AE445" s="12">
        <v>2950000</v>
      </c>
      <c r="AF445" s="12">
        <v>3905738</v>
      </c>
      <c r="AG445" s="12">
        <v>4082839</v>
      </c>
      <c r="AH445" s="11">
        <v>3.97</v>
      </c>
      <c r="AI445" s="11">
        <v>4</v>
      </c>
      <c r="AJ445" s="13"/>
    </row>
    <row r="446" spans="1:36" x14ac:dyDescent="0.25">
      <c r="A446" t="str">
        <f>"412901"</f>
        <v>412901</v>
      </c>
      <c r="B446" t="s">
        <v>533</v>
      </c>
      <c r="C446" s="10">
        <v>14900851</v>
      </c>
      <c r="D446" s="10">
        <v>15347877</v>
      </c>
      <c r="E446" s="11">
        <v>3</v>
      </c>
      <c r="F446" s="12">
        <v>5789984</v>
      </c>
      <c r="G446" s="12">
        <v>5919538</v>
      </c>
      <c r="H446" s="12"/>
      <c r="I446" s="12"/>
      <c r="J446" s="12"/>
      <c r="K446" s="12"/>
      <c r="L446" s="12"/>
      <c r="M446" s="12"/>
      <c r="N446" s="12">
        <v>5789984</v>
      </c>
      <c r="O446" s="12">
        <v>5919538</v>
      </c>
      <c r="P446" s="11">
        <v>2.2400000000000002</v>
      </c>
      <c r="Q446" s="12">
        <v>184569</v>
      </c>
      <c r="R446" s="12">
        <v>139292</v>
      </c>
      <c r="S446" s="12">
        <v>5605415</v>
      </c>
      <c r="T446" s="12">
        <v>5780246</v>
      </c>
      <c r="U446" s="12">
        <v>5605415</v>
      </c>
      <c r="V446" s="12">
        <v>5780246</v>
      </c>
      <c r="W446" s="12">
        <v>0</v>
      </c>
      <c r="X446" s="12">
        <v>0</v>
      </c>
      <c r="Y446" s="12">
        <v>604</v>
      </c>
      <c r="Z446" s="12">
        <v>595</v>
      </c>
      <c r="AA446" s="11">
        <v>-1.49</v>
      </c>
      <c r="AB446" s="12">
        <v>4017980</v>
      </c>
      <c r="AC446" s="12">
        <v>4020387</v>
      </c>
      <c r="AD446" s="12">
        <v>1860826</v>
      </c>
      <c r="AE446" s="12">
        <v>1856894</v>
      </c>
      <c r="AF446" s="12">
        <v>596034</v>
      </c>
      <c r="AG446" s="12">
        <v>613915</v>
      </c>
      <c r="AH446" s="11">
        <v>4</v>
      </c>
      <c r="AI446" s="11">
        <v>4</v>
      </c>
      <c r="AJ446" s="13"/>
    </row>
    <row r="447" spans="1:36" x14ac:dyDescent="0.25">
      <c r="A447" t="str">
        <f>"661401"</f>
        <v>661401</v>
      </c>
      <c r="B447" t="s">
        <v>534</v>
      </c>
      <c r="C447" s="10">
        <v>125675900</v>
      </c>
      <c r="D447" s="10">
        <v>128748937</v>
      </c>
      <c r="E447" s="11">
        <v>2.4500000000000002</v>
      </c>
      <c r="F447" s="12">
        <v>97328261</v>
      </c>
      <c r="G447" s="12">
        <v>99595815</v>
      </c>
      <c r="H447" s="12">
        <v>1221163</v>
      </c>
      <c r="I447" s="12">
        <v>1221163</v>
      </c>
      <c r="J447" s="12"/>
      <c r="K447" s="12"/>
      <c r="L447" s="12"/>
      <c r="M447" s="12"/>
      <c r="N447" s="12">
        <v>98549424</v>
      </c>
      <c r="O447" s="12">
        <v>100816978</v>
      </c>
      <c r="P447" s="11">
        <v>2.2999999999999998</v>
      </c>
      <c r="Q447" s="12">
        <v>6345233</v>
      </c>
      <c r="R447" s="12">
        <v>6760002</v>
      </c>
      <c r="S447" s="12">
        <v>93840027</v>
      </c>
      <c r="T447" s="12">
        <v>92835813</v>
      </c>
      <c r="U447" s="12">
        <v>90983028</v>
      </c>
      <c r="V447" s="12">
        <v>92835813</v>
      </c>
      <c r="W447" s="12">
        <v>2856999</v>
      </c>
      <c r="X447" s="12">
        <v>0</v>
      </c>
      <c r="Y447" s="12">
        <v>4899</v>
      </c>
      <c r="Z447" s="12">
        <v>4953</v>
      </c>
      <c r="AA447" s="11">
        <v>1.1000000000000001</v>
      </c>
      <c r="AB447" s="12">
        <v>28936695</v>
      </c>
      <c r="AC447" s="12">
        <v>28936695</v>
      </c>
      <c r="AD447" s="12">
        <v>4505076</v>
      </c>
      <c r="AE447" s="12">
        <v>3800000</v>
      </c>
      <c r="AF447" s="12">
        <v>5806921</v>
      </c>
      <c r="AG447" s="12">
        <v>5149957</v>
      </c>
      <c r="AH447" s="11">
        <v>4.62</v>
      </c>
      <c r="AI447" s="11">
        <v>4</v>
      </c>
      <c r="AJ447" s="13"/>
    </row>
    <row r="448" spans="1:36" x14ac:dyDescent="0.25">
      <c r="A448" t="str">
        <f>"461300"</f>
        <v>461300</v>
      </c>
      <c r="B448" t="s">
        <v>535</v>
      </c>
      <c r="C448" s="10">
        <v>82839101</v>
      </c>
      <c r="D448" s="10">
        <v>84115075</v>
      </c>
      <c r="E448" s="11">
        <v>1.54</v>
      </c>
      <c r="F448" s="12">
        <v>29590512</v>
      </c>
      <c r="G448" s="12">
        <v>28534801</v>
      </c>
      <c r="H448" s="12"/>
      <c r="I448" s="12"/>
      <c r="J448" s="12"/>
      <c r="K448" s="12"/>
      <c r="L448" s="12"/>
      <c r="M448" s="12"/>
      <c r="N448" s="12">
        <v>29590512</v>
      </c>
      <c r="O448" s="12">
        <v>28534801</v>
      </c>
      <c r="P448" s="11">
        <v>-3.57</v>
      </c>
      <c r="Q448" s="12">
        <v>0</v>
      </c>
      <c r="R448" s="12">
        <v>0</v>
      </c>
      <c r="S448" s="12">
        <v>32965625</v>
      </c>
      <c r="T448" s="12">
        <v>29387801</v>
      </c>
      <c r="U448" s="12">
        <v>29590512</v>
      </c>
      <c r="V448" s="12">
        <v>28534801</v>
      </c>
      <c r="W448" s="12">
        <v>3375113</v>
      </c>
      <c r="X448" s="12">
        <v>853000</v>
      </c>
      <c r="Y448" s="12">
        <v>3670</v>
      </c>
      <c r="Z448" s="12">
        <v>3670</v>
      </c>
      <c r="AA448" s="11">
        <v>0</v>
      </c>
      <c r="AB448" s="12">
        <v>17788784</v>
      </c>
      <c r="AC448" s="12">
        <v>20637751</v>
      </c>
      <c r="AD448" s="12">
        <v>1400000</v>
      </c>
      <c r="AE448" s="12">
        <v>1718616</v>
      </c>
      <c r="AF448" s="12">
        <v>3313564</v>
      </c>
      <c r="AG448" s="12">
        <v>3364603</v>
      </c>
      <c r="AH448" s="11">
        <v>4</v>
      </c>
      <c r="AI448" s="11">
        <v>4</v>
      </c>
      <c r="AJ448" s="13"/>
    </row>
    <row r="449" spans="1:36" x14ac:dyDescent="0.25">
      <c r="A449" t="str">
        <f>"471601"</f>
        <v>471601</v>
      </c>
      <c r="B449" t="s">
        <v>536</v>
      </c>
      <c r="C449" s="10">
        <v>22180916</v>
      </c>
      <c r="D449" s="10">
        <v>22354972</v>
      </c>
      <c r="E449" s="11">
        <v>0.78</v>
      </c>
      <c r="F449" s="12">
        <v>7196420</v>
      </c>
      <c r="G449" s="12">
        <v>7338909</v>
      </c>
      <c r="H449" s="12"/>
      <c r="I449" s="12"/>
      <c r="J449" s="12"/>
      <c r="K449" s="12"/>
      <c r="L449" s="12"/>
      <c r="M449" s="12"/>
      <c r="N449" s="12">
        <v>7196420</v>
      </c>
      <c r="O449" s="12">
        <v>7338909</v>
      </c>
      <c r="P449" s="11">
        <v>1.98</v>
      </c>
      <c r="Q449" s="12">
        <v>392550</v>
      </c>
      <c r="R449" s="12">
        <v>418152</v>
      </c>
      <c r="S449" s="12">
        <v>6803870</v>
      </c>
      <c r="T449" s="12">
        <v>6948816</v>
      </c>
      <c r="U449" s="12">
        <v>6803870</v>
      </c>
      <c r="V449" s="12">
        <v>6920757</v>
      </c>
      <c r="W449" s="12">
        <v>0</v>
      </c>
      <c r="X449" s="12">
        <v>28059</v>
      </c>
      <c r="Y449" s="12">
        <v>839</v>
      </c>
      <c r="Z449" s="12">
        <v>815</v>
      </c>
      <c r="AA449" s="11">
        <v>-2.86</v>
      </c>
      <c r="AB449" s="12">
        <v>557721</v>
      </c>
      <c r="AC449" s="12">
        <v>600000</v>
      </c>
      <c r="AD449" s="12">
        <v>6625</v>
      </c>
      <c r="AE449" s="12">
        <v>120000</v>
      </c>
      <c r="AF449" s="12">
        <v>544788</v>
      </c>
      <c r="AG449" s="12">
        <v>894199</v>
      </c>
      <c r="AH449" s="11">
        <v>2.46</v>
      </c>
      <c r="AI449" s="11">
        <v>4</v>
      </c>
      <c r="AJ449" s="13"/>
    </row>
    <row r="450" spans="1:36" x14ac:dyDescent="0.25">
      <c r="A450" t="str">
        <f>"600601"</f>
        <v>600601</v>
      </c>
      <c r="B450" t="s">
        <v>537</v>
      </c>
      <c r="C450" s="10">
        <v>45927442</v>
      </c>
      <c r="D450" s="10">
        <v>46703161</v>
      </c>
      <c r="E450" s="11">
        <v>1.69</v>
      </c>
      <c r="F450" s="12">
        <v>16768512</v>
      </c>
      <c r="G450" s="12">
        <v>17097053</v>
      </c>
      <c r="H450" s="12"/>
      <c r="I450" s="12"/>
      <c r="J450" s="12"/>
      <c r="K450" s="12"/>
      <c r="L450" s="12"/>
      <c r="M450" s="12"/>
      <c r="N450" s="12">
        <v>16768512</v>
      </c>
      <c r="O450" s="12">
        <v>17097053</v>
      </c>
      <c r="P450" s="11">
        <v>1.96</v>
      </c>
      <c r="Q450" s="12">
        <v>241470</v>
      </c>
      <c r="R450" s="12">
        <v>201138</v>
      </c>
      <c r="S450" s="12">
        <v>16527042</v>
      </c>
      <c r="T450" s="12">
        <v>16895915</v>
      </c>
      <c r="U450" s="12">
        <v>16527042</v>
      </c>
      <c r="V450" s="12">
        <v>16895915</v>
      </c>
      <c r="W450" s="12">
        <v>0</v>
      </c>
      <c r="X450" s="12">
        <v>0</v>
      </c>
      <c r="Y450" s="12">
        <v>1993</v>
      </c>
      <c r="Z450" s="12">
        <v>1993</v>
      </c>
      <c r="AA450" s="11">
        <v>0</v>
      </c>
      <c r="AB450" s="12">
        <v>4431413</v>
      </c>
      <c r="AC450" s="12">
        <v>4820054</v>
      </c>
      <c r="AD450" s="12">
        <v>1800000</v>
      </c>
      <c r="AE450" s="12">
        <v>1700000</v>
      </c>
      <c r="AF450" s="12">
        <v>1724902</v>
      </c>
      <c r="AG450" s="12">
        <v>1775994</v>
      </c>
      <c r="AH450" s="11">
        <v>3.76</v>
      </c>
      <c r="AI450" s="11">
        <v>3.8</v>
      </c>
      <c r="AJ450" s="13"/>
    </row>
    <row r="451" spans="1:36" x14ac:dyDescent="0.25">
      <c r="A451" t="str">
        <f>"081501"</f>
        <v>081501</v>
      </c>
      <c r="B451" t="s">
        <v>538</v>
      </c>
      <c r="C451" s="10">
        <v>19631540</v>
      </c>
      <c r="D451" s="10">
        <v>20031964</v>
      </c>
      <c r="E451" s="11">
        <v>2.04</v>
      </c>
      <c r="F451" s="12">
        <v>4790393</v>
      </c>
      <c r="G451" s="12">
        <v>4742139</v>
      </c>
      <c r="H451" s="12"/>
      <c r="I451" s="12"/>
      <c r="J451" s="12" t="s">
        <v>95</v>
      </c>
      <c r="K451" s="12" t="s">
        <v>95</v>
      </c>
      <c r="L451" s="12"/>
      <c r="M451" s="12"/>
      <c r="N451" s="12">
        <v>4790393</v>
      </c>
      <c r="O451" s="12">
        <v>4742139</v>
      </c>
      <c r="P451" s="11">
        <v>-1.01</v>
      </c>
      <c r="Q451" s="12">
        <v>139925</v>
      </c>
      <c r="R451" s="12">
        <v>0</v>
      </c>
      <c r="S451" s="12">
        <v>4653054</v>
      </c>
      <c r="T451" s="12">
        <v>4742139</v>
      </c>
      <c r="U451" s="12">
        <v>4650468</v>
      </c>
      <c r="V451" s="12">
        <v>4742139</v>
      </c>
      <c r="W451" s="12">
        <v>2586</v>
      </c>
      <c r="X451" s="12">
        <v>0</v>
      </c>
      <c r="Y451" s="12">
        <v>778</v>
      </c>
      <c r="Z451" s="12">
        <v>775</v>
      </c>
      <c r="AA451" s="11">
        <v>-0.39</v>
      </c>
      <c r="AB451" s="12">
        <v>2068031</v>
      </c>
      <c r="AC451" s="12">
        <v>1640825</v>
      </c>
      <c r="AD451" s="12">
        <v>12905</v>
      </c>
      <c r="AE451" s="12">
        <v>12905</v>
      </c>
      <c r="AF451" s="12">
        <v>785262</v>
      </c>
      <c r="AG451" s="12">
        <v>801278</v>
      </c>
      <c r="AH451" s="11">
        <v>4</v>
      </c>
      <c r="AI451" s="11">
        <v>4</v>
      </c>
      <c r="AJ451" s="13"/>
    </row>
    <row r="452" spans="1:36" x14ac:dyDescent="0.25">
      <c r="A452" t="str">
        <f>"280506"</f>
        <v>280506</v>
      </c>
      <c r="B452" t="s">
        <v>539</v>
      </c>
      <c r="C452" s="10">
        <v>56302323</v>
      </c>
      <c r="D452" s="10">
        <v>57607530</v>
      </c>
      <c r="E452" s="11">
        <v>2.3199999999999998</v>
      </c>
      <c r="F452" s="12">
        <v>50835595</v>
      </c>
      <c r="G452" s="12">
        <v>51709424</v>
      </c>
      <c r="H452" s="12"/>
      <c r="I452" s="12"/>
      <c r="J452" s="12"/>
      <c r="K452" s="12"/>
      <c r="L452" s="12"/>
      <c r="M452" s="12"/>
      <c r="N452" s="12">
        <v>50835595</v>
      </c>
      <c r="O452" s="12">
        <v>51709424</v>
      </c>
      <c r="P452" s="11">
        <v>1.72</v>
      </c>
      <c r="Q452" s="12">
        <v>1959244</v>
      </c>
      <c r="R452" s="12">
        <v>2076214</v>
      </c>
      <c r="S452" s="12">
        <v>48954632</v>
      </c>
      <c r="T452" s="12">
        <v>50087906</v>
      </c>
      <c r="U452" s="12">
        <v>48876351</v>
      </c>
      <c r="V452" s="12">
        <v>49633210</v>
      </c>
      <c r="W452" s="12">
        <v>78281</v>
      </c>
      <c r="X452" s="12">
        <v>454696</v>
      </c>
      <c r="Y452" s="12">
        <v>1607</v>
      </c>
      <c r="Z452" s="12">
        <v>1605</v>
      </c>
      <c r="AA452" s="11">
        <v>-0.12</v>
      </c>
      <c r="AB452" s="12">
        <v>8084429</v>
      </c>
      <c r="AC452" s="12">
        <v>9361739</v>
      </c>
      <c r="AD452" s="12">
        <v>1000000</v>
      </c>
      <c r="AE452" s="12">
        <v>1000000</v>
      </c>
      <c r="AF452" s="12">
        <v>2973374</v>
      </c>
      <c r="AG452" s="12">
        <v>2304301</v>
      </c>
      <c r="AH452" s="11">
        <v>5.28</v>
      </c>
      <c r="AI452" s="11">
        <v>4</v>
      </c>
      <c r="AJ452" s="13"/>
    </row>
    <row r="453" spans="1:36" x14ac:dyDescent="0.25">
      <c r="A453" t="str">
        <f>"581002"</f>
        <v>581002</v>
      </c>
      <c r="B453" t="s">
        <v>540</v>
      </c>
      <c r="C453" s="10">
        <v>5704425</v>
      </c>
      <c r="D453" s="10">
        <v>5794781</v>
      </c>
      <c r="E453" s="11">
        <v>1.58</v>
      </c>
      <c r="F453" s="12">
        <v>5138562</v>
      </c>
      <c r="G453" s="12">
        <v>5194052</v>
      </c>
      <c r="H453" s="12"/>
      <c r="I453" s="12"/>
      <c r="J453" s="12"/>
      <c r="K453" s="12"/>
      <c r="L453" s="12"/>
      <c r="M453" s="12"/>
      <c r="N453" s="12">
        <v>5138562</v>
      </c>
      <c r="O453" s="12">
        <v>5194052</v>
      </c>
      <c r="P453" s="11">
        <v>1.08</v>
      </c>
      <c r="Q453" s="12">
        <v>0</v>
      </c>
      <c r="R453" s="12">
        <v>0</v>
      </c>
      <c r="S453" s="12">
        <v>5216814</v>
      </c>
      <c r="T453" s="12">
        <v>5325719</v>
      </c>
      <c r="U453" s="12">
        <v>5138562</v>
      </c>
      <c r="V453" s="12">
        <v>5194052</v>
      </c>
      <c r="W453" s="12">
        <v>78252</v>
      </c>
      <c r="X453" s="12">
        <v>131667</v>
      </c>
      <c r="Y453" s="12">
        <v>170</v>
      </c>
      <c r="Z453" s="12">
        <v>170</v>
      </c>
      <c r="AA453" s="11">
        <v>0</v>
      </c>
      <c r="AB453" s="12">
        <v>827216</v>
      </c>
      <c r="AC453" s="12">
        <v>927216</v>
      </c>
      <c r="AD453" s="12">
        <v>200000</v>
      </c>
      <c r="AE453" s="12">
        <v>200000</v>
      </c>
      <c r="AF453" s="12">
        <v>941281</v>
      </c>
      <c r="AG453" s="12">
        <v>841281</v>
      </c>
      <c r="AH453" s="11">
        <v>16.5</v>
      </c>
      <c r="AI453" s="11">
        <v>14.52</v>
      </c>
      <c r="AJ453" s="13"/>
    </row>
    <row r="454" spans="1:36" x14ac:dyDescent="0.25">
      <c r="A454" t="str">
        <f>"650901"</f>
        <v>650901</v>
      </c>
      <c r="B454" t="s">
        <v>541</v>
      </c>
      <c r="C454" s="10">
        <v>38652360</v>
      </c>
      <c r="D454" s="10">
        <v>39691500</v>
      </c>
      <c r="E454" s="11">
        <v>2.69</v>
      </c>
      <c r="F454" s="12">
        <v>18338500</v>
      </c>
      <c r="G454" s="12">
        <v>18930000</v>
      </c>
      <c r="H454" s="12"/>
      <c r="I454" s="12"/>
      <c r="J454" s="12"/>
      <c r="K454" s="12"/>
      <c r="L454" s="12"/>
      <c r="M454" s="12"/>
      <c r="N454" s="12">
        <v>18338500</v>
      </c>
      <c r="O454" s="12">
        <v>18930000</v>
      </c>
      <c r="P454" s="11">
        <v>3.23</v>
      </c>
      <c r="Q454" s="12">
        <v>0</v>
      </c>
      <c r="R454" s="12">
        <v>0</v>
      </c>
      <c r="S454" s="12">
        <v>18338862</v>
      </c>
      <c r="T454" s="12">
        <v>18932083</v>
      </c>
      <c r="U454" s="12">
        <v>18338500</v>
      </c>
      <c r="V454" s="12">
        <v>18930000</v>
      </c>
      <c r="W454" s="12">
        <v>362</v>
      </c>
      <c r="X454" s="12">
        <v>2083</v>
      </c>
      <c r="Y454" s="12">
        <v>1877</v>
      </c>
      <c r="Z454" s="12">
        <v>1870</v>
      </c>
      <c r="AA454" s="11">
        <v>-0.37</v>
      </c>
      <c r="AB454" s="12">
        <v>10604938</v>
      </c>
      <c r="AC454" s="12">
        <v>5230000</v>
      </c>
      <c r="AD454" s="12">
        <v>200000</v>
      </c>
      <c r="AE454" s="12">
        <v>150000</v>
      </c>
      <c r="AF454" s="12">
        <v>1514330</v>
      </c>
      <c r="AG454" s="12">
        <v>1587660</v>
      </c>
      <c r="AH454" s="11">
        <v>3.92</v>
      </c>
      <c r="AI454" s="11">
        <v>4</v>
      </c>
      <c r="AJ454" s="13"/>
    </row>
    <row r="455" spans="1:36" x14ac:dyDescent="0.25">
      <c r="A455" t="str">
        <f>"061601"</f>
        <v>061601</v>
      </c>
      <c r="B455" t="s">
        <v>542</v>
      </c>
      <c r="C455" s="10">
        <v>13739877</v>
      </c>
      <c r="D455" s="10">
        <v>13876301</v>
      </c>
      <c r="E455" s="11">
        <v>0.99</v>
      </c>
      <c r="F455" s="12">
        <v>3464980</v>
      </c>
      <c r="G455" s="12">
        <v>3464980</v>
      </c>
      <c r="H455" s="12"/>
      <c r="I455" s="12"/>
      <c r="J455" s="12"/>
      <c r="K455" s="12"/>
      <c r="L455" s="12"/>
      <c r="M455" s="12"/>
      <c r="N455" s="12">
        <v>3464980</v>
      </c>
      <c r="O455" s="12">
        <v>3464980</v>
      </c>
      <c r="P455" s="11">
        <v>0</v>
      </c>
      <c r="Q455" s="12">
        <v>271500</v>
      </c>
      <c r="R455" s="12">
        <v>239568</v>
      </c>
      <c r="S455" s="12">
        <v>3373119</v>
      </c>
      <c r="T455" s="12">
        <v>3274038</v>
      </c>
      <c r="U455" s="12">
        <v>3193480</v>
      </c>
      <c r="V455" s="12">
        <v>3225412</v>
      </c>
      <c r="W455" s="12">
        <v>179639</v>
      </c>
      <c r="X455" s="12">
        <v>48626</v>
      </c>
      <c r="Y455" s="12">
        <v>476</v>
      </c>
      <c r="Z455" s="12">
        <v>451</v>
      </c>
      <c r="AA455" s="11">
        <v>-5.25</v>
      </c>
      <c r="AB455" s="12">
        <v>748662</v>
      </c>
      <c r="AC455" s="12">
        <v>748662</v>
      </c>
      <c r="AD455" s="12">
        <v>645895</v>
      </c>
      <c r="AE455" s="12">
        <v>775000</v>
      </c>
      <c r="AF455" s="12">
        <v>2801339</v>
      </c>
      <c r="AG455" s="12">
        <v>2707387</v>
      </c>
      <c r="AH455" s="11">
        <v>20.39</v>
      </c>
      <c r="AI455" s="11">
        <v>19.510000000000002</v>
      </c>
      <c r="AJ455" s="13"/>
    </row>
    <row r="456" spans="1:36" x14ac:dyDescent="0.25">
      <c r="A456" t="str">
        <f>"512501"</f>
        <v>512501</v>
      </c>
      <c r="B456" t="s">
        <v>543</v>
      </c>
      <c r="C456" s="10">
        <v>11304405</v>
      </c>
      <c r="D456" s="10">
        <v>11488073</v>
      </c>
      <c r="E456" s="11">
        <v>1.62</v>
      </c>
      <c r="F456" s="12">
        <v>3713984</v>
      </c>
      <c r="G456" s="12">
        <v>3847447</v>
      </c>
      <c r="H456" s="12"/>
      <c r="I456" s="12"/>
      <c r="J456" s="12"/>
      <c r="K456" s="12"/>
      <c r="L456" s="12"/>
      <c r="M456" s="12"/>
      <c r="N456" s="12">
        <v>3713984</v>
      </c>
      <c r="O456" s="12">
        <v>3847447</v>
      </c>
      <c r="P456" s="11">
        <v>3.59</v>
      </c>
      <c r="Q456" s="12">
        <v>74084</v>
      </c>
      <c r="R456" s="12">
        <v>128289</v>
      </c>
      <c r="S456" s="12">
        <v>3639900</v>
      </c>
      <c r="T456" s="12">
        <v>3719158</v>
      </c>
      <c r="U456" s="12">
        <v>3639900</v>
      </c>
      <c r="V456" s="12">
        <v>3719158</v>
      </c>
      <c r="W456" s="12">
        <v>0</v>
      </c>
      <c r="X456" s="12">
        <v>0</v>
      </c>
      <c r="Y456" s="12">
        <v>435</v>
      </c>
      <c r="Z456" s="12">
        <v>415</v>
      </c>
      <c r="AA456" s="11">
        <v>-4.5999999999999996</v>
      </c>
      <c r="AB456" s="12">
        <v>2171982</v>
      </c>
      <c r="AC456" s="12">
        <v>1643730</v>
      </c>
      <c r="AD456" s="12">
        <v>986307</v>
      </c>
      <c r="AE456" s="12">
        <v>1016720</v>
      </c>
      <c r="AF456" s="12">
        <v>451557</v>
      </c>
      <c r="AG456" s="12">
        <v>410122</v>
      </c>
      <c r="AH456" s="11">
        <v>3.99</v>
      </c>
      <c r="AI456" s="11">
        <v>3.57</v>
      </c>
      <c r="AJ456" s="13"/>
    </row>
    <row r="457" spans="1:36" x14ac:dyDescent="0.25">
      <c r="A457" t="str">
        <f>"580224"</f>
        <v>580224</v>
      </c>
      <c r="B457" t="s">
        <v>544</v>
      </c>
      <c r="C457" s="10">
        <v>183951068</v>
      </c>
      <c r="D457" s="10">
        <v>190467316</v>
      </c>
      <c r="E457" s="11">
        <v>3.54</v>
      </c>
      <c r="F457" s="12">
        <v>108920314</v>
      </c>
      <c r="G457" s="12">
        <v>112318127</v>
      </c>
      <c r="H457" s="12"/>
      <c r="I457" s="12"/>
      <c r="J457" s="12"/>
      <c r="K457" s="12"/>
      <c r="L457" s="12"/>
      <c r="M457" s="12"/>
      <c r="N457" s="12">
        <v>108920314</v>
      </c>
      <c r="O457" s="12">
        <v>112318127</v>
      </c>
      <c r="P457" s="11">
        <v>3.12</v>
      </c>
      <c r="Q457" s="12">
        <v>2188766</v>
      </c>
      <c r="R457" s="12">
        <v>3518724</v>
      </c>
      <c r="S457" s="12">
        <v>106731548</v>
      </c>
      <c r="T457" s="12">
        <v>108799403</v>
      </c>
      <c r="U457" s="12">
        <v>106731548</v>
      </c>
      <c r="V457" s="12">
        <v>108799403</v>
      </c>
      <c r="W457" s="12">
        <v>0</v>
      </c>
      <c r="X457" s="12">
        <v>0</v>
      </c>
      <c r="Y457" s="12">
        <v>7677</v>
      </c>
      <c r="Z457" s="12">
        <v>7602</v>
      </c>
      <c r="AA457" s="11">
        <v>-0.98</v>
      </c>
      <c r="AB457" s="12">
        <v>15303756</v>
      </c>
      <c r="AC457" s="12">
        <v>19404086</v>
      </c>
      <c r="AD457" s="12">
        <v>0</v>
      </c>
      <c r="AE457" s="12">
        <v>0</v>
      </c>
      <c r="AF457" s="12">
        <v>7299045</v>
      </c>
      <c r="AG457" s="12">
        <v>7594223</v>
      </c>
      <c r="AH457" s="11">
        <v>3.97</v>
      </c>
      <c r="AI457" s="11">
        <v>3.99</v>
      </c>
      <c r="AJ457" s="13"/>
    </row>
    <row r="458" spans="1:36" x14ac:dyDescent="0.25">
      <c r="A458" t="str">
        <f>"181201"</f>
        <v>181201</v>
      </c>
      <c r="B458" t="s">
        <v>545</v>
      </c>
      <c r="C458" s="10">
        <v>18467398</v>
      </c>
      <c r="D458" s="10">
        <v>17485851</v>
      </c>
      <c r="E458" s="11">
        <v>-5.32</v>
      </c>
      <c r="F458" s="12">
        <v>5310702</v>
      </c>
      <c r="G458" s="12">
        <v>5517797</v>
      </c>
      <c r="H458" s="12"/>
      <c r="I458" s="12"/>
      <c r="J458" s="12"/>
      <c r="K458" s="12"/>
      <c r="L458" s="12"/>
      <c r="M458" s="12"/>
      <c r="N458" s="12">
        <v>5310702</v>
      </c>
      <c r="O458" s="12">
        <v>5517797</v>
      </c>
      <c r="P458" s="11">
        <v>3.9</v>
      </c>
      <c r="Q458" s="12">
        <v>0</v>
      </c>
      <c r="R458" s="12">
        <v>0</v>
      </c>
      <c r="S458" s="12">
        <v>5385044</v>
      </c>
      <c r="T458" s="12">
        <v>5518097</v>
      </c>
      <c r="U458" s="12">
        <v>5310702</v>
      </c>
      <c r="V458" s="12">
        <v>5517797</v>
      </c>
      <c r="W458" s="12">
        <v>74342</v>
      </c>
      <c r="X458" s="12">
        <v>300</v>
      </c>
      <c r="Y458" s="12">
        <v>685</v>
      </c>
      <c r="Z458" s="12">
        <v>685</v>
      </c>
      <c r="AA458" s="11">
        <v>0</v>
      </c>
      <c r="AB458" s="12">
        <v>6142079</v>
      </c>
      <c r="AC458" s="12">
        <v>5960975</v>
      </c>
      <c r="AD458" s="12">
        <v>800000</v>
      </c>
      <c r="AE458" s="12">
        <v>800000</v>
      </c>
      <c r="AF458" s="12">
        <v>735893</v>
      </c>
      <c r="AG458" s="12">
        <v>699434</v>
      </c>
      <c r="AH458" s="11">
        <v>3.98</v>
      </c>
      <c r="AI458" s="11">
        <v>4</v>
      </c>
      <c r="AJ458" s="13"/>
    </row>
    <row r="459" spans="1:36" x14ac:dyDescent="0.25">
      <c r="A459" t="str">
        <f>"131201"</f>
        <v>131201</v>
      </c>
      <c r="B459" t="s">
        <v>546</v>
      </c>
      <c r="C459" s="10">
        <v>36670764</v>
      </c>
      <c r="D459" s="10">
        <v>37670716</v>
      </c>
      <c r="E459" s="11">
        <v>2.73</v>
      </c>
      <c r="F459" s="12">
        <v>28614455</v>
      </c>
      <c r="G459" s="12">
        <v>28679740</v>
      </c>
      <c r="H459" s="12"/>
      <c r="I459" s="12"/>
      <c r="J459" s="12"/>
      <c r="K459" s="12"/>
      <c r="L459" s="12"/>
      <c r="M459" s="12"/>
      <c r="N459" s="12">
        <v>28614455</v>
      </c>
      <c r="O459" s="12">
        <v>28679740</v>
      </c>
      <c r="P459" s="11">
        <v>0.23</v>
      </c>
      <c r="Q459" s="12">
        <v>2026155</v>
      </c>
      <c r="R459" s="12">
        <v>2085224</v>
      </c>
      <c r="S459" s="12">
        <v>27724901</v>
      </c>
      <c r="T459" s="12">
        <v>27241333</v>
      </c>
      <c r="U459" s="12">
        <v>26588300</v>
      </c>
      <c r="V459" s="12">
        <v>26594516</v>
      </c>
      <c r="W459" s="12">
        <v>1136601</v>
      </c>
      <c r="X459" s="12">
        <v>646817</v>
      </c>
      <c r="Y459" s="12">
        <v>1157</v>
      </c>
      <c r="Z459" s="12">
        <v>1108</v>
      </c>
      <c r="AA459" s="11">
        <v>-4.24</v>
      </c>
      <c r="AB459" s="12">
        <v>7214315</v>
      </c>
      <c r="AC459" s="12">
        <v>6190244</v>
      </c>
      <c r="AD459" s="12">
        <v>1148607</v>
      </c>
      <c r="AE459" s="12">
        <v>1150607</v>
      </c>
      <c r="AF459" s="12">
        <v>1466831</v>
      </c>
      <c r="AG459" s="12">
        <v>1506829</v>
      </c>
      <c r="AH459" s="11">
        <v>4</v>
      </c>
      <c r="AI459" s="11">
        <v>4</v>
      </c>
      <c r="AJ459" s="13"/>
    </row>
    <row r="460" spans="1:36" x14ac:dyDescent="0.25">
      <c r="A460" t="str">
        <f>"500308"</f>
        <v>500308</v>
      </c>
      <c r="B460" t="s">
        <v>547</v>
      </c>
      <c r="C460" s="10">
        <v>65880252</v>
      </c>
      <c r="D460" s="10">
        <v>68078176</v>
      </c>
      <c r="E460" s="11">
        <v>3.34</v>
      </c>
      <c r="F460" s="12">
        <v>53917311</v>
      </c>
      <c r="G460" s="12">
        <v>55171346</v>
      </c>
      <c r="H460" s="12"/>
      <c r="I460" s="12"/>
      <c r="J460" s="12"/>
      <c r="K460" s="12"/>
      <c r="L460" s="12"/>
      <c r="M460" s="12"/>
      <c r="N460" s="12">
        <v>53917311</v>
      </c>
      <c r="O460" s="12">
        <v>55171346</v>
      </c>
      <c r="P460" s="11">
        <v>2.33</v>
      </c>
      <c r="Q460" s="12">
        <v>0</v>
      </c>
      <c r="R460" s="12">
        <v>0</v>
      </c>
      <c r="S460" s="12">
        <v>53917311</v>
      </c>
      <c r="T460" s="12">
        <v>55171346</v>
      </c>
      <c r="U460" s="12">
        <v>53917311</v>
      </c>
      <c r="V460" s="12">
        <v>55171346</v>
      </c>
      <c r="W460" s="12">
        <v>0</v>
      </c>
      <c r="X460" s="12">
        <v>0</v>
      </c>
      <c r="Y460" s="12">
        <v>2504</v>
      </c>
      <c r="Z460" s="12">
        <v>2516</v>
      </c>
      <c r="AA460" s="11">
        <v>0.48</v>
      </c>
      <c r="AB460" s="12">
        <v>6519113</v>
      </c>
      <c r="AC460" s="12">
        <v>3713901</v>
      </c>
      <c r="AD460" s="12">
        <v>353064</v>
      </c>
      <c r="AE460" s="12">
        <v>200000</v>
      </c>
      <c r="AF460" s="12">
        <v>2180006</v>
      </c>
      <c r="AG460" s="12">
        <v>2382736</v>
      </c>
      <c r="AH460" s="11">
        <v>3.31</v>
      </c>
      <c r="AI460" s="11">
        <v>3.5</v>
      </c>
      <c r="AJ460" s="13"/>
    </row>
    <row r="461" spans="1:36" x14ac:dyDescent="0.25">
      <c r="A461" t="str">
        <f>"661500"</f>
        <v>661500</v>
      </c>
      <c r="B461" t="s">
        <v>548</v>
      </c>
      <c r="C461" s="10">
        <v>89634989</v>
      </c>
      <c r="D461" s="10">
        <v>92988282</v>
      </c>
      <c r="E461" s="11">
        <v>3.74</v>
      </c>
      <c r="F461" s="12">
        <v>39850600</v>
      </c>
      <c r="G461" s="12">
        <v>40703164</v>
      </c>
      <c r="H461" s="12"/>
      <c r="I461" s="12"/>
      <c r="J461" s="12"/>
      <c r="K461" s="12"/>
      <c r="L461" s="12"/>
      <c r="M461" s="12"/>
      <c r="N461" s="12">
        <v>39850600</v>
      </c>
      <c r="O461" s="12">
        <v>40703164</v>
      </c>
      <c r="P461" s="11">
        <v>2.14</v>
      </c>
      <c r="Q461" s="12">
        <v>1604193</v>
      </c>
      <c r="R461" s="12">
        <v>1577673</v>
      </c>
      <c r="S461" s="12">
        <v>38246407</v>
      </c>
      <c r="T461" s="12">
        <v>39125491</v>
      </c>
      <c r="U461" s="12">
        <v>38246407</v>
      </c>
      <c r="V461" s="12">
        <v>39125491</v>
      </c>
      <c r="W461" s="12">
        <v>0</v>
      </c>
      <c r="X461" s="12">
        <v>0</v>
      </c>
      <c r="Y461" s="12">
        <v>3517</v>
      </c>
      <c r="Z461" s="12">
        <v>3518</v>
      </c>
      <c r="AA461" s="11">
        <v>0.03</v>
      </c>
      <c r="AB461" s="12">
        <v>3656535</v>
      </c>
      <c r="AC461" s="12">
        <v>6673971</v>
      </c>
      <c r="AD461" s="12">
        <v>2955000</v>
      </c>
      <c r="AE461" s="12">
        <v>3482879</v>
      </c>
      <c r="AF461" s="12">
        <v>3585846</v>
      </c>
      <c r="AG461" s="12">
        <v>3716850</v>
      </c>
      <c r="AH461" s="11">
        <v>4</v>
      </c>
      <c r="AI461" s="11">
        <v>4</v>
      </c>
      <c r="AJ461" s="13"/>
    </row>
    <row r="462" spans="1:36" x14ac:dyDescent="0.25">
      <c r="A462" t="str">
        <f>"661601"</f>
        <v>661601</v>
      </c>
      <c r="B462" t="s">
        <v>549</v>
      </c>
      <c r="C462" s="10">
        <v>72780000</v>
      </c>
      <c r="D462" s="10">
        <v>73650000</v>
      </c>
      <c r="E462" s="11">
        <v>1.2</v>
      </c>
      <c r="F462" s="12">
        <v>60427331</v>
      </c>
      <c r="G462" s="12">
        <v>61692210</v>
      </c>
      <c r="H462" s="12"/>
      <c r="I462" s="12"/>
      <c r="J462" s="12"/>
      <c r="K462" s="12"/>
      <c r="L462" s="12"/>
      <c r="M462" s="12"/>
      <c r="N462" s="12">
        <v>60427331</v>
      </c>
      <c r="O462" s="12">
        <v>61692210</v>
      </c>
      <c r="P462" s="11">
        <v>2.09</v>
      </c>
      <c r="Q462" s="12">
        <v>1534989</v>
      </c>
      <c r="R462" s="12">
        <v>1387805</v>
      </c>
      <c r="S462" s="12">
        <v>58984650</v>
      </c>
      <c r="T462" s="12">
        <v>60304405</v>
      </c>
      <c r="U462" s="12">
        <v>58892342</v>
      </c>
      <c r="V462" s="12">
        <v>60304405</v>
      </c>
      <c r="W462" s="12">
        <v>92308</v>
      </c>
      <c r="X462" s="12">
        <v>0</v>
      </c>
      <c r="Y462" s="12">
        <v>2907</v>
      </c>
      <c r="Z462" s="12">
        <v>2912</v>
      </c>
      <c r="AA462" s="11">
        <v>0.17</v>
      </c>
      <c r="AB462" s="12">
        <v>11438903</v>
      </c>
      <c r="AC462" s="12">
        <v>10770687</v>
      </c>
      <c r="AD462" s="12">
        <v>2321780</v>
      </c>
      <c r="AE462" s="12">
        <v>1525000</v>
      </c>
      <c r="AF462" s="12">
        <v>2911197</v>
      </c>
      <c r="AG462" s="12">
        <v>2946000</v>
      </c>
      <c r="AH462" s="11">
        <v>4</v>
      </c>
      <c r="AI462" s="11">
        <v>4</v>
      </c>
      <c r="AJ462" s="13"/>
    </row>
    <row r="463" spans="1:36" x14ac:dyDescent="0.25">
      <c r="A463" t="str">
        <f>"181302"</f>
        <v>181302</v>
      </c>
      <c r="B463" t="s">
        <v>550</v>
      </c>
      <c r="C463" s="10">
        <v>22284632</v>
      </c>
      <c r="D463" s="10">
        <v>22983162</v>
      </c>
      <c r="E463" s="11">
        <v>3.13</v>
      </c>
      <c r="F463" s="12">
        <v>7942479</v>
      </c>
      <c r="G463" s="12">
        <v>8101329</v>
      </c>
      <c r="H463" s="12"/>
      <c r="I463" s="12"/>
      <c r="J463" s="12"/>
      <c r="K463" s="12"/>
      <c r="L463" s="12"/>
      <c r="M463" s="12"/>
      <c r="N463" s="12">
        <v>7942479</v>
      </c>
      <c r="O463" s="12">
        <v>8101329</v>
      </c>
      <c r="P463" s="11">
        <v>2</v>
      </c>
      <c r="Q463" s="12">
        <v>0</v>
      </c>
      <c r="R463" s="12">
        <v>0</v>
      </c>
      <c r="S463" s="12">
        <v>7942479</v>
      </c>
      <c r="T463" s="12">
        <v>8127077</v>
      </c>
      <c r="U463" s="12">
        <v>7942479</v>
      </c>
      <c r="V463" s="12">
        <v>8101329</v>
      </c>
      <c r="W463" s="12">
        <v>0</v>
      </c>
      <c r="X463" s="12">
        <v>25748</v>
      </c>
      <c r="Y463" s="12">
        <v>952</v>
      </c>
      <c r="Z463" s="12">
        <v>926</v>
      </c>
      <c r="AA463" s="11">
        <v>-2.73</v>
      </c>
      <c r="AB463" s="12">
        <v>6701008</v>
      </c>
      <c r="AC463" s="12">
        <v>8186919</v>
      </c>
      <c r="AD463" s="12">
        <v>1100000</v>
      </c>
      <c r="AE463" s="12">
        <v>1100000</v>
      </c>
      <c r="AF463" s="12">
        <v>891383</v>
      </c>
      <c r="AG463" s="12">
        <v>919326</v>
      </c>
      <c r="AH463" s="11">
        <v>4</v>
      </c>
      <c r="AI463" s="11">
        <v>4</v>
      </c>
      <c r="AJ463" s="13"/>
    </row>
    <row r="464" spans="1:36" x14ac:dyDescent="0.25">
      <c r="A464" t="str">
        <f>"261201"</f>
        <v>261201</v>
      </c>
      <c r="B464" t="s">
        <v>551</v>
      </c>
      <c r="C464" s="10">
        <v>95500347</v>
      </c>
      <c r="D464" s="10">
        <v>98183269</v>
      </c>
      <c r="E464" s="11">
        <v>2.81</v>
      </c>
      <c r="F464" s="12">
        <v>61689532</v>
      </c>
      <c r="G464" s="12">
        <v>63300910</v>
      </c>
      <c r="H464" s="12"/>
      <c r="I464" s="12"/>
      <c r="J464" s="12"/>
      <c r="K464" s="12"/>
      <c r="L464" s="12"/>
      <c r="M464" s="12"/>
      <c r="N464" s="12">
        <v>61689532</v>
      </c>
      <c r="O464" s="12">
        <v>63300910</v>
      </c>
      <c r="P464" s="11">
        <v>2.61</v>
      </c>
      <c r="Q464" s="12">
        <v>0</v>
      </c>
      <c r="R464" s="12">
        <v>0</v>
      </c>
      <c r="S464" s="12">
        <v>61839265</v>
      </c>
      <c r="T464" s="12">
        <v>63384430</v>
      </c>
      <c r="U464" s="12">
        <v>61689532</v>
      </c>
      <c r="V464" s="12">
        <v>63300910</v>
      </c>
      <c r="W464" s="12">
        <v>149733</v>
      </c>
      <c r="X464" s="12">
        <v>83520</v>
      </c>
      <c r="Y464" s="12">
        <v>4597</v>
      </c>
      <c r="Z464" s="12">
        <v>4642</v>
      </c>
      <c r="AA464" s="11">
        <v>0.98</v>
      </c>
      <c r="AB464" s="12">
        <v>29225496</v>
      </c>
      <c r="AC464" s="12">
        <v>29567393</v>
      </c>
      <c r="AD464" s="12">
        <v>2071599</v>
      </c>
      <c r="AE464" s="12">
        <v>2071599</v>
      </c>
      <c r="AF464" s="12">
        <v>3820014</v>
      </c>
      <c r="AG464" s="12">
        <v>3927331</v>
      </c>
      <c r="AH464" s="11">
        <v>4</v>
      </c>
      <c r="AI464" s="11">
        <v>4</v>
      </c>
      <c r="AJ464" s="13"/>
    </row>
    <row r="465" spans="1:36" x14ac:dyDescent="0.25">
      <c r="A465" t="str">
        <f>"680601"</f>
        <v>680601</v>
      </c>
      <c r="B465" t="s">
        <v>552</v>
      </c>
      <c r="C465" s="10">
        <v>35166153</v>
      </c>
      <c r="D465" s="10">
        <v>36006183</v>
      </c>
      <c r="E465" s="11">
        <v>2.39</v>
      </c>
      <c r="F465" s="12">
        <v>18137289</v>
      </c>
      <c r="G465" s="12">
        <v>18551937</v>
      </c>
      <c r="H465" s="12"/>
      <c r="I465" s="12"/>
      <c r="J465" s="12"/>
      <c r="K465" s="12"/>
      <c r="L465" s="12"/>
      <c r="M465" s="12"/>
      <c r="N465" s="12">
        <v>18137289</v>
      </c>
      <c r="O465" s="12">
        <v>18551937</v>
      </c>
      <c r="P465" s="11">
        <v>2.29</v>
      </c>
      <c r="Q465" s="12">
        <v>1921877</v>
      </c>
      <c r="R465" s="12">
        <v>2030245</v>
      </c>
      <c r="S465" s="12">
        <v>16233869</v>
      </c>
      <c r="T465" s="12">
        <v>16615996</v>
      </c>
      <c r="U465" s="12">
        <v>16215412</v>
      </c>
      <c r="V465" s="12">
        <v>16521692</v>
      </c>
      <c r="W465" s="12">
        <v>18457</v>
      </c>
      <c r="X465" s="12">
        <v>94304</v>
      </c>
      <c r="Y465" s="12">
        <v>1441</v>
      </c>
      <c r="Z465" s="12">
        <v>1372</v>
      </c>
      <c r="AA465" s="11">
        <v>-4.79</v>
      </c>
      <c r="AB465" s="12">
        <v>7099459</v>
      </c>
      <c r="AC465" s="12">
        <v>6500000</v>
      </c>
      <c r="AD465" s="12">
        <v>579578</v>
      </c>
      <c r="AE465" s="12">
        <v>590000</v>
      </c>
      <c r="AF465" s="12">
        <v>1406646</v>
      </c>
      <c r="AG465" s="12">
        <v>1440247</v>
      </c>
      <c r="AH465" s="11">
        <v>4</v>
      </c>
      <c r="AI465" s="11">
        <v>4</v>
      </c>
      <c r="AJ465" s="13"/>
    </row>
    <row r="466" spans="1:36" x14ac:dyDescent="0.25">
      <c r="A466" t="str">
        <f>"671201"</f>
        <v>671201</v>
      </c>
      <c r="B466" t="s">
        <v>553</v>
      </c>
      <c r="C466" s="10">
        <v>18103719</v>
      </c>
      <c r="D466" s="10">
        <v>18103719</v>
      </c>
      <c r="E466" s="11">
        <v>0</v>
      </c>
      <c r="F466" s="12">
        <v>6213776</v>
      </c>
      <c r="G466" s="12">
        <v>6213776</v>
      </c>
      <c r="H466" s="12"/>
      <c r="I466" s="12"/>
      <c r="J466" s="12"/>
      <c r="K466" s="12"/>
      <c r="L466" s="12"/>
      <c r="M466" s="12"/>
      <c r="N466" s="12">
        <v>6213776</v>
      </c>
      <c r="O466" s="12">
        <v>6213776</v>
      </c>
      <c r="P466" s="11">
        <v>0</v>
      </c>
      <c r="Q466" s="12">
        <v>173940</v>
      </c>
      <c r="R466" s="12">
        <v>177516</v>
      </c>
      <c r="S466" s="12">
        <v>6159541</v>
      </c>
      <c r="T466" s="12">
        <v>6165411</v>
      </c>
      <c r="U466" s="12">
        <v>6039836</v>
      </c>
      <c r="V466" s="12">
        <v>6036260</v>
      </c>
      <c r="W466" s="12">
        <v>119705</v>
      </c>
      <c r="X466" s="12">
        <v>129151</v>
      </c>
      <c r="Y466" s="12">
        <v>858</v>
      </c>
      <c r="Z466" s="12">
        <v>852</v>
      </c>
      <c r="AA466" s="11">
        <v>-0.7</v>
      </c>
      <c r="AB466" s="12">
        <v>5182728</v>
      </c>
      <c r="AC466" s="12">
        <v>7845680</v>
      </c>
      <c r="AD466" s="12">
        <v>451532</v>
      </c>
      <c r="AE466" s="12">
        <v>356113</v>
      </c>
      <c r="AF466" s="12">
        <v>724149</v>
      </c>
      <c r="AG466" s="12">
        <v>724149</v>
      </c>
      <c r="AH466" s="11">
        <v>4</v>
      </c>
      <c r="AI466" s="11">
        <v>4</v>
      </c>
      <c r="AJ466" s="13"/>
    </row>
    <row r="467" spans="1:36" x14ac:dyDescent="0.25">
      <c r="A467" t="str">
        <f>"091101"</f>
        <v>091101</v>
      </c>
      <c r="B467" t="s">
        <v>554</v>
      </c>
      <c r="C467" s="10">
        <v>47045143</v>
      </c>
      <c r="D467" s="10">
        <v>49078985</v>
      </c>
      <c r="E467" s="11">
        <v>4.32</v>
      </c>
      <c r="F467" s="12">
        <v>16993407</v>
      </c>
      <c r="G467" s="12">
        <v>17351231</v>
      </c>
      <c r="H467" s="12"/>
      <c r="I467" s="12"/>
      <c r="J467" s="12"/>
      <c r="K467" s="12"/>
      <c r="L467" s="12"/>
      <c r="M467" s="12"/>
      <c r="N467" s="12">
        <v>16993407</v>
      </c>
      <c r="O467" s="12">
        <v>17351231</v>
      </c>
      <c r="P467" s="11">
        <v>2.11</v>
      </c>
      <c r="Q467" s="12">
        <v>93118</v>
      </c>
      <c r="R467" s="12">
        <v>0</v>
      </c>
      <c r="S467" s="12">
        <v>16913937</v>
      </c>
      <c r="T467" s="12">
        <v>17351231</v>
      </c>
      <c r="U467" s="12">
        <v>16900289</v>
      </c>
      <c r="V467" s="12">
        <v>17351231</v>
      </c>
      <c r="W467" s="12">
        <v>13648</v>
      </c>
      <c r="X467" s="12">
        <v>0</v>
      </c>
      <c r="Y467" s="12">
        <v>1916</v>
      </c>
      <c r="Z467" s="12">
        <v>1915</v>
      </c>
      <c r="AA467" s="11">
        <v>-0.05</v>
      </c>
      <c r="AB467" s="12">
        <v>4295754</v>
      </c>
      <c r="AC467" s="12">
        <v>2391575</v>
      </c>
      <c r="AD467" s="12">
        <v>2057560</v>
      </c>
      <c r="AE467" s="12">
        <v>2696520</v>
      </c>
      <c r="AF467" s="12">
        <v>2982073</v>
      </c>
      <c r="AG467" s="12">
        <v>2659452</v>
      </c>
      <c r="AH467" s="11">
        <v>6.34</v>
      </c>
      <c r="AI467" s="11">
        <v>5.42</v>
      </c>
      <c r="AJ467" s="13"/>
    </row>
    <row r="468" spans="1:36" x14ac:dyDescent="0.25">
      <c r="A468" t="str">
        <f>"431301"</f>
        <v>431301</v>
      </c>
      <c r="B468" t="s">
        <v>555</v>
      </c>
      <c r="C468" s="10">
        <v>36358538</v>
      </c>
      <c r="D468" s="10">
        <v>35663597</v>
      </c>
      <c r="E468" s="11">
        <v>-1.91</v>
      </c>
      <c r="F468" s="12">
        <v>13921444</v>
      </c>
      <c r="G468" s="12">
        <v>14185951</v>
      </c>
      <c r="H468" s="12"/>
      <c r="I468" s="12"/>
      <c r="J468" s="12"/>
      <c r="K468" s="12"/>
      <c r="L468" s="12"/>
      <c r="M468" s="12"/>
      <c r="N468" s="12">
        <v>13921444</v>
      </c>
      <c r="O468" s="12">
        <v>14185951</v>
      </c>
      <c r="P468" s="11">
        <v>1.9</v>
      </c>
      <c r="Q468" s="12">
        <v>0</v>
      </c>
      <c r="R468" s="12">
        <v>0</v>
      </c>
      <c r="S468" s="12">
        <v>14212358</v>
      </c>
      <c r="T468" s="12">
        <v>14459016</v>
      </c>
      <c r="U468" s="12">
        <v>13921444</v>
      </c>
      <c r="V468" s="12">
        <v>14185951</v>
      </c>
      <c r="W468" s="12">
        <v>290914</v>
      </c>
      <c r="X468" s="12">
        <v>273065</v>
      </c>
      <c r="Y468" s="12">
        <v>1538</v>
      </c>
      <c r="Z468" s="12">
        <v>1557</v>
      </c>
      <c r="AA468" s="11">
        <v>1.24</v>
      </c>
      <c r="AB468" s="12">
        <v>8183039</v>
      </c>
      <c r="AC468" s="12">
        <v>6807841</v>
      </c>
      <c r="AD468" s="12">
        <v>0</v>
      </c>
      <c r="AE468" s="12">
        <v>0</v>
      </c>
      <c r="AF468" s="12">
        <v>1454340</v>
      </c>
      <c r="AG468" s="12">
        <v>1426544</v>
      </c>
      <c r="AH468" s="11">
        <v>4</v>
      </c>
      <c r="AI468" s="11">
        <v>4</v>
      </c>
      <c r="AJ468" s="13"/>
    </row>
    <row r="469" spans="1:36" x14ac:dyDescent="0.25">
      <c r="A469" t="str">
        <f>"462001"</f>
        <v>462001</v>
      </c>
      <c r="B469" t="s">
        <v>556</v>
      </c>
      <c r="C469" s="10">
        <v>45118781</v>
      </c>
      <c r="D469" s="10">
        <v>45389453</v>
      </c>
      <c r="E469" s="11">
        <v>0.6</v>
      </c>
      <c r="F469" s="12">
        <v>16961451</v>
      </c>
      <c r="G469" s="12">
        <v>17251873</v>
      </c>
      <c r="H469" s="12"/>
      <c r="I469" s="12"/>
      <c r="J469" s="12"/>
      <c r="K469" s="12"/>
      <c r="L469" s="12"/>
      <c r="M469" s="12"/>
      <c r="N469" s="12">
        <v>16961451</v>
      </c>
      <c r="O469" s="12">
        <v>17251873</v>
      </c>
      <c r="P469" s="11">
        <v>1.71</v>
      </c>
      <c r="Q469" s="12">
        <v>441212</v>
      </c>
      <c r="R469" s="12">
        <v>404711</v>
      </c>
      <c r="S469" s="12">
        <v>17145519</v>
      </c>
      <c r="T469" s="12">
        <v>17352918</v>
      </c>
      <c r="U469" s="12">
        <v>16520239</v>
      </c>
      <c r="V469" s="12">
        <v>16847162</v>
      </c>
      <c r="W469" s="12">
        <v>625280</v>
      </c>
      <c r="X469" s="12">
        <v>505756</v>
      </c>
      <c r="Y469" s="12">
        <v>1750</v>
      </c>
      <c r="Z469" s="12">
        <v>1750</v>
      </c>
      <c r="AA469" s="11">
        <v>0</v>
      </c>
      <c r="AB469" s="12">
        <v>8798914</v>
      </c>
      <c r="AC469" s="12">
        <v>10798914</v>
      </c>
      <c r="AD469" s="12">
        <v>355518</v>
      </c>
      <c r="AE469" s="12">
        <v>355500</v>
      </c>
      <c r="AF469" s="12">
        <v>1766706</v>
      </c>
      <c r="AG469" s="12">
        <v>1815500</v>
      </c>
      <c r="AH469" s="11">
        <v>3.92</v>
      </c>
      <c r="AI469" s="11">
        <v>4</v>
      </c>
      <c r="AJ469" s="13"/>
    </row>
    <row r="470" spans="1:36" x14ac:dyDescent="0.25">
      <c r="A470" t="str">
        <f>"440401"</f>
        <v>440401</v>
      </c>
      <c r="B470" t="s">
        <v>557</v>
      </c>
      <c r="C470" s="10">
        <v>114243524</v>
      </c>
      <c r="D470" s="10">
        <v>116178996</v>
      </c>
      <c r="E470" s="11">
        <v>1.69</v>
      </c>
      <c r="F470" s="12">
        <v>57041062</v>
      </c>
      <c r="G470" s="12">
        <v>57850989</v>
      </c>
      <c r="H470" s="12"/>
      <c r="I470" s="12"/>
      <c r="J470" s="12"/>
      <c r="K470" s="12"/>
      <c r="L470" s="12"/>
      <c r="M470" s="12"/>
      <c r="N470" s="12">
        <v>57041062</v>
      </c>
      <c r="O470" s="12">
        <v>57850989</v>
      </c>
      <c r="P470" s="11">
        <v>1.42</v>
      </c>
      <c r="Q470" s="12">
        <v>814958</v>
      </c>
      <c r="R470" s="12">
        <v>414397</v>
      </c>
      <c r="S470" s="12">
        <v>56226104</v>
      </c>
      <c r="T470" s="12">
        <v>58265386</v>
      </c>
      <c r="U470" s="12">
        <v>56226104</v>
      </c>
      <c r="V470" s="12">
        <v>57436592</v>
      </c>
      <c r="W470" s="12">
        <v>0</v>
      </c>
      <c r="X470" s="12">
        <v>828794</v>
      </c>
      <c r="Y470" s="12">
        <v>5033</v>
      </c>
      <c r="Z470" s="12">
        <v>4993</v>
      </c>
      <c r="AA470" s="11">
        <v>-0.79</v>
      </c>
      <c r="AB470" s="12">
        <v>9500000</v>
      </c>
      <c r="AC470" s="12">
        <v>9000000</v>
      </c>
      <c r="AD470" s="12">
        <v>255594</v>
      </c>
      <c r="AE470" s="12">
        <v>960000</v>
      </c>
      <c r="AF470" s="12">
        <v>6800000</v>
      </c>
      <c r="AG470" s="12">
        <v>5300000</v>
      </c>
      <c r="AH470" s="11">
        <v>5.95</v>
      </c>
      <c r="AI470" s="11">
        <v>4.5599999999999996</v>
      </c>
      <c r="AJ470" s="13"/>
    </row>
    <row r="471" spans="1:36" x14ac:dyDescent="0.25">
      <c r="A471" t="str">
        <f>"131301"</f>
        <v>131301</v>
      </c>
      <c r="B471" t="s">
        <v>558</v>
      </c>
      <c r="C471" s="10">
        <v>31609279</v>
      </c>
      <c r="D471" s="10">
        <v>32500660</v>
      </c>
      <c r="E471" s="11">
        <v>2.82</v>
      </c>
      <c r="F471" s="12">
        <v>22549551</v>
      </c>
      <c r="G471" s="12">
        <v>23035043</v>
      </c>
      <c r="H471" s="12"/>
      <c r="I471" s="12"/>
      <c r="J471" s="12"/>
      <c r="K471" s="12"/>
      <c r="L471" s="12"/>
      <c r="M471" s="12"/>
      <c r="N471" s="12">
        <v>22549551</v>
      </c>
      <c r="O471" s="12">
        <v>23035043</v>
      </c>
      <c r="P471" s="11">
        <v>2.15</v>
      </c>
      <c r="Q471" s="12">
        <v>0</v>
      </c>
      <c r="R471" s="12">
        <v>0</v>
      </c>
      <c r="S471" s="12">
        <v>22549551</v>
      </c>
      <c r="T471" s="12">
        <v>23035043</v>
      </c>
      <c r="U471" s="12">
        <v>22549551</v>
      </c>
      <c r="V471" s="12">
        <v>23035043</v>
      </c>
      <c r="W471" s="12">
        <v>0</v>
      </c>
      <c r="X471" s="12">
        <v>0</v>
      </c>
      <c r="Y471" s="12">
        <v>928</v>
      </c>
      <c r="Z471" s="12">
        <v>930</v>
      </c>
      <c r="AA471" s="11">
        <v>0.22</v>
      </c>
      <c r="AB471" s="12">
        <v>10221100</v>
      </c>
      <c r="AC471" s="12">
        <v>11511360</v>
      </c>
      <c r="AD471" s="12">
        <v>1674687</v>
      </c>
      <c r="AE471" s="12">
        <v>1543814</v>
      </c>
      <c r="AF471" s="12">
        <v>1113823</v>
      </c>
      <c r="AG471" s="12">
        <v>1298500</v>
      </c>
      <c r="AH471" s="11">
        <v>3.52</v>
      </c>
      <c r="AI471" s="11">
        <v>4</v>
      </c>
      <c r="AJ471" s="13"/>
    </row>
    <row r="472" spans="1:36" x14ac:dyDescent="0.25">
      <c r="A472" t="str">
        <f>"060601"</f>
        <v>060601</v>
      </c>
      <c r="B472" t="s">
        <v>559</v>
      </c>
      <c r="C472" s="10">
        <v>16333283</v>
      </c>
      <c r="D472" s="10">
        <v>15833646</v>
      </c>
      <c r="E472" s="11">
        <v>-3.06</v>
      </c>
      <c r="F472" s="12">
        <v>3343147</v>
      </c>
      <c r="G472" s="12">
        <v>3343147</v>
      </c>
      <c r="H472" s="12"/>
      <c r="I472" s="12"/>
      <c r="J472" s="12"/>
      <c r="K472" s="12"/>
      <c r="L472" s="12"/>
      <c r="M472" s="12"/>
      <c r="N472" s="12">
        <v>3343147</v>
      </c>
      <c r="O472" s="12">
        <v>3343147</v>
      </c>
      <c r="P472" s="11">
        <v>0</v>
      </c>
      <c r="Q472" s="12">
        <v>0</v>
      </c>
      <c r="R472" s="12">
        <v>82706</v>
      </c>
      <c r="S472" s="12">
        <v>3343147</v>
      </c>
      <c r="T472" s="12">
        <v>3409796</v>
      </c>
      <c r="U472" s="12">
        <v>3343147</v>
      </c>
      <c r="V472" s="12">
        <v>3260441</v>
      </c>
      <c r="W472" s="12">
        <v>0</v>
      </c>
      <c r="X472" s="12">
        <v>149355</v>
      </c>
      <c r="Y472" s="12">
        <v>576</v>
      </c>
      <c r="Z472" s="12">
        <v>574</v>
      </c>
      <c r="AA472" s="11">
        <v>-0.35</v>
      </c>
      <c r="AB472" s="12">
        <v>2560520</v>
      </c>
      <c r="AC472" s="12">
        <v>3411816</v>
      </c>
      <c r="AD472" s="12">
        <v>211266</v>
      </c>
      <c r="AE472" s="12">
        <v>0</v>
      </c>
      <c r="AF472" s="12">
        <v>2063</v>
      </c>
      <c r="AG472" s="12">
        <v>2277307</v>
      </c>
      <c r="AH472" s="11">
        <v>0.01</v>
      </c>
      <c r="AI472" s="11">
        <v>14.38</v>
      </c>
      <c r="AJ472" s="13"/>
    </row>
    <row r="473" spans="1:36" x14ac:dyDescent="0.25">
      <c r="A473" t="str">
        <f>"261401"</f>
        <v>261401</v>
      </c>
      <c r="B473" t="s">
        <v>560</v>
      </c>
      <c r="C473" s="10">
        <v>130064518</v>
      </c>
      <c r="D473" s="10">
        <v>136544880</v>
      </c>
      <c r="E473" s="11">
        <v>4.9800000000000004</v>
      </c>
      <c r="F473" s="12">
        <v>97875108</v>
      </c>
      <c r="G473" s="12">
        <v>100460555</v>
      </c>
      <c r="H473" s="12"/>
      <c r="I473" s="12"/>
      <c r="J473" s="12"/>
      <c r="K473" s="12"/>
      <c r="L473" s="12"/>
      <c r="M473" s="12"/>
      <c r="N473" s="12">
        <v>97875108</v>
      </c>
      <c r="O473" s="12">
        <v>100460555</v>
      </c>
      <c r="P473" s="11">
        <v>2.64</v>
      </c>
      <c r="Q473" s="12">
        <v>3062691</v>
      </c>
      <c r="R473" s="12">
        <v>3078600</v>
      </c>
      <c r="S473" s="12">
        <v>94827544</v>
      </c>
      <c r="T473" s="12">
        <v>97381955</v>
      </c>
      <c r="U473" s="12">
        <v>94812417</v>
      </c>
      <c r="V473" s="12">
        <v>97381955</v>
      </c>
      <c r="W473" s="12">
        <v>15127</v>
      </c>
      <c r="X473" s="12">
        <v>0</v>
      </c>
      <c r="Y473" s="12">
        <v>5685</v>
      </c>
      <c r="Z473" s="12">
        <v>5734</v>
      </c>
      <c r="AA473" s="11">
        <v>0.86</v>
      </c>
      <c r="AB473" s="12">
        <v>30913495</v>
      </c>
      <c r="AC473" s="12">
        <v>28827057</v>
      </c>
      <c r="AD473" s="12">
        <v>1534000</v>
      </c>
      <c r="AE473" s="12">
        <v>2854508</v>
      </c>
      <c r="AF473" s="12">
        <v>5202581</v>
      </c>
      <c r="AG473" s="12">
        <v>5461796</v>
      </c>
      <c r="AH473" s="11">
        <v>4</v>
      </c>
      <c r="AI473" s="11">
        <v>4</v>
      </c>
      <c r="AJ473" s="13"/>
    </row>
    <row r="474" spans="1:36" x14ac:dyDescent="0.25">
      <c r="A474" t="str">
        <f>"280518"</f>
        <v>280518</v>
      </c>
      <c r="B474" t="s">
        <v>561</v>
      </c>
      <c r="C474" s="10">
        <v>91509907</v>
      </c>
      <c r="D474" s="10">
        <v>93851980</v>
      </c>
      <c r="E474" s="11">
        <v>2.56</v>
      </c>
      <c r="F474" s="12">
        <v>64259355</v>
      </c>
      <c r="G474" s="12">
        <v>65383894</v>
      </c>
      <c r="H474" s="12"/>
      <c r="I474" s="12"/>
      <c r="J474" s="12"/>
      <c r="K474" s="12"/>
      <c r="L474" s="12"/>
      <c r="M474" s="12"/>
      <c r="N474" s="12">
        <v>64259355</v>
      </c>
      <c r="O474" s="12">
        <v>65383894</v>
      </c>
      <c r="P474" s="11">
        <v>1.75</v>
      </c>
      <c r="Q474" s="12">
        <v>2260893</v>
      </c>
      <c r="R474" s="12">
        <v>2068450</v>
      </c>
      <c r="S474" s="12">
        <v>62540207</v>
      </c>
      <c r="T474" s="12">
        <v>63470166</v>
      </c>
      <c r="U474" s="12">
        <v>61998462</v>
      </c>
      <c r="V474" s="12">
        <v>63315444</v>
      </c>
      <c r="W474" s="12">
        <v>541745</v>
      </c>
      <c r="X474" s="12">
        <v>154722</v>
      </c>
      <c r="Y474" s="12">
        <v>2902</v>
      </c>
      <c r="Z474" s="12">
        <v>2837</v>
      </c>
      <c r="AA474" s="11">
        <v>-2.2400000000000002</v>
      </c>
      <c r="AB474" s="12">
        <v>25306626</v>
      </c>
      <c r="AC474" s="12">
        <v>23808426</v>
      </c>
      <c r="AD474" s="12">
        <v>3350032</v>
      </c>
      <c r="AE474" s="12">
        <v>3070907</v>
      </c>
      <c r="AF474" s="12">
        <v>3660396</v>
      </c>
      <c r="AG474" s="12">
        <v>3754079</v>
      </c>
      <c r="AH474" s="11">
        <v>4</v>
      </c>
      <c r="AI474" s="11">
        <v>4</v>
      </c>
      <c r="AJ474" s="13"/>
    </row>
    <row r="475" spans="1:36" x14ac:dyDescent="0.25">
      <c r="A475" t="str">
        <f>"280504"</f>
        <v>280504</v>
      </c>
      <c r="B475" t="s">
        <v>562</v>
      </c>
      <c r="C475" s="10">
        <v>152196856</v>
      </c>
      <c r="D475" s="10">
        <v>157166366</v>
      </c>
      <c r="E475" s="11">
        <v>3.27</v>
      </c>
      <c r="F475" s="12">
        <v>121020994</v>
      </c>
      <c r="G475" s="12">
        <v>123417820</v>
      </c>
      <c r="H475" s="12"/>
      <c r="I475" s="12"/>
      <c r="J475" s="12"/>
      <c r="K475" s="12"/>
      <c r="L475" s="12"/>
      <c r="M475" s="12"/>
      <c r="N475" s="12">
        <v>121020994</v>
      </c>
      <c r="O475" s="12">
        <v>123417820</v>
      </c>
      <c r="P475" s="11">
        <v>1.98</v>
      </c>
      <c r="Q475" s="12">
        <v>3265023</v>
      </c>
      <c r="R475" s="12">
        <v>4430312</v>
      </c>
      <c r="S475" s="12">
        <v>118851657</v>
      </c>
      <c r="T475" s="12">
        <v>119916500</v>
      </c>
      <c r="U475" s="12">
        <v>117755971</v>
      </c>
      <c r="V475" s="12">
        <v>118987508</v>
      </c>
      <c r="W475" s="12">
        <v>1095686</v>
      </c>
      <c r="X475" s="12">
        <v>928992</v>
      </c>
      <c r="Y475" s="12">
        <v>4838</v>
      </c>
      <c r="Z475" s="12">
        <v>4825</v>
      </c>
      <c r="AA475" s="11">
        <v>-0.27</v>
      </c>
      <c r="AB475" s="12">
        <v>28770451</v>
      </c>
      <c r="AC475" s="12">
        <v>31043375</v>
      </c>
      <c r="AD475" s="12">
        <v>2658000</v>
      </c>
      <c r="AE475" s="12">
        <v>3258623</v>
      </c>
      <c r="AF475" s="12">
        <v>6087873</v>
      </c>
      <c r="AG475" s="12">
        <v>6286655</v>
      </c>
      <c r="AH475" s="11">
        <v>4</v>
      </c>
      <c r="AI475" s="11">
        <v>4</v>
      </c>
      <c r="AJ475" s="13"/>
    </row>
    <row r="476" spans="1:36" x14ac:dyDescent="0.25">
      <c r="A476" t="str">
        <f>"091200"</f>
        <v>091200</v>
      </c>
      <c r="B476" t="s">
        <v>563</v>
      </c>
      <c r="C476" s="10">
        <v>42840628</v>
      </c>
      <c r="D476" s="10">
        <v>44673843</v>
      </c>
      <c r="E476" s="11">
        <v>4.28</v>
      </c>
      <c r="F476" s="12">
        <v>21721816</v>
      </c>
      <c r="G476" s="12">
        <v>22542574</v>
      </c>
      <c r="H476" s="12"/>
      <c r="I476" s="12"/>
      <c r="J476" s="12"/>
      <c r="K476" s="12"/>
      <c r="L476" s="12">
        <v>6335</v>
      </c>
      <c r="M476" s="12">
        <v>0</v>
      </c>
      <c r="N476" s="12">
        <v>21715481</v>
      </c>
      <c r="O476" s="12">
        <v>22542574</v>
      </c>
      <c r="P476" s="11">
        <v>3.81</v>
      </c>
      <c r="Q476" s="12">
        <v>179111</v>
      </c>
      <c r="R476" s="12">
        <v>362371</v>
      </c>
      <c r="S476" s="12">
        <v>21582785</v>
      </c>
      <c r="T476" s="12">
        <v>22203987</v>
      </c>
      <c r="U476" s="12">
        <v>21542705</v>
      </c>
      <c r="V476" s="12">
        <v>22180203</v>
      </c>
      <c r="W476" s="12">
        <v>40080</v>
      </c>
      <c r="X476" s="12">
        <v>23784</v>
      </c>
      <c r="Y476" s="12">
        <v>1752</v>
      </c>
      <c r="Z476" s="12">
        <v>1828</v>
      </c>
      <c r="AA476" s="11">
        <v>4.34</v>
      </c>
      <c r="AB476" s="12">
        <v>3319000</v>
      </c>
      <c r="AC476" s="12">
        <v>3800000</v>
      </c>
      <c r="AD476" s="12">
        <v>1281460</v>
      </c>
      <c r="AE476" s="12">
        <v>1458004</v>
      </c>
      <c r="AF476" s="12">
        <v>1500000</v>
      </c>
      <c r="AG476" s="12">
        <v>1786954</v>
      </c>
      <c r="AH476" s="11">
        <v>3.5</v>
      </c>
      <c r="AI476" s="11">
        <v>4</v>
      </c>
      <c r="AJ476" s="13"/>
    </row>
    <row r="477" spans="1:36" x14ac:dyDescent="0.25">
      <c r="A477" t="str">
        <f>"660809"</f>
        <v>660809</v>
      </c>
      <c r="B477" t="s">
        <v>564</v>
      </c>
      <c r="C477" s="10">
        <v>49009122</v>
      </c>
      <c r="D477" s="10">
        <v>49634114</v>
      </c>
      <c r="E477" s="11">
        <v>1.28</v>
      </c>
      <c r="F477" s="12">
        <v>36069032</v>
      </c>
      <c r="G477" s="12">
        <v>37181387</v>
      </c>
      <c r="H477" s="12"/>
      <c r="I477" s="12"/>
      <c r="J477" s="12"/>
      <c r="K477" s="12"/>
      <c r="L477" s="12"/>
      <c r="M477" s="12"/>
      <c r="N477" s="12">
        <v>36069032</v>
      </c>
      <c r="O477" s="12">
        <v>37181387</v>
      </c>
      <c r="P477" s="11">
        <v>3.08</v>
      </c>
      <c r="Q477" s="12">
        <v>1794816</v>
      </c>
      <c r="R477" s="12">
        <v>1964282</v>
      </c>
      <c r="S477" s="12">
        <v>34281275</v>
      </c>
      <c r="T477" s="12">
        <v>35217105</v>
      </c>
      <c r="U477" s="12">
        <v>34274216</v>
      </c>
      <c r="V477" s="12">
        <v>35217105</v>
      </c>
      <c r="W477" s="12">
        <v>7059</v>
      </c>
      <c r="X477" s="12">
        <v>0</v>
      </c>
      <c r="Y477" s="12">
        <v>1696</v>
      </c>
      <c r="Z477" s="12">
        <v>1700</v>
      </c>
      <c r="AA477" s="11">
        <v>0.24</v>
      </c>
      <c r="AB477" s="12">
        <v>5033621</v>
      </c>
      <c r="AC477" s="12">
        <v>5008741</v>
      </c>
      <c r="AD477" s="12">
        <v>850000</v>
      </c>
      <c r="AE477" s="12">
        <v>1000000</v>
      </c>
      <c r="AF477" s="12">
        <v>1691634</v>
      </c>
      <c r="AG477" s="12">
        <v>1687555</v>
      </c>
      <c r="AH477" s="11">
        <v>3.45</v>
      </c>
      <c r="AI477" s="11">
        <v>3.4</v>
      </c>
      <c r="AJ477" s="13"/>
    </row>
    <row r="478" spans="1:36" x14ac:dyDescent="0.25">
      <c r="A478" t="str">
        <f>"660802"</f>
        <v>660802</v>
      </c>
      <c r="B478" t="s">
        <v>565</v>
      </c>
      <c r="C478" s="10">
        <v>30242460</v>
      </c>
      <c r="D478" s="10">
        <v>31031090</v>
      </c>
      <c r="E478" s="11">
        <v>2.61</v>
      </c>
      <c r="F478" s="12">
        <v>24934530</v>
      </c>
      <c r="G478" s="12">
        <v>25650000</v>
      </c>
      <c r="H478" s="12"/>
      <c r="I478" s="12"/>
      <c r="J478" s="12"/>
      <c r="K478" s="12"/>
      <c r="L478" s="12"/>
      <c r="M478" s="12"/>
      <c r="N478" s="12">
        <v>24934530</v>
      </c>
      <c r="O478" s="12">
        <v>25650000</v>
      </c>
      <c r="P478" s="11">
        <v>2.87</v>
      </c>
      <c r="Q478" s="12">
        <v>1515205</v>
      </c>
      <c r="R478" s="12">
        <v>1267334</v>
      </c>
      <c r="S478" s="12">
        <v>23424626</v>
      </c>
      <c r="T478" s="12">
        <v>24390829</v>
      </c>
      <c r="U478" s="12">
        <v>23419325</v>
      </c>
      <c r="V478" s="12">
        <v>24382666</v>
      </c>
      <c r="W478" s="12">
        <v>5301</v>
      </c>
      <c r="X478" s="12">
        <v>8163</v>
      </c>
      <c r="Y478" s="12">
        <v>473</v>
      </c>
      <c r="Z478" s="12">
        <v>472</v>
      </c>
      <c r="AA478" s="11">
        <v>-0.21</v>
      </c>
      <c r="AB478" s="12">
        <v>12719941</v>
      </c>
      <c r="AC478" s="12">
        <v>16117660</v>
      </c>
      <c r="AD478" s="12">
        <v>380000</v>
      </c>
      <c r="AE478" s="12">
        <v>0</v>
      </c>
      <c r="AF478" s="12">
        <v>1206514</v>
      </c>
      <c r="AG478" s="12">
        <v>1241244</v>
      </c>
      <c r="AH478" s="11">
        <v>3.99</v>
      </c>
      <c r="AI478" s="11">
        <v>4</v>
      </c>
      <c r="AJ478" s="13"/>
    </row>
    <row r="479" spans="1:36" x14ac:dyDescent="0.25">
      <c r="A479" t="str">
        <f>"211103"</f>
        <v>211103</v>
      </c>
      <c r="B479" t="s">
        <v>566</v>
      </c>
      <c r="C479" s="10">
        <v>14253025</v>
      </c>
      <c r="D479" s="10">
        <v>14372866</v>
      </c>
      <c r="E479" s="11">
        <v>0.84</v>
      </c>
      <c r="F479" s="12">
        <v>6569152</v>
      </c>
      <c r="G479" s="12">
        <v>6753562</v>
      </c>
      <c r="H479" s="12"/>
      <c r="I479" s="12"/>
      <c r="J479" s="12"/>
      <c r="K479" s="12"/>
      <c r="L479" s="12">
        <v>0</v>
      </c>
      <c r="M479" s="12">
        <v>77225</v>
      </c>
      <c r="N479" s="12">
        <v>6569152</v>
      </c>
      <c r="O479" s="12">
        <v>6676337</v>
      </c>
      <c r="P479" s="11">
        <v>1.63</v>
      </c>
      <c r="Q479" s="12">
        <v>782343</v>
      </c>
      <c r="R479" s="12">
        <v>538359</v>
      </c>
      <c r="S479" s="12">
        <v>6094584</v>
      </c>
      <c r="T479" s="12">
        <v>6236726</v>
      </c>
      <c r="U479" s="12">
        <v>5786809</v>
      </c>
      <c r="V479" s="12">
        <v>6215203</v>
      </c>
      <c r="W479" s="12">
        <v>307775</v>
      </c>
      <c r="X479" s="12">
        <v>21523</v>
      </c>
      <c r="Y479" s="12">
        <v>565</v>
      </c>
      <c r="Z479" s="12">
        <v>574</v>
      </c>
      <c r="AA479" s="11">
        <v>1.59</v>
      </c>
      <c r="AB479" s="12">
        <v>861385</v>
      </c>
      <c r="AC479" s="12">
        <v>865000</v>
      </c>
      <c r="AD479" s="12">
        <v>858558</v>
      </c>
      <c r="AE479" s="12">
        <v>870741</v>
      </c>
      <c r="AF479" s="12">
        <v>570121</v>
      </c>
      <c r="AG479" s="12">
        <v>574915</v>
      </c>
      <c r="AH479" s="11">
        <v>4</v>
      </c>
      <c r="AI479" s="11">
        <v>4</v>
      </c>
      <c r="AJ479" s="13"/>
    </row>
    <row r="480" spans="1:36" x14ac:dyDescent="0.25">
      <c r="A480" t="str">
        <f>"051101"</f>
        <v>051101</v>
      </c>
      <c r="B480" t="s">
        <v>567</v>
      </c>
      <c r="C480" s="10">
        <v>21273209</v>
      </c>
      <c r="D480" s="10">
        <v>21273209</v>
      </c>
      <c r="E480" s="11">
        <v>0</v>
      </c>
      <c r="F480" s="12">
        <v>6122676</v>
      </c>
      <c r="G480" s="12">
        <v>6196148</v>
      </c>
      <c r="H480" s="12"/>
      <c r="I480" s="12"/>
      <c r="J480" s="12"/>
      <c r="K480" s="12"/>
      <c r="L480" s="12"/>
      <c r="M480" s="12"/>
      <c r="N480" s="12">
        <v>6122676</v>
      </c>
      <c r="O480" s="12">
        <v>6196148</v>
      </c>
      <c r="P480" s="11">
        <v>1.2</v>
      </c>
      <c r="Q480" s="12">
        <v>0</v>
      </c>
      <c r="R480" s="12">
        <v>136336</v>
      </c>
      <c r="S480" s="12">
        <v>6344181</v>
      </c>
      <c r="T480" s="12">
        <v>6344181</v>
      </c>
      <c r="U480" s="12">
        <v>6122676</v>
      </c>
      <c r="V480" s="12">
        <v>6059812</v>
      </c>
      <c r="W480" s="12">
        <v>221505</v>
      </c>
      <c r="X480" s="12">
        <v>284369</v>
      </c>
      <c r="Y480" s="12">
        <v>979</v>
      </c>
      <c r="Z480" s="12">
        <v>952</v>
      </c>
      <c r="AA480" s="11">
        <v>-2.76</v>
      </c>
      <c r="AB480" s="12">
        <v>2342885</v>
      </c>
      <c r="AC480" s="12">
        <v>2352890</v>
      </c>
      <c r="AD480" s="12">
        <v>350000</v>
      </c>
      <c r="AE480" s="12">
        <v>350000</v>
      </c>
      <c r="AF480" s="12">
        <v>840024</v>
      </c>
      <c r="AG480" s="12">
        <v>850928</v>
      </c>
      <c r="AH480" s="11">
        <v>3.95</v>
      </c>
      <c r="AI480" s="11">
        <v>4</v>
      </c>
      <c r="AJ480" s="13"/>
    </row>
    <row r="481" spans="1:36" x14ac:dyDescent="0.25">
      <c r="A481" t="str">
        <f>"661904"</f>
        <v>661904</v>
      </c>
      <c r="B481" t="s">
        <v>568</v>
      </c>
      <c r="C481" s="10">
        <v>96074468</v>
      </c>
      <c r="D481" s="10">
        <v>97227468</v>
      </c>
      <c r="E481" s="11">
        <v>1.2</v>
      </c>
      <c r="F481" s="12">
        <v>61936368</v>
      </c>
      <c r="G481" s="12">
        <v>63100817</v>
      </c>
      <c r="H481" s="12"/>
      <c r="I481" s="12"/>
      <c r="J481" s="12"/>
      <c r="K481" s="12"/>
      <c r="L481" s="12"/>
      <c r="M481" s="12"/>
      <c r="N481" s="12">
        <v>61936368</v>
      </c>
      <c r="O481" s="12">
        <v>63100817</v>
      </c>
      <c r="P481" s="11">
        <v>1.88</v>
      </c>
      <c r="Q481" s="12">
        <v>326206</v>
      </c>
      <c r="R481" s="12">
        <v>173384</v>
      </c>
      <c r="S481" s="12">
        <v>61610162</v>
      </c>
      <c r="T481" s="12">
        <v>62927433</v>
      </c>
      <c r="U481" s="12">
        <v>61610162</v>
      </c>
      <c r="V481" s="12">
        <v>62927433</v>
      </c>
      <c r="W481" s="12">
        <v>0</v>
      </c>
      <c r="X481" s="12">
        <v>0</v>
      </c>
      <c r="Y481" s="12">
        <v>4623</v>
      </c>
      <c r="Z481" s="12">
        <v>4675</v>
      </c>
      <c r="AA481" s="11">
        <v>1.1200000000000001</v>
      </c>
      <c r="AB481" s="12">
        <v>2974136</v>
      </c>
      <c r="AC481" s="12">
        <v>2647730</v>
      </c>
      <c r="AD481" s="12">
        <v>3000000</v>
      </c>
      <c r="AE481" s="12">
        <v>1000000</v>
      </c>
      <c r="AF481" s="12">
        <v>985222</v>
      </c>
      <c r="AG481" s="12">
        <v>2782513</v>
      </c>
      <c r="AH481" s="11">
        <v>1.03</v>
      </c>
      <c r="AI481" s="11">
        <v>2.86</v>
      </c>
      <c r="AJ481" s="13"/>
    </row>
    <row r="482" spans="1:36" x14ac:dyDescent="0.25">
      <c r="A482" s="16" t="s">
        <v>4608</v>
      </c>
      <c r="B482" s="16" t="s">
        <v>5748</v>
      </c>
      <c r="C482" s="18">
        <v>42879851</v>
      </c>
      <c r="D482" s="18">
        <v>43889812</v>
      </c>
      <c r="E482" s="15">
        <v>2.36</v>
      </c>
      <c r="F482" s="19">
        <v>35626700</v>
      </c>
      <c r="G482" s="19">
        <v>36434479</v>
      </c>
      <c r="H482" s="19"/>
      <c r="I482" s="19"/>
      <c r="J482" s="19"/>
      <c r="K482" s="19"/>
      <c r="L482" s="19"/>
      <c r="M482" s="19"/>
      <c r="N482" s="19">
        <v>35626700</v>
      </c>
      <c r="O482" s="19">
        <v>36434479</v>
      </c>
      <c r="P482" s="15">
        <v>2.27</v>
      </c>
      <c r="Q482" s="19">
        <v>1625979</v>
      </c>
      <c r="R482" s="19">
        <v>1545793</v>
      </c>
      <c r="S482" s="19">
        <v>34000721</v>
      </c>
      <c r="T482" s="19">
        <v>34888686</v>
      </c>
      <c r="U482" s="19">
        <v>34000721</v>
      </c>
      <c r="V482" s="19">
        <v>34888686</v>
      </c>
      <c r="W482" s="19">
        <v>0</v>
      </c>
      <c r="X482" s="19">
        <v>0</v>
      </c>
      <c r="Y482" s="19">
        <v>1147</v>
      </c>
      <c r="Z482" s="19">
        <v>1116</v>
      </c>
      <c r="AA482" s="15">
        <v>-2.7</v>
      </c>
      <c r="AB482" s="19">
        <v>15570737</v>
      </c>
      <c r="AC482" s="19">
        <v>15839737</v>
      </c>
      <c r="AD482" s="19">
        <v>749440</v>
      </c>
      <c r="AE482" s="19">
        <v>750000</v>
      </c>
      <c r="AF482" s="19">
        <v>1714879</v>
      </c>
      <c r="AG482" s="19">
        <v>1754000</v>
      </c>
      <c r="AH482" s="15">
        <v>4</v>
      </c>
      <c r="AI482" s="15">
        <v>4</v>
      </c>
      <c r="AJ482" s="13"/>
    </row>
    <row r="483" spans="1:36" x14ac:dyDescent="0.25">
      <c r="A483" t="str">
        <f>"441800"</f>
        <v>441800</v>
      </c>
      <c r="B483" t="s">
        <v>569</v>
      </c>
      <c r="C483" s="10">
        <v>70217841</v>
      </c>
      <c r="D483" s="10">
        <v>72249842</v>
      </c>
      <c r="E483" s="11">
        <v>2.89</v>
      </c>
      <c r="F483" s="12">
        <v>27902987</v>
      </c>
      <c r="G483" s="12">
        <v>28432230</v>
      </c>
      <c r="H483" s="12"/>
      <c r="I483" s="12"/>
      <c r="J483" s="12"/>
      <c r="K483" s="12"/>
      <c r="L483" s="12"/>
      <c r="M483" s="12"/>
      <c r="N483" s="12">
        <v>27902987</v>
      </c>
      <c r="O483" s="12">
        <v>28432230</v>
      </c>
      <c r="P483" s="11">
        <v>1.9</v>
      </c>
      <c r="Q483" s="12">
        <v>96974</v>
      </c>
      <c r="R483" s="12">
        <v>0</v>
      </c>
      <c r="S483" s="12">
        <v>27806013</v>
      </c>
      <c r="T483" s="12">
        <v>28537230</v>
      </c>
      <c r="U483" s="12">
        <v>27806013</v>
      </c>
      <c r="V483" s="12">
        <v>28432230</v>
      </c>
      <c r="W483" s="12">
        <v>0</v>
      </c>
      <c r="X483" s="12">
        <v>105000</v>
      </c>
      <c r="Y483" s="12">
        <v>2504</v>
      </c>
      <c r="Z483" s="12">
        <v>2566</v>
      </c>
      <c r="AA483" s="11">
        <v>2.48</v>
      </c>
      <c r="AB483" s="12">
        <v>14804259</v>
      </c>
      <c r="AC483" s="12">
        <v>15740400</v>
      </c>
      <c r="AD483" s="12">
        <v>1125000</v>
      </c>
      <c r="AE483" s="12">
        <v>1080000</v>
      </c>
      <c r="AF483" s="12">
        <v>8180596</v>
      </c>
      <c r="AG483" s="12">
        <v>8050600</v>
      </c>
      <c r="AH483" s="11">
        <v>11.65</v>
      </c>
      <c r="AI483" s="11">
        <v>11.14</v>
      </c>
      <c r="AJ483" s="13"/>
    </row>
    <row r="484" spans="1:36" x14ac:dyDescent="0.25">
      <c r="A484" t="str">
        <f>"280404"</f>
        <v>280404</v>
      </c>
      <c r="B484" t="s">
        <v>570</v>
      </c>
      <c r="C484" s="10">
        <v>151222964</v>
      </c>
      <c r="D484" s="10">
        <v>155938460</v>
      </c>
      <c r="E484" s="11">
        <v>3.12</v>
      </c>
      <c r="F484" s="12">
        <v>132859467</v>
      </c>
      <c r="G484" s="12">
        <v>137049299</v>
      </c>
      <c r="H484" s="12"/>
      <c r="I484" s="12"/>
      <c r="J484" s="12"/>
      <c r="K484" s="12"/>
      <c r="L484" s="12"/>
      <c r="M484" s="12"/>
      <c r="N484" s="12">
        <v>132859467</v>
      </c>
      <c r="O484" s="12">
        <v>137049299</v>
      </c>
      <c r="P484" s="11">
        <v>3.15</v>
      </c>
      <c r="Q484" s="12">
        <v>6360237</v>
      </c>
      <c r="R484" s="12">
        <v>6617467</v>
      </c>
      <c r="S484" s="12">
        <v>126499230</v>
      </c>
      <c r="T484" s="12">
        <v>130431832</v>
      </c>
      <c r="U484" s="12">
        <v>126499230</v>
      </c>
      <c r="V484" s="12">
        <v>130431832</v>
      </c>
      <c r="W484" s="12">
        <v>0</v>
      </c>
      <c r="X484" s="12">
        <v>0</v>
      </c>
      <c r="Y484" s="12">
        <v>5603</v>
      </c>
      <c r="Z484" s="12">
        <v>5589</v>
      </c>
      <c r="AA484" s="11">
        <v>-0.25</v>
      </c>
      <c r="AB484" s="12">
        <v>5645847</v>
      </c>
      <c r="AC484" s="12">
        <v>4708119</v>
      </c>
      <c r="AD484" s="12">
        <v>2631600</v>
      </c>
      <c r="AE484" s="12">
        <v>950000</v>
      </c>
      <c r="AF484" s="12">
        <v>4108894</v>
      </c>
      <c r="AG484" s="12">
        <v>2358894</v>
      </c>
      <c r="AH484" s="11">
        <v>2.72</v>
      </c>
      <c r="AI484" s="11">
        <v>1.51</v>
      </c>
      <c r="AJ484" s="13"/>
    </row>
    <row r="485" spans="1:36" x14ac:dyDescent="0.25">
      <c r="A485" t="str">
        <f>"042901"</f>
        <v>042901</v>
      </c>
      <c r="B485" t="s">
        <v>571</v>
      </c>
      <c r="C485" s="10">
        <v>17709972</v>
      </c>
      <c r="D485" s="10">
        <v>18219220</v>
      </c>
      <c r="E485" s="11">
        <v>2.88</v>
      </c>
      <c r="F485" s="12">
        <v>4545494</v>
      </c>
      <c r="G485" s="12">
        <v>4636404</v>
      </c>
      <c r="H485" s="12"/>
      <c r="I485" s="12"/>
      <c r="J485" s="12"/>
      <c r="K485" s="12"/>
      <c r="L485" s="12"/>
      <c r="M485" s="12"/>
      <c r="N485" s="12">
        <v>4545494</v>
      </c>
      <c r="O485" s="12">
        <v>4636404</v>
      </c>
      <c r="P485" s="11">
        <v>2</v>
      </c>
      <c r="Q485" s="12">
        <v>44779</v>
      </c>
      <c r="R485" s="12">
        <v>46010</v>
      </c>
      <c r="S485" s="12">
        <v>4512517</v>
      </c>
      <c r="T485" s="12">
        <v>4590729</v>
      </c>
      <c r="U485" s="12">
        <v>4500715</v>
      </c>
      <c r="V485" s="12">
        <v>4590394</v>
      </c>
      <c r="W485" s="12">
        <v>11802</v>
      </c>
      <c r="X485" s="12">
        <v>335</v>
      </c>
      <c r="Y485" s="12">
        <v>974</v>
      </c>
      <c r="Z485" s="12">
        <v>979</v>
      </c>
      <c r="AA485" s="11">
        <v>0.51</v>
      </c>
      <c r="AB485" s="12">
        <v>2399198</v>
      </c>
      <c r="AC485" s="12">
        <v>2645008</v>
      </c>
      <c r="AD485" s="12">
        <v>417683</v>
      </c>
      <c r="AE485" s="12">
        <v>407324</v>
      </c>
      <c r="AF485" s="12">
        <v>1174901</v>
      </c>
      <c r="AG485" s="12">
        <v>774901</v>
      </c>
      <c r="AH485" s="11">
        <v>6.63</v>
      </c>
      <c r="AI485" s="11">
        <v>4.25</v>
      </c>
      <c r="AJ485" s="13"/>
    </row>
    <row r="486" spans="1:36" x14ac:dyDescent="0.25">
      <c r="A486" t="str">
        <f>"512902"</f>
        <v>512902</v>
      </c>
      <c r="B486" t="s">
        <v>572</v>
      </c>
      <c r="C486" s="10">
        <v>32441420</v>
      </c>
      <c r="D486" s="10">
        <v>33409410</v>
      </c>
      <c r="E486" s="11">
        <v>2.98</v>
      </c>
      <c r="F486" s="12">
        <v>12828980</v>
      </c>
      <c r="G486" s="12">
        <v>13242282</v>
      </c>
      <c r="H486" s="12"/>
      <c r="I486" s="12"/>
      <c r="J486" s="12"/>
      <c r="K486" s="12"/>
      <c r="L486" s="12"/>
      <c r="M486" s="12"/>
      <c r="N486" s="12">
        <v>12828980</v>
      </c>
      <c r="O486" s="12">
        <v>13242282</v>
      </c>
      <c r="P486" s="11">
        <v>3.22</v>
      </c>
      <c r="Q486" s="12">
        <v>385303</v>
      </c>
      <c r="R486" s="12">
        <v>384033</v>
      </c>
      <c r="S486" s="12">
        <v>12443677</v>
      </c>
      <c r="T486" s="12">
        <v>12858249</v>
      </c>
      <c r="U486" s="12">
        <v>12443677</v>
      </c>
      <c r="V486" s="12">
        <v>12858249</v>
      </c>
      <c r="W486" s="12">
        <v>0</v>
      </c>
      <c r="X486" s="12">
        <v>0</v>
      </c>
      <c r="Y486" s="12">
        <v>1320</v>
      </c>
      <c r="Z486" s="12">
        <v>1350</v>
      </c>
      <c r="AA486" s="11">
        <v>2.27</v>
      </c>
      <c r="AB486" s="12">
        <v>4027695</v>
      </c>
      <c r="AC486" s="12">
        <v>3691465</v>
      </c>
      <c r="AD486" s="12">
        <v>2000000</v>
      </c>
      <c r="AE486" s="12">
        <v>2170790</v>
      </c>
      <c r="AF486" s="12">
        <v>1786802</v>
      </c>
      <c r="AG486" s="12">
        <v>1725971</v>
      </c>
      <c r="AH486" s="11">
        <v>5.51</v>
      </c>
      <c r="AI486" s="11">
        <v>5.17</v>
      </c>
      <c r="AJ486" s="13"/>
    </row>
    <row r="487" spans="1:36" x14ac:dyDescent="0.25">
      <c r="A487" t="str">
        <f>"131500"</f>
        <v>131500</v>
      </c>
      <c r="B487" t="s">
        <v>573</v>
      </c>
      <c r="C487" s="10">
        <v>96747054</v>
      </c>
      <c r="D487" s="10">
        <v>99806415</v>
      </c>
      <c r="E487" s="11">
        <v>3.16</v>
      </c>
      <c r="F487" s="12">
        <v>27561990</v>
      </c>
      <c r="G487" s="12">
        <v>28771167</v>
      </c>
      <c r="H487" s="12"/>
      <c r="I487" s="12"/>
      <c r="J487" s="12"/>
      <c r="K487" s="12"/>
      <c r="L487" s="12"/>
      <c r="M487" s="12"/>
      <c r="N487" s="12">
        <v>27561990</v>
      </c>
      <c r="O487" s="12">
        <v>28771167</v>
      </c>
      <c r="P487" s="11">
        <v>4.3899999999999997</v>
      </c>
      <c r="Q487" s="12">
        <v>0</v>
      </c>
      <c r="R487" s="12">
        <v>650000</v>
      </c>
      <c r="S487" s="12">
        <v>27561990</v>
      </c>
      <c r="T487" s="12">
        <v>28121167</v>
      </c>
      <c r="U487" s="12">
        <v>27561990</v>
      </c>
      <c r="V487" s="12">
        <v>28121167</v>
      </c>
      <c r="W487" s="12">
        <v>0</v>
      </c>
      <c r="X487" s="12">
        <v>0</v>
      </c>
      <c r="Y487" s="12">
        <v>4313</v>
      </c>
      <c r="Z487" s="12">
        <v>4368</v>
      </c>
      <c r="AA487" s="11">
        <v>1.28</v>
      </c>
      <c r="AB487" s="12">
        <v>897276</v>
      </c>
      <c r="AC487" s="12">
        <v>915222</v>
      </c>
      <c r="AD487" s="12">
        <v>1259647</v>
      </c>
      <c r="AE487" s="12">
        <v>125647</v>
      </c>
      <c r="AF487" s="12">
        <v>12187810</v>
      </c>
      <c r="AG487" s="12">
        <v>7292257</v>
      </c>
      <c r="AH487" s="11">
        <v>12.6</v>
      </c>
      <c r="AI487" s="11">
        <v>7.31</v>
      </c>
      <c r="AJ487" s="13"/>
    </row>
    <row r="488" spans="1:36" x14ac:dyDescent="0.25">
      <c r="A488" t="str">
        <f>"572301"</f>
        <v>572301</v>
      </c>
      <c r="B488" t="s">
        <v>574</v>
      </c>
      <c r="C488" s="10">
        <v>9731521</v>
      </c>
      <c r="D488" s="10">
        <v>9921361</v>
      </c>
      <c r="E488" s="11">
        <v>1.95</v>
      </c>
      <c r="F488" s="12">
        <v>2606960</v>
      </c>
      <c r="G488" s="12">
        <v>2606960</v>
      </c>
      <c r="H488" s="12"/>
      <c r="I488" s="12"/>
      <c r="J488" s="12"/>
      <c r="K488" s="12"/>
      <c r="L488" s="12"/>
      <c r="M488" s="12"/>
      <c r="N488" s="12">
        <v>2606960</v>
      </c>
      <c r="O488" s="12">
        <v>2606960</v>
      </c>
      <c r="P488" s="11">
        <v>0</v>
      </c>
      <c r="Q488" s="12">
        <v>0</v>
      </c>
      <c r="R488" s="12">
        <v>0</v>
      </c>
      <c r="S488" s="12">
        <v>2906960</v>
      </c>
      <c r="T488" s="12">
        <v>3731533</v>
      </c>
      <c r="U488" s="12">
        <v>2606960</v>
      </c>
      <c r="V488" s="12">
        <v>2606960</v>
      </c>
      <c r="W488" s="12">
        <v>300000</v>
      </c>
      <c r="X488" s="12">
        <v>1124573</v>
      </c>
      <c r="Y488" s="12">
        <v>365</v>
      </c>
      <c r="Z488" s="12">
        <v>352</v>
      </c>
      <c r="AA488" s="11">
        <v>-3.56</v>
      </c>
      <c r="AB488" s="12">
        <v>1416763</v>
      </c>
      <c r="AC488" s="12">
        <v>1430931</v>
      </c>
      <c r="AD488" s="12">
        <v>575289</v>
      </c>
      <c r="AE488" s="12">
        <v>230398</v>
      </c>
      <c r="AF488" s="12">
        <v>1050891</v>
      </c>
      <c r="AG488" s="12">
        <v>396854</v>
      </c>
      <c r="AH488" s="11">
        <v>10.8</v>
      </c>
      <c r="AI488" s="11">
        <v>4</v>
      </c>
      <c r="AJ488" s="13"/>
    </row>
    <row r="489" spans="1:36" x14ac:dyDescent="0.25">
      <c r="A489" t="str">
        <f>"461801"</f>
        <v>461801</v>
      </c>
      <c r="B489" t="s">
        <v>575</v>
      </c>
      <c r="C489" s="10">
        <v>25931000</v>
      </c>
      <c r="D489" s="10">
        <v>26733000</v>
      </c>
      <c r="E489" s="11">
        <v>3.09</v>
      </c>
      <c r="F489" s="12">
        <v>6715046</v>
      </c>
      <c r="G489" s="12">
        <v>6848131</v>
      </c>
      <c r="H489" s="12"/>
      <c r="I489" s="12"/>
      <c r="J489" s="12"/>
      <c r="K489" s="12"/>
      <c r="L489" s="12"/>
      <c r="M489" s="12"/>
      <c r="N489" s="12">
        <v>6715046</v>
      </c>
      <c r="O489" s="12">
        <v>6848131</v>
      </c>
      <c r="P489" s="11">
        <v>1.98</v>
      </c>
      <c r="Q489" s="12">
        <v>226865</v>
      </c>
      <c r="R489" s="12">
        <v>199189</v>
      </c>
      <c r="S489" s="12">
        <v>6498670</v>
      </c>
      <c r="T489" s="12">
        <v>6648942</v>
      </c>
      <c r="U489" s="12">
        <v>6488181</v>
      </c>
      <c r="V489" s="12">
        <v>6648942</v>
      </c>
      <c r="W489" s="12">
        <v>10489</v>
      </c>
      <c r="X489" s="12">
        <v>0</v>
      </c>
      <c r="Y489" s="12">
        <v>1075</v>
      </c>
      <c r="Z489" s="12">
        <v>1069</v>
      </c>
      <c r="AA489" s="11">
        <v>-0.56000000000000005</v>
      </c>
      <c r="AB489" s="12">
        <v>2051367</v>
      </c>
      <c r="AC489" s="12">
        <v>1622367</v>
      </c>
      <c r="AD489" s="12">
        <v>1371357</v>
      </c>
      <c r="AE489" s="12">
        <v>1371357</v>
      </c>
      <c r="AF489" s="12">
        <v>1034502</v>
      </c>
      <c r="AG489" s="12">
        <v>917502</v>
      </c>
      <c r="AH489" s="11">
        <v>3.99</v>
      </c>
      <c r="AI489" s="11">
        <v>3.43</v>
      </c>
      <c r="AJ489" s="13"/>
    </row>
    <row r="490" spans="1:36" x14ac:dyDescent="0.25">
      <c r="A490" t="str">
        <f>"641401"</f>
        <v>641401</v>
      </c>
      <c r="B490" t="s">
        <v>576</v>
      </c>
      <c r="C490" s="10">
        <v>2525457</v>
      </c>
      <c r="D490" s="10">
        <v>2501578</v>
      </c>
      <c r="E490" s="11">
        <v>-0.95</v>
      </c>
      <c r="F490" s="12">
        <v>1570002</v>
      </c>
      <c r="G490" s="12">
        <v>1615696</v>
      </c>
      <c r="H490" s="12"/>
      <c r="I490" s="12"/>
      <c r="J490" s="12"/>
      <c r="K490" s="12"/>
      <c r="L490" s="12"/>
      <c r="M490" s="12"/>
      <c r="N490" s="12">
        <v>1570002</v>
      </c>
      <c r="O490" s="12">
        <v>1615696</v>
      </c>
      <c r="P490" s="11">
        <v>2.91</v>
      </c>
      <c r="Q490" s="12">
        <v>0</v>
      </c>
      <c r="R490" s="12">
        <v>0</v>
      </c>
      <c r="S490" s="12">
        <v>1570002</v>
      </c>
      <c r="T490" s="12">
        <v>1615696</v>
      </c>
      <c r="U490" s="12">
        <v>1570002</v>
      </c>
      <c r="V490" s="12">
        <v>1615696</v>
      </c>
      <c r="W490" s="12">
        <v>0</v>
      </c>
      <c r="X490" s="12">
        <v>0</v>
      </c>
      <c r="Y490" s="12">
        <v>68</v>
      </c>
      <c r="Z490" s="12">
        <v>69</v>
      </c>
      <c r="AA490" s="11">
        <v>1.47</v>
      </c>
      <c r="AB490" s="12">
        <v>66092</v>
      </c>
      <c r="AC490" s="12">
        <v>81167</v>
      </c>
      <c r="AD490" s="12">
        <v>610090</v>
      </c>
      <c r="AE490" s="12">
        <v>491000</v>
      </c>
      <c r="AF490" s="12">
        <v>926587</v>
      </c>
      <c r="AG490" s="12">
        <v>435587</v>
      </c>
      <c r="AH490" s="11">
        <v>36.69</v>
      </c>
      <c r="AI490" s="11">
        <v>17.41</v>
      </c>
      <c r="AJ490" s="13"/>
    </row>
    <row r="491" spans="1:36" x14ac:dyDescent="0.25">
      <c r="A491" t="str">
        <f>"480503"</f>
        <v>480503</v>
      </c>
      <c r="B491" t="s">
        <v>577</v>
      </c>
      <c r="C491" s="10">
        <v>48544139</v>
      </c>
      <c r="D491" s="10">
        <v>51294919</v>
      </c>
      <c r="E491" s="11">
        <v>5.67</v>
      </c>
      <c r="F491" s="12">
        <v>35775821</v>
      </c>
      <c r="G491" s="12">
        <v>36747311</v>
      </c>
      <c r="H491" s="12"/>
      <c r="I491" s="12"/>
      <c r="J491" s="12"/>
      <c r="K491" s="12"/>
      <c r="L491" s="12"/>
      <c r="M491" s="12"/>
      <c r="N491" s="12">
        <v>35775821</v>
      </c>
      <c r="O491" s="12">
        <v>36747311</v>
      </c>
      <c r="P491" s="11">
        <v>2.72</v>
      </c>
      <c r="Q491" s="12">
        <v>924751</v>
      </c>
      <c r="R491" s="12">
        <v>1229220</v>
      </c>
      <c r="S491" s="12">
        <v>34901070</v>
      </c>
      <c r="T491" s="12">
        <v>35548091</v>
      </c>
      <c r="U491" s="12">
        <v>34851070</v>
      </c>
      <c r="V491" s="12">
        <v>35518091</v>
      </c>
      <c r="W491" s="12">
        <v>50000</v>
      </c>
      <c r="X491" s="12">
        <v>30000</v>
      </c>
      <c r="Y491" s="12">
        <v>1680</v>
      </c>
      <c r="Z491" s="12">
        <v>1621</v>
      </c>
      <c r="AA491" s="11">
        <v>-3.51</v>
      </c>
      <c r="AB491" s="12">
        <v>5773226</v>
      </c>
      <c r="AC491" s="12">
        <v>4027655</v>
      </c>
      <c r="AD491" s="12">
        <v>2576541</v>
      </c>
      <c r="AE491" s="12">
        <v>2218403</v>
      </c>
      <c r="AF491" s="12">
        <v>1941689</v>
      </c>
      <c r="AG491" s="12">
        <v>2051797</v>
      </c>
      <c r="AH491" s="11">
        <v>4</v>
      </c>
      <c r="AI491" s="11">
        <v>4</v>
      </c>
      <c r="AJ491" s="13"/>
    </row>
    <row r="492" spans="1:36" x14ac:dyDescent="0.25">
      <c r="A492" t="str">
        <f>"630902"</f>
        <v>630902</v>
      </c>
      <c r="B492" t="s">
        <v>578</v>
      </c>
      <c r="C492" s="10">
        <v>62831747</v>
      </c>
      <c r="D492" s="10">
        <v>63309837</v>
      </c>
      <c r="E492" s="11">
        <v>0.76</v>
      </c>
      <c r="F492" s="12">
        <v>33230179</v>
      </c>
      <c r="G492" s="12">
        <v>34197177</v>
      </c>
      <c r="H492" s="12"/>
      <c r="I492" s="12"/>
      <c r="J492" s="12"/>
      <c r="K492" s="12"/>
      <c r="L492" s="12"/>
      <c r="M492" s="12"/>
      <c r="N492" s="12">
        <v>33230179</v>
      </c>
      <c r="O492" s="12">
        <v>34197177</v>
      </c>
      <c r="P492" s="11">
        <v>2.91</v>
      </c>
      <c r="Q492" s="12">
        <v>3003979</v>
      </c>
      <c r="R492" s="12">
        <v>3006787</v>
      </c>
      <c r="S492" s="12">
        <v>30262427</v>
      </c>
      <c r="T492" s="12">
        <v>31190390</v>
      </c>
      <c r="U492" s="12">
        <v>30226200</v>
      </c>
      <c r="V492" s="12">
        <v>31190390</v>
      </c>
      <c r="W492" s="12">
        <v>36227</v>
      </c>
      <c r="X492" s="12">
        <v>0</v>
      </c>
      <c r="Y492" s="12">
        <v>3333</v>
      </c>
      <c r="Z492" s="12">
        <v>3254</v>
      </c>
      <c r="AA492" s="11">
        <v>-2.37</v>
      </c>
      <c r="AB492" s="12">
        <v>2576953</v>
      </c>
      <c r="AC492" s="12">
        <v>2012661</v>
      </c>
      <c r="AD492" s="12">
        <v>3856701</v>
      </c>
      <c r="AE492" s="12">
        <v>4105617</v>
      </c>
      <c r="AF492" s="12">
        <v>1678749</v>
      </c>
      <c r="AG492" s="12">
        <v>1078749</v>
      </c>
      <c r="AH492" s="11">
        <v>2.67</v>
      </c>
      <c r="AI492" s="11">
        <v>1.7</v>
      </c>
      <c r="AJ492" s="13"/>
    </row>
    <row r="493" spans="1:36" x14ac:dyDescent="0.25">
      <c r="A493" s="16" t="str">
        <f>"580903"</f>
        <v>580903</v>
      </c>
      <c r="B493" s="16" t="s">
        <v>579</v>
      </c>
      <c r="C493" s="18">
        <v>8059754</v>
      </c>
      <c r="D493" s="18">
        <v>8341716</v>
      </c>
      <c r="E493" s="15">
        <v>3.5</v>
      </c>
      <c r="F493" s="19">
        <v>7160077</v>
      </c>
      <c r="G493" s="19">
        <v>7402458</v>
      </c>
      <c r="H493" s="19"/>
      <c r="I493" s="19"/>
      <c r="J493" s="19"/>
      <c r="K493" s="19"/>
      <c r="L493" s="19"/>
      <c r="M493" s="19"/>
      <c r="N493" s="19">
        <v>7160077</v>
      </c>
      <c r="O493" s="19">
        <v>7402458</v>
      </c>
      <c r="P493" s="15">
        <v>3.39</v>
      </c>
      <c r="Q493" s="19">
        <v>0</v>
      </c>
      <c r="R493" s="19">
        <v>0</v>
      </c>
      <c r="S493" s="19">
        <v>7160077</v>
      </c>
      <c r="T493" s="19">
        <v>7402458</v>
      </c>
      <c r="U493" s="19">
        <v>7160077</v>
      </c>
      <c r="V493" s="19">
        <v>7402458</v>
      </c>
      <c r="W493" s="19">
        <v>0</v>
      </c>
      <c r="X493" s="19">
        <v>0</v>
      </c>
      <c r="Y493" s="19">
        <v>151</v>
      </c>
      <c r="Z493" s="19">
        <v>148</v>
      </c>
      <c r="AA493" s="15">
        <v>-1.99</v>
      </c>
      <c r="AB493" s="19">
        <v>657084</v>
      </c>
      <c r="AC493" s="19">
        <v>1061450</v>
      </c>
      <c r="AD493" s="19">
        <v>333430</v>
      </c>
      <c r="AE493" s="19">
        <v>415041</v>
      </c>
      <c r="AF493" s="19">
        <v>3115921</v>
      </c>
      <c r="AG493" s="19">
        <v>2700000</v>
      </c>
      <c r="AH493" s="15">
        <v>38.659999999999997</v>
      </c>
      <c r="AI493" s="15">
        <v>32.369999999999997</v>
      </c>
      <c r="AJ493" s="13"/>
    </row>
    <row r="494" spans="1:36" x14ac:dyDescent="0.25">
      <c r="A494" t="str">
        <f>"043001"</f>
        <v>043001</v>
      </c>
      <c r="B494" t="s">
        <v>580</v>
      </c>
      <c r="C494" s="10">
        <v>20294455</v>
      </c>
      <c r="D494" s="10">
        <v>19899129</v>
      </c>
      <c r="E494" s="11">
        <v>-1.95</v>
      </c>
      <c r="F494" s="12">
        <v>4610514</v>
      </c>
      <c r="G494" s="12">
        <v>4610514</v>
      </c>
      <c r="H494" s="12"/>
      <c r="I494" s="12"/>
      <c r="J494" s="12"/>
      <c r="K494" s="12"/>
      <c r="L494" s="12"/>
      <c r="M494" s="12"/>
      <c r="N494" s="12">
        <v>4610514</v>
      </c>
      <c r="O494" s="12">
        <v>4610514</v>
      </c>
      <c r="P494" s="11">
        <v>0</v>
      </c>
      <c r="Q494" s="12">
        <v>0</v>
      </c>
      <c r="R494" s="12">
        <v>0</v>
      </c>
      <c r="S494" s="12">
        <v>4683546</v>
      </c>
      <c r="T494" s="12">
        <v>4784264</v>
      </c>
      <c r="U494" s="12">
        <v>4610514</v>
      </c>
      <c r="V494" s="12">
        <v>4610514</v>
      </c>
      <c r="W494" s="12">
        <v>73032</v>
      </c>
      <c r="X494" s="12">
        <v>173750</v>
      </c>
      <c r="Y494" s="12">
        <v>977</v>
      </c>
      <c r="Z494" s="12">
        <v>948</v>
      </c>
      <c r="AA494" s="11">
        <v>-2.97</v>
      </c>
      <c r="AB494" s="12">
        <v>3011930</v>
      </c>
      <c r="AC494" s="12">
        <v>3011930</v>
      </c>
      <c r="AD494" s="12">
        <v>1605512</v>
      </c>
      <c r="AE494" s="12">
        <v>1431730</v>
      </c>
      <c r="AF494" s="12">
        <v>4135783</v>
      </c>
      <c r="AG494" s="12">
        <v>4435783</v>
      </c>
      <c r="AH494" s="11">
        <v>20.38</v>
      </c>
      <c r="AI494" s="11">
        <v>22.29</v>
      </c>
      <c r="AJ494" s="13"/>
    </row>
    <row r="495" spans="1:36" x14ac:dyDescent="0.25">
      <c r="A495" t="str">
        <f>"010402"</f>
        <v>010402</v>
      </c>
      <c r="B495" t="s">
        <v>581</v>
      </c>
      <c r="C495" s="10">
        <v>45829423</v>
      </c>
      <c r="D495" s="10">
        <v>47738365</v>
      </c>
      <c r="E495" s="11">
        <v>4.17</v>
      </c>
      <c r="F495" s="12">
        <v>24732166</v>
      </c>
      <c r="G495" s="12">
        <v>25395903</v>
      </c>
      <c r="H495" s="12"/>
      <c r="I495" s="12"/>
      <c r="J495" s="12"/>
      <c r="K495" s="12"/>
      <c r="L495" s="12"/>
      <c r="M495" s="12"/>
      <c r="N495" s="12">
        <v>24732166</v>
      </c>
      <c r="O495" s="12">
        <v>25395903</v>
      </c>
      <c r="P495" s="11">
        <v>2.68</v>
      </c>
      <c r="Q495" s="12">
        <v>802462</v>
      </c>
      <c r="R495" s="12">
        <v>794034</v>
      </c>
      <c r="S495" s="12">
        <v>23929704</v>
      </c>
      <c r="T495" s="12">
        <v>24601869</v>
      </c>
      <c r="U495" s="12">
        <v>23929704</v>
      </c>
      <c r="V495" s="12">
        <v>24601869</v>
      </c>
      <c r="W495" s="12">
        <v>0</v>
      </c>
      <c r="X495" s="12">
        <v>0</v>
      </c>
      <c r="Y495" s="12">
        <v>1871</v>
      </c>
      <c r="Z495" s="12">
        <v>1862</v>
      </c>
      <c r="AA495" s="11">
        <v>-0.48</v>
      </c>
      <c r="AB495" s="12">
        <v>4967580</v>
      </c>
      <c r="AC495" s="12">
        <v>5610965</v>
      </c>
      <c r="AD495" s="12">
        <v>750000</v>
      </c>
      <c r="AE495" s="12">
        <v>950000</v>
      </c>
      <c r="AF495" s="12">
        <v>3976247</v>
      </c>
      <c r="AG495" s="12">
        <v>1909535</v>
      </c>
      <c r="AH495" s="11">
        <v>8.68</v>
      </c>
      <c r="AI495" s="11">
        <v>4</v>
      </c>
      <c r="AJ495" s="13"/>
    </row>
    <row r="496" spans="1:36" x14ac:dyDescent="0.25">
      <c r="A496" t="str">
        <f>"651503"</f>
        <v>651503</v>
      </c>
      <c r="B496" t="s">
        <v>582</v>
      </c>
      <c r="C496" s="10">
        <v>21223000</v>
      </c>
      <c r="D496" s="10">
        <v>21610000</v>
      </c>
      <c r="E496" s="11">
        <v>1.82</v>
      </c>
      <c r="F496" s="12">
        <v>4406000</v>
      </c>
      <c r="G496" s="12">
        <v>4538000</v>
      </c>
      <c r="H496" s="12"/>
      <c r="I496" s="12"/>
      <c r="J496" s="12"/>
      <c r="K496" s="12"/>
      <c r="L496" s="12"/>
      <c r="M496" s="12"/>
      <c r="N496" s="12">
        <v>4406000</v>
      </c>
      <c r="O496" s="12">
        <v>4538000</v>
      </c>
      <c r="P496" s="11">
        <v>3</v>
      </c>
      <c r="Q496" s="12">
        <v>157900</v>
      </c>
      <c r="R496" s="12">
        <v>195090</v>
      </c>
      <c r="S496" s="12">
        <v>4248255</v>
      </c>
      <c r="T496" s="12">
        <v>4342949</v>
      </c>
      <c r="U496" s="12">
        <v>4248100</v>
      </c>
      <c r="V496" s="12">
        <v>4342910</v>
      </c>
      <c r="W496" s="12">
        <v>155</v>
      </c>
      <c r="X496" s="12">
        <v>39</v>
      </c>
      <c r="Y496" s="12">
        <v>905</v>
      </c>
      <c r="Z496" s="12">
        <v>905</v>
      </c>
      <c r="AA496" s="11">
        <v>0</v>
      </c>
      <c r="AB496" s="12">
        <v>2951624</v>
      </c>
      <c r="AC496" s="12">
        <v>3350000</v>
      </c>
      <c r="AD496" s="12">
        <v>678000</v>
      </c>
      <c r="AE496" s="12">
        <v>678000</v>
      </c>
      <c r="AF496" s="12">
        <v>848920</v>
      </c>
      <c r="AG496" s="12">
        <v>864400</v>
      </c>
      <c r="AH496" s="11">
        <v>4</v>
      </c>
      <c r="AI496" s="11">
        <v>4</v>
      </c>
      <c r="AJ496" s="13"/>
    </row>
    <row r="497" spans="1:36" x14ac:dyDescent="0.25">
      <c r="A497" t="str">
        <f>"131701"</f>
        <v>131701</v>
      </c>
      <c r="B497" t="s">
        <v>583</v>
      </c>
      <c r="C497" s="10">
        <v>53012598</v>
      </c>
      <c r="D497" s="10">
        <v>54125804</v>
      </c>
      <c r="E497" s="11">
        <v>2.1</v>
      </c>
      <c r="F497" s="12">
        <v>32846000</v>
      </c>
      <c r="G497" s="12">
        <v>33559200</v>
      </c>
      <c r="H497" s="12"/>
      <c r="I497" s="12"/>
      <c r="J497" s="12"/>
      <c r="K497" s="12"/>
      <c r="L497" s="12"/>
      <c r="M497" s="12"/>
      <c r="N497" s="12">
        <v>32846000</v>
      </c>
      <c r="O497" s="12">
        <v>33559200</v>
      </c>
      <c r="P497" s="11">
        <v>2.17</v>
      </c>
      <c r="Q497" s="12">
        <v>252361</v>
      </c>
      <c r="R497" s="12">
        <v>192386</v>
      </c>
      <c r="S497" s="12">
        <v>32594619</v>
      </c>
      <c r="T497" s="12">
        <v>33366897</v>
      </c>
      <c r="U497" s="12">
        <v>32593639</v>
      </c>
      <c r="V497" s="12">
        <v>33366814</v>
      </c>
      <c r="W497" s="12">
        <v>980</v>
      </c>
      <c r="X497" s="12">
        <v>83</v>
      </c>
      <c r="Y497" s="12">
        <v>1917</v>
      </c>
      <c r="Z497" s="12">
        <v>1896</v>
      </c>
      <c r="AA497" s="11">
        <v>-1.1000000000000001</v>
      </c>
      <c r="AB497" s="12">
        <v>3143837</v>
      </c>
      <c r="AC497" s="12">
        <v>3040000</v>
      </c>
      <c r="AD497" s="12">
        <v>3149189</v>
      </c>
      <c r="AE497" s="12">
        <v>2800000</v>
      </c>
      <c r="AF497" s="12">
        <v>2044376</v>
      </c>
      <c r="AG497" s="12">
        <v>2000000</v>
      </c>
      <c r="AH497" s="11">
        <v>3.86</v>
      </c>
      <c r="AI497" s="11">
        <v>3.7</v>
      </c>
      <c r="AJ497" s="13"/>
    </row>
    <row r="498" spans="1:36" x14ac:dyDescent="0.25">
      <c r="A498" t="str">
        <f>"411701"</f>
        <v>411701</v>
      </c>
      <c r="B498" t="s">
        <v>584</v>
      </c>
      <c r="C498" s="10">
        <v>11912112</v>
      </c>
      <c r="D498" s="10">
        <v>12232212</v>
      </c>
      <c r="E498" s="11">
        <v>2.69</v>
      </c>
      <c r="F498" s="12">
        <v>5082067</v>
      </c>
      <c r="G498" s="12">
        <v>5174170</v>
      </c>
      <c r="H498" s="12"/>
      <c r="I498" s="12"/>
      <c r="J498" s="12"/>
      <c r="K498" s="12"/>
      <c r="L498" s="12"/>
      <c r="M498" s="12"/>
      <c r="N498" s="12">
        <v>5082067</v>
      </c>
      <c r="O498" s="12">
        <v>5174170</v>
      </c>
      <c r="P498" s="11">
        <v>1.81</v>
      </c>
      <c r="Q498" s="12">
        <v>72523</v>
      </c>
      <c r="R498" s="12">
        <v>45774</v>
      </c>
      <c r="S498" s="12">
        <v>5059589</v>
      </c>
      <c r="T498" s="12">
        <v>5128396</v>
      </c>
      <c r="U498" s="12">
        <v>5009544</v>
      </c>
      <c r="V498" s="12">
        <v>5128396</v>
      </c>
      <c r="W498" s="12">
        <v>50045</v>
      </c>
      <c r="X498" s="12">
        <v>0</v>
      </c>
      <c r="Y498" s="12">
        <v>430</v>
      </c>
      <c r="Z498" s="12">
        <v>430</v>
      </c>
      <c r="AA498" s="11">
        <v>0</v>
      </c>
      <c r="AB498" s="12">
        <v>1360435</v>
      </c>
      <c r="AC498" s="12">
        <v>1387672</v>
      </c>
      <c r="AD498" s="12">
        <v>305000</v>
      </c>
      <c r="AE498" s="12">
        <v>250000</v>
      </c>
      <c r="AF498" s="12">
        <v>475051</v>
      </c>
      <c r="AG498" s="12">
        <v>489288</v>
      </c>
      <c r="AH498" s="11">
        <v>3.99</v>
      </c>
      <c r="AI498" s="11">
        <v>4</v>
      </c>
      <c r="AJ498" s="13"/>
    </row>
    <row r="499" spans="1:36" x14ac:dyDescent="0.25">
      <c r="A499" t="str">
        <f>"580901"</f>
        <v>580901</v>
      </c>
      <c r="B499" t="s">
        <v>585</v>
      </c>
      <c r="C499" s="10">
        <v>13526371</v>
      </c>
      <c r="D499" s="10">
        <v>14035604</v>
      </c>
      <c r="E499" s="11">
        <v>3.76</v>
      </c>
      <c r="F499" s="12">
        <v>11835070</v>
      </c>
      <c r="G499" s="12">
        <v>12266824</v>
      </c>
      <c r="H499" s="12"/>
      <c r="I499" s="12"/>
      <c r="J499" s="12"/>
      <c r="K499" s="12"/>
      <c r="L499" s="12"/>
      <c r="M499" s="12"/>
      <c r="N499" s="12">
        <v>11835070</v>
      </c>
      <c r="O499" s="12">
        <v>12266824</v>
      </c>
      <c r="P499" s="11">
        <v>3.65</v>
      </c>
      <c r="Q499" s="12">
        <v>0</v>
      </c>
      <c r="R499" s="12">
        <v>0</v>
      </c>
      <c r="S499" s="12">
        <v>11897360</v>
      </c>
      <c r="T499" s="12">
        <v>12268612</v>
      </c>
      <c r="U499" s="12">
        <v>11835070</v>
      </c>
      <c r="V499" s="12">
        <v>12266824</v>
      </c>
      <c r="W499" s="12">
        <v>62290</v>
      </c>
      <c r="X499" s="12">
        <v>1788</v>
      </c>
      <c r="Y499" s="12">
        <v>312</v>
      </c>
      <c r="Z499" s="12">
        <v>320</v>
      </c>
      <c r="AA499" s="11">
        <v>2.56</v>
      </c>
      <c r="AB499" s="12">
        <v>1096444</v>
      </c>
      <c r="AC499" s="12">
        <v>1077944</v>
      </c>
      <c r="AD499" s="12">
        <v>1015000</v>
      </c>
      <c r="AE499" s="12">
        <v>943000</v>
      </c>
      <c r="AF499" s="12">
        <v>541055</v>
      </c>
      <c r="AG499" s="12">
        <v>541055</v>
      </c>
      <c r="AH499" s="11">
        <v>4</v>
      </c>
      <c r="AI499" s="11">
        <v>3.85</v>
      </c>
      <c r="AJ499" s="13"/>
    </row>
    <row r="500" spans="1:36" x14ac:dyDescent="0.25">
      <c r="A500" t="str">
        <f>"491200"</f>
        <v>491200</v>
      </c>
      <c r="B500" t="s">
        <v>586</v>
      </c>
      <c r="C500" s="10">
        <v>23558945</v>
      </c>
      <c r="D500" s="10">
        <v>25630206</v>
      </c>
      <c r="E500" s="11">
        <v>8.7899999999999991</v>
      </c>
      <c r="F500" s="12">
        <v>6757949</v>
      </c>
      <c r="G500" s="12">
        <v>7320892</v>
      </c>
      <c r="H500" s="12"/>
      <c r="I500" s="12"/>
      <c r="J500" s="12"/>
      <c r="K500" s="12"/>
      <c r="L500" s="12"/>
      <c r="M500" s="12"/>
      <c r="N500" s="12">
        <v>6757949</v>
      </c>
      <c r="O500" s="12">
        <v>7320892</v>
      </c>
      <c r="P500" s="11">
        <v>8.33</v>
      </c>
      <c r="Q500" s="12">
        <v>1844983</v>
      </c>
      <c r="R500" s="12">
        <v>2335691</v>
      </c>
      <c r="S500" s="12">
        <v>4912966</v>
      </c>
      <c r="T500" s="12">
        <v>4985201</v>
      </c>
      <c r="U500" s="12">
        <v>4912966</v>
      </c>
      <c r="V500" s="12">
        <v>4985201</v>
      </c>
      <c r="W500" s="12">
        <v>0</v>
      </c>
      <c r="X500" s="12">
        <v>0</v>
      </c>
      <c r="Y500" s="12">
        <v>1171</v>
      </c>
      <c r="Z500" s="12">
        <v>1189</v>
      </c>
      <c r="AA500" s="11">
        <v>1.54</v>
      </c>
      <c r="AB500" s="12">
        <v>367768</v>
      </c>
      <c r="AC500" s="12">
        <v>367768</v>
      </c>
      <c r="AD500" s="12">
        <v>702350</v>
      </c>
      <c r="AE500" s="12">
        <v>105897</v>
      </c>
      <c r="AF500" s="12">
        <v>919503</v>
      </c>
      <c r="AG500" s="12">
        <v>0</v>
      </c>
      <c r="AH500" s="11">
        <v>3.9</v>
      </c>
      <c r="AI500" s="11">
        <v>0</v>
      </c>
      <c r="AJ500" s="13"/>
    </row>
    <row r="501" spans="1:36" x14ac:dyDescent="0.25">
      <c r="A501" t="str">
        <f>"131801"</f>
        <v>131801</v>
      </c>
      <c r="B501" t="s">
        <v>587</v>
      </c>
      <c r="C501" s="10">
        <v>33121397</v>
      </c>
      <c r="D501" s="10">
        <v>33920159</v>
      </c>
      <c r="E501" s="11">
        <v>2.41</v>
      </c>
      <c r="F501" s="12">
        <v>27912045</v>
      </c>
      <c r="G501" s="12">
        <v>28813229</v>
      </c>
      <c r="H501" s="12"/>
      <c r="I501" s="12"/>
      <c r="J501" s="12"/>
      <c r="K501" s="12"/>
      <c r="L501" s="12"/>
      <c r="M501" s="12"/>
      <c r="N501" s="12">
        <v>27912045</v>
      </c>
      <c r="O501" s="12">
        <v>28813229</v>
      </c>
      <c r="P501" s="11">
        <v>3.23</v>
      </c>
      <c r="Q501" s="12">
        <v>1013703</v>
      </c>
      <c r="R501" s="12">
        <v>1215231</v>
      </c>
      <c r="S501" s="12">
        <v>26441562</v>
      </c>
      <c r="T501" s="12">
        <v>27597998</v>
      </c>
      <c r="U501" s="12">
        <v>26898342</v>
      </c>
      <c r="V501" s="12">
        <v>27597998</v>
      </c>
      <c r="W501" s="12">
        <v>-456780</v>
      </c>
      <c r="X501" s="12">
        <v>0</v>
      </c>
      <c r="Y501" s="12">
        <v>1013</v>
      </c>
      <c r="Z501" s="12">
        <v>1015</v>
      </c>
      <c r="AA501" s="11">
        <v>0.2</v>
      </c>
      <c r="AB501" s="12">
        <v>972530</v>
      </c>
      <c r="AC501" s="12">
        <v>701291</v>
      </c>
      <c r="AD501" s="12">
        <v>1080000</v>
      </c>
      <c r="AE501" s="12">
        <v>950000</v>
      </c>
      <c r="AF501" s="12">
        <v>365022</v>
      </c>
      <c r="AG501" s="12">
        <v>600000</v>
      </c>
      <c r="AH501" s="11">
        <v>1.1000000000000001</v>
      </c>
      <c r="AI501" s="11">
        <v>1.77</v>
      </c>
      <c r="AJ501" s="13"/>
    </row>
    <row r="502" spans="1:36" x14ac:dyDescent="0.25">
      <c r="A502" t="str">
        <f>"472001"</f>
        <v>472001</v>
      </c>
      <c r="B502" t="s">
        <v>588</v>
      </c>
      <c r="C502" s="10">
        <v>11750699</v>
      </c>
      <c r="D502" s="10">
        <v>12141231</v>
      </c>
      <c r="E502" s="11">
        <v>3.32</v>
      </c>
      <c r="F502" s="12">
        <v>3391437</v>
      </c>
      <c r="G502" s="12">
        <v>3458927</v>
      </c>
      <c r="H502" s="12" t="s">
        <v>95</v>
      </c>
      <c r="I502" s="12" t="s">
        <v>95</v>
      </c>
      <c r="J502" s="12"/>
      <c r="K502" s="12"/>
      <c r="L502" s="12"/>
      <c r="M502" s="12"/>
      <c r="N502" s="12">
        <v>3391437</v>
      </c>
      <c r="O502" s="12">
        <v>3458927</v>
      </c>
      <c r="P502" s="11">
        <v>1.99</v>
      </c>
      <c r="Q502" s="12">
        <v>52688</v>
      </c>
      <c r="R502" s="12">
        <v>46480</v>
      </c>
      <c r="S502" s="12">
        <v>3372612</v>
      </c>
      <c r="T502" s="12">
        <v>3412542</v>
      </c>
      <c r="U502" s="12">
        <v>3338749</v>
      </c>
      <c r="V502" s="12">
        <v>3412447</v>
      </c>
      <c r="W502" s="12">
        <v>33863</v>
      </c>
      <c r="X502" s="12">
        <v>95</v>
      </c>
      <c r="Y502" s="12">
        <v>437</v>
      </c>
      <c r="Z502" s="12">
        <v>438</v>
      </c>
      <c r="AA502" s="11">
        <v>0.23</v>
      </c>
      <c r="AB502" s="12">
        <v>2250802</v>
      </c>
      <c r="AC502" s="12">
        <v>1213608</v>
      </c>
      <c r="AD502" s="12">
        <v>897940</v>
      </c>
      <c r="AE502" s="12">
        <v>950000</v>
      </c>
      <c r="AF502" s="12">
        <v>192654</v>
      </c>
      <c r="AG502" s="12">
        <v>485650</v>
      </c>
      <c r="AH502" s="11">
        <v>1.64</v>
      </c>
      <c r="AI502" s="11">
        <v>4</v>
      </c>
      <c r="AJ502" s="13"/>
    </row>
    <row r="503" spans="1:36" x14ac:dyDescent="0.25">
      <c r="A503" t="str">
        <f>"062401"</f>
        <v>062401</v>
      </c>
      <c r="B503" t="s">
        <v>589</v>
      </c>
      <c r="C503" s="10">
        <v>9154039</v>
      </c>
      <c r="D503" s="10">
        <v>9209270</v>
      </c>
      <c r="E503" s="11">
        <v>0.6</v>
      </c>
      <c r="F503" s="12">
        <v>1861491</v>
      </c>
      <c r="G503" s="12">
        <v>1985598</v>
      </c>
      <c r="H503" s="12"/>
      <c r="I503" s="12"/>
      <c r="J503" s="12"/>
      <c r="K503" s="12"/>
      <c r="L503" s="12"/>
      <c r="M503" s="12"/>
      <c r="N503" s="12">
        <v>1861491</v>
      </c>
      <c r="O503" s="12">
        <v>1985598</v>
      </c>
      <c r="P503" s="11">
        <v>6.67</v>
      </c>
      <c r="Q503" s="12">
        <v>0</v>
      </c>
      <c r="R503" s="12">
        <v>0</v>
      </c>
      <c r="S503" s="12">
        <v>1943637</v>
      </c>
      <c r="T503" s="12">
        <v>1986078</v>
      </c>
      <c r="U503" s="12">
        <v>1861491</v>
      </c>
      <c r="V503" s="12">
        <v>1985598</v>
      </c>
      <c r="W503" s="12">
        <v>82146</v>
      </c>
      <c r="X503" s="12">
        <v>480</v>
      </c>
      <c r="Y503" s="12">
        <v>338</v>
      </c>
      <c r="Z503" s="12">
        <v>333</v>
      </c>
      <c r="AA503" s="11">
        <v>-1.48</v>
      </c>
      <c r="AB503" s="12">
        <v>1427797</v>
      </c>
      <c r="AC503" s="12">
        <v>1212797</v>
      </c>
      <c r="AD503" s="12">
        <v>85179</v>
      </c>
      <c r="AE503" s="12">
        <v>215000</v>
      </c>
      <c r="AF503" s="12">
        <v>624420</v>
      </c>
      <c r="AG503" s="12">
        <v>368371</v>
      </c>
      <c r="AH503" s="11">
        <v>6.82</v>
      </c>
      <c r="AI503" s="11">
        <v>4</v>
      </c>
      <c r="AJ503" s="13"/>
    </row>
    <row r="504" spans="1:36" x14ac:dyDescent="0.25">
      <c r="A504" t="str">
        <f>"580602"</f>
        <v>580602</v>
      </c>
      <c r="B504" t="s">
        <v>590</v>
      </c>
      <c r="C504" s="10">
        <v>136388547</v>
      </c>
      <c r="D504" s="10">
        <v>140380950</v>
      </c>
      <c r="E504" s="11">
        <v>2.93</v>
      </c>
      <c r="F504" s="12">
        <v>101357047</v>
      </c>
      <c r="G504" s="12">
        <v>102280638</v>
      </c>
      <c r="H504" s="12"/>
      <c r="I504" s="12"/>
      <c r="J504" s="12"/>
      <c r="K504" s="12"/>
      <c r="L504" s="12"/>
      <c r="M504" s="12"/>
      <c r="N504" s="12">
        <v>101357047</v>
      </c>
      <c r="O504" s="12">
        <v>102280638</v>
      </c>
      <c r="P504" s="11">
        <v>0.91</v>
      </c>
      <c r="Q504" s="12">
        <v>6137556</v>
      </c>
      <c r="R504" s="12">
        <v>4539754</v>
      </c>
      <c r="S504" s="12">
        <v>95219509</v>
      </c>
      <c r="T504" s="12">
        <v>97740903</v>
      </c>
      <c r="U504" s="12">
        <v>95219491</v>
      </c>
      <c r="V504" s="12">
        <v>97740884</v>
      </c>
      <c r="W504" s="12">
        <v>18</v>
      </c>
      <c r="X504" s="12">
        <v>19</v>
      </c>
      <c r="Y504" s="12">
        <v>5606</v>
      </c>
      <c r="Z504" s="12">
        <v>5725</v>
      </c>
      <c r="AA504" s="11">
        <v>2.12</v>
      </c>
      <c r="AB504" s="12">
        <v>10141610</v>
      </c>
      <c r="AC504" s="12">
        <v>9074508</v>
      </c>
      <c r="AD504" s="12">
        <v>1750000</v>
      </c>
      <c r="AE504" s="12">
        <v>1650000</v>
      </c>
      <c r="AF504" s="12">
        <v>5455542</v>
      </c>
      <c r="AG504" s="12">
        <v>4456383</v>
      </c>
      <c r="AH504" s="11">
        <v>4</v>
      </c>
      <c r="AI504" s="11">
        <v>3.17</v>
      </c>
      <c r="AJ504" s="13"/>
    </row>
    <row r="505" spans="1:36" x14ac:dyDescent="0.25">
      <c r="A505" t="str">
        <f>"280221"</f>
        <v>280221</v>
      </c>
      <c r="B505" t="s">
        <v>591</v>
      </c>
      <c r="C505" s="10">
        <v>112682073</v>
      </c>
      <c r="D505" s="10">
        <v>117152642</v>
      </c>
      <c r="E505" s="11">
        <v>3.97</v>
      </c>
      <c r="F505" s="12">
        <v>92500000</v>
      </c>
      <c r="G505" s="12">
        <v>95252568</v>
      </c>
      <c r="H505" s="12"/>
      <c r="I505" s="12"/>
      <c r="J505" s="12"/>
      <c r="K505" s="12"/>
      <c r="L505" s="12"/>
      <c r="M505" s="12"/>
      <c r="N505" s="12">
        <v>92500000</v>
      </c>
      <c r="O505" s="12">
        <v>95252568</v>
      </c>
      <c r="P505" s="11">
        <v>2.98</v>
      </c>
      <c r="Q505" s="12">
        <v>3266762</v>
      </c>
      <c r="R505" s="12">
        <v>3760431</v>
      </c>
      <c r="S505" s="12">
        <v>89244083</v>
      </c>
      <c r="T505" s="12">
        <v>91544282</v>
      </c>
      <c r="U505" s="12">
        <v>89233238</v>
      </c>
      <c r="V505" s="12">
        <v>91492137</v>
      </c>
      <c r="W505" s="12">
        <v>10845</v>
      </c>
      <c r="X505" s="12">
        <v>52145</v>
      </c>
      <c r="Y505" s="12">
        <v>3565</v>
      </c>
      <c r="Z505" s="12">
        <v>3555</v>
      </c>
      <c r="AA505" s="11">
        <v>-0.28000000000000003</v>
      </c>
      <c r="AB505" s="12">
        <v>5043714</v>
      </c>
      <c r="AC505" s="12">
        <v>5112192</v>
      </c>
      <c r="AD505" s="12">
        <v>2800000</v>
      </c>
      <c r="AE505" s="12">
        <v>2800000</v>
      </c>
      <c r="AF505" s="12">
        <v>3284375</v>
      </c>
      <c r="AG505" s="12">
        <v>3460897</v>
      </c>
      <c r="AH505" s="11">
        <v>2.91</v>
      </c>
      <c r="AI505" s="11">
        <v>2.95</v>
      </c>
      <c r="AJ505" s="13"/>
    </row>
    <row r="506" spans="1:36" x14ac:dyDescent="0.25">
      <c r="A506" t="str">
        <f>"580209"</f>
        <v>580209</v>
      </c>
      <c r="B506" t="s">
        <v>592</v>
      </c>
      <c r="C506" s="10">
        <v>83286346</v>
      </c>
      <c r="D506" s="10">
        <v>86128785</v>
      </c>
      <c r="E506" s="11">
        <v>3.41</v>
      </c>
      <c r="F506" s="12">
        <v>49629259</v>
      </c>
      <c r="G506" s="12">
        <v>51166218</v>
      </c>
      <c r="H506" s="12"/>
      <c r="I506" s="12"/>
      <c r="J506" s="12"/>
      <c r="K506" s="12"/>
      <c r="L506" s="12"/>
      <c r="M506" s="12"/>
      <c r="N506" s="12">
        <v>49629259</v>
      </c>
      <c r="O506" s="12">
        <v>51166218</v>
      </c>
      <c r="P506" s="11">
        <v>3.1</v>
      </c>
      <c r="Q506" s="12">
        <v>755914</v>
      </c>
      <c r="R506" s="12">
        <v>1128105</v>
      </c>
      <c r="S506" s="12">
        <v>48873345</v>
      </c>
      <c r="T506" s="12">
        <v>50038113</v>
      </c>
      <c r="U506" s="12">
        <v>48873345</v>
      </c>
      <c r="V506" s="12">
        <v>50038113</v>
      </c>
      <c r="W506" s="12">
        <v>0</v>
      </c>
      <c r="X506" s="12">
        <v>0</v>
      </c>
      <c r="Y506" s="12">
        <v>3159</v>
      </c>
      <c r="Z506" s="12">
        <v>3096</v>
      </c>
      <c r="AA506" s="11">
        <v>-1.99</v>
      </c>
      <c r="AB506" s="12">
        <v>18413037</v>
      </c>
      <c r="AC506" s="12">
        <v>18000000</v>
      </c>
      <c r="AD506" s="12">
        <v>2105309</v>
      </c>
      <c r="AE506" s="12">
        <v>2183000</v>
      </c>
      <c r="AF506" s="12">
        <v>3331453</v>
      </c>
      <c r="AG506" s="12">
        <v>3445000</v>
      </c>
      <c r="AH506" s="11">
        <v>4</v>
      </c>
      <c r="AI506" s="11">
        <v>4</v>
      </c>
      <c r="AJ506" s="13"/>
    </row>
    <row r="507" spans="1:36" x14ac:dyDescent="0.25">
      <c r="A507" t="str">
        <f>"411800"</f>
        <v>411800</v>
      </c>
      <c r="B507" t="s">
        <v>593</v>
      </c>
      <c r="C507" s="10">
        <v>115320834</v>
      </c>
      <c r="D507" s="10">
        <v>117909331</v>
      </c>
      <c r="E507" s="11">
        <v>2.2400000000000002</v>
      </c>
      <c r="F507" s="12">
        <v>32657936</v>
      </c>
      <c r="G507" s="12">
        <v>33951190</v>
      </c>
      <c r="H507" s="12"/>
      <c r="I507" s="12"/>
      <c r="J507" s="12"/>
      <c r="K507" s="12"/>
      <c r="L507" s="12"/>
      <c r="M507" s="12"/>
      <c r="N507" s="12">
        <v>32657936</v>
      </c>
      <c r="O507" s="12">
        <v>33951190</v>
      </c>
      <c r="P507" s="11">
        <v>3.96</v>
      </c>
      <c r="Q507" s="12">
        <v>42854</v>
      </c>
      <c r="R507" s="12">
        <v>63712</v>
      </c>
      <c r="S507" s="12">
        <v>33260721</v>
      </c>
      <c r="T507" s="12">
        <v>33962168</v>
      </c>
      <c r="U507" s="12">
        <v>32615082</v>
      </c>
      <c r="V507" s="12">
        <v>33887478</v>
      </c>
      <c r="W507" s="12">
        <v>645639</v>
      </c>
      <c r="X507" s="12">
        <v>74690</v>
      </c>
      <c r="Y507" s="12">
        <v>5434</v>
      </c>
      <c r="Z507" s="12">
        <v>5643</v>
      </c>
      <c r="AA507" s="11">
        <v>3.85</v>
      </c>
      <c r="AB507" s="12">
        <v>2861861</v>
      </c>
      <c r="AC507" s="12">
        <v>3447387</v>
      </c>
      <c r="AD507" s="12">
        <v>6556103</v>
      </c>
      <c r="AE507" s="12">
        <v>4375000</v>
      </c>
      <c r="AF507" s="12">
        <v>4920796</v>
      </c>
      <c r="AG507" s="12">
        <v>4716373</v>
      </c>
      <c r="AH507" s="11">
        <v>4.2699999999999996</v>
      </c>
      <c r="AI507" s="11">
        <v>4</v>
      </c>
      <c r="AJ507" s="13"/>
    </row>
    <row r="508" spans="1:36" x14ac:dyDescent="0.25">
      <c r="A508" t="str">
        <f>"560603"</f>
        <v>560603</v>
      </c>
      <c r="B508" t="s">
        <v>594</v>
      </c>
      <c r="C508" s="10">
        <v>11861167</v>
      </c>
      <c r="D508" s="10">
        <v>11994823</v>
      </c>
      <c r="E508" s="11">
        <v>1.1299999999999999</v>
      </c>
      <c r="F508" s="12">
        <v>5649658</v>
      </c>
      <c r="G508" s="12">
        <v>5700505</v>
      </c>
      <c r="H508" s="12" t="s">
        <v>95</v>
      </c>
      <c r="I508" s="12"/>
      <c r="J508" s="12"/>
      <c r="K508" s="12"/>
      <c r="L508" s="12"/>
      <c r="M508" s="12"/>
      <c r="N508" s="12">
        <v>5649658</v>
      </c>
      <c r="O508" s="12">
        <v>5700505</v>
      </c>
      <c r="P508" s="11">
        <v>0.9</v>
      </c>
      <c r="Q508" s="12">
        <v>108960</v>
      </c>
      <c r="R508" s="12">
        <v>78491</v>
      </c>
      <c r="S508" s="12">
        <v>5543637</v>
      </c>
      <c r="T508" s="12">
        <v>5687296</v>
      </c>
      <c r="U508" s="12">
        <v>5540698</v>
      </c>
      <c r="V508" s="12">
        <v>5622014</v>
      </c>
      <c r="W508" s="12">
        <v>2939</v>
      </c>
      <c r="X508" s="12">
        <v>65282</v>
      </c>
      <c r="Y508" s="12">
        <v>395</v>
      </c>
      <c r="Z508" s="12">
        <v>400</v>
      </c>
      <c r="AA508" s="11">
        <v>1.27</v>
      </c>
      <c r="AB508" s="12">
        <v>2218581</v>
      </c>
      <c r="AC508" s="12">
        <v>2400000</v>
      </c>
      <c r="AD508" s="12">
        <v>57478</v>
      </c>
      <c r="AE508" s="12">
        <v>60000</v>
      </c>
      <c r="AF508" s="12">
        <v>474447</v>
      </c>
      <c r="AG508" s="12">
        <v>479793</v>
      </c>
      <c r="AH508" s="11">
        <v>4</v>
      </c>
      <c r="AI508" s="11">
        <v>4</v>
      </c>
      <c r="AJ508" s="13"/>
    </row>
    <row r="509" spans="1:36" x14ac:dyDescent="0.25">
      <c r="A509" t="str">
        <f>"620901"</f>
        <v>620901</v>
      </c>
      <c r="B509" t="s">
        <v>595</v>
      </c>
      <c r="C509" s="10">
        <v>63385211</v>
      </c>
      <c r="D509" s="10">
        <v>64305841</v>
      </c>
      <c r="E509" s="11">
        <v>1.45</v>
      </c>
      <c r="F509" s="12">
        <v>35158236</v>
      </c>
      <c r="G509" s="12">
        <v>35791084</v>
      </c>
      <c r="H509" s="12"/>
      <c r="I509" s="12"/>
      <c r="J509" s="12"/>
      <c r="K509" s="12"/>
      <c r="L509" s="12"/>
      <c r="M509" s="12"/>
      <c r="N509" s="12">
        <v>35158236</v>
      </c>
      <c r="O509" s="12">
        <v>35791084</v>
      </c>
      <c r="P509" s="11">
        <v>1.8</v>
      </c>
      <c r="Q509" s="12">
        <v>776640</v>
      </c>
      <c r="R509" s="12">
        <v>540897</v>
      </c>
      <c r="S509" s="12">
        <v>35825530</v>
      </c>
      <c r="T509" s="12">
        <v>35456531</v>
      </c>
      <c r="U509" s="12">
        <v>34381596</v>
      </c>
      <c r="V509" s="12">
        <v>35250187</v>
      </c>
      <c r="W509" s="12">
        <v>1443934</v>
      </c>
      <c r="X509" s="12">
        <v>206344</v>
      </c>
      <c r="Y509" s="12">
        <v>1956</v>
      </c>
      <c r="Z509" s="12">
        <v>1924</v>
      </c>
      <c r="AA509" s="11">
        <v>-1.64</v>
      </c>
      <c r="AB509" s="12">
        <v>1715341</v>
      </c>
      <c r="AC509" s="12">
        <v>2149038</v>
      </c>
      <c r="AD509" s="12">
        <v>3616972</v>
      </c>
      <c r="AE509" s="12">
        <v>4140787</v>
      </c>
      <c r="AF509" s="12">
        <v>2102039</v>
      </c>
      <c r="AG509" s="12">
        <v>2323176</v>
      </c>
      <c r="AH509" s="11">
        <v>3.32</v>
      </c>
      <c r="AI509" s="11">
        <v>3.61</v>
      </c>
      <c r="AJ509" s="13"/>
    </row>
    <row r="510" spans="1:36" x14ac:dyDescent="0.25">
      <c r="A510" t="str">
        <f>"280208"</f>
        <v>280208</v>
      </c>
      <c r="B510" t="s">
        <v>596</v>
      </c>
      <c r="C510" s="10">
        <v>99272698</v>
      </c>
      <c r="D510" s="10">
        <v>103088877</v>
      </c>
      <c r="E510" s="11">
        <v>3.84</v>
      </c>
      <c r="F510" s="12">
        <v>21833396</v>
      </c>
      <c r="G510" s="12">
        <v>22255793</v>
      </c>
      <c r="H510" s="12"/>
      <c r="I510" s="12"/>
      <c r="J510" s="12"/>
      <c r="K510" s="12"/>
      <c r="L510" s="12"/>
      <c r="M510" s="12"/>
      <c r="N510" s="12">
        <v>21833396</v>
      </c>
      <c r="O510" s="12">
        <v>22255793</v>
      </c>
      <c r="P510" s="11">
        <v>1.93</v>
      </c>
      <c r="Q510" s="12">
        <v>0</v>
      </c>
      <c r="R510" s="12">
        <v>0</v>
      </c>
      <c r="S510" s="12">
        <v>22084790</v>
      </c>
      <c r="T510" s="12">
        <v>22554625</v>
      </c>
      <c r="U510" s="12">
        <v>21833396</v>
      </c>
      <c r="V510" s="12">
        <v>22255793</v>
      </c>
      <c r="W510" s="12">
        <v>251394</v>
      </c>
      <c r="X510" s="12">
        <v>298832</v>
      </c>
      <c r="Y510" s="12">
        <v>3302</v>
      </c>
      <c r="Z510" s="12">
        <v>3350</v>
      </c>
      <c r="AA510" s="11">
        <v>1.45</v>
      </c>
      <c r="AB510" s="12">
        <v>16082624</v>
      </c>
      <c r="AC510" s="12">
        <v>13017728</v>
      </c>
      <c r="AD510" s="12">
        <v>2875000</v>
      </c>
      <c r="AE510" s="12">
        <v>3019000</v>
      </c>
      <c r="AF510" s="12">
        <v>3270912</v>
      </c>
      <c r="AG510" s="12">
        <v>3126912</v>
      </c>
      <c r="AH510" s="11">
        <v>3.29</v>
      </c>
      <c r="AI510" s="11">
        <v>3.03</v>
      </c>
      <c r="AJ510" s="13"/>
    </row>
    <row r="511" spans="1:36" x14ac:dyDescent="0.25">
      <c r="A511" t="str">
        <f>"591301"</f>
        <v>591301</v>
      </c>
      <c r="B511" t="s">
        <v>597</v>
      </c>
      <c r="C511" s="10">
        <v>8843308</v>
      </c>
      <c r="D511" s="10">
        <v>9163473</v>
      </c>
      <c r="E511" s="11">
        <v>3.62</v>
      </c>
      <c r="F511" s="12">
        <v>5020328</v>
      </c>
      <c r="G511" s="12">
        <v>5144724</v>
      </c>
      <c r="H511" s="12"/>
      <c r="I511" s="12"/>
      <c r="J511" s="12"/>
      <c r="K511" s="12"/>
      <c r="L511" s="12"/>
      <c r="M511" s="12"/>
      <c r="N511" s="12">
        <v>5020328</v>
      </c>
      <c r="O511" s="12">
        <v>5144724</v>
      </c>
      <c r="P511" s="11">
        <v>2.48</v>
      </c>
      <c r="Q511" s="12">
        <v>139517</v>
      </c>
      <c r="R511" s="12">
        <v>145212</v>
      </c>
      <c r="S511" s="12">
        <v>4880811</v>
      </c>
      <c r="T511" s="12">
        <v>4999512</v>
      </c>
      <c r="U511" s="12">
        <v>4880811</v>
      </c>
      <c r="V511" s="12">
        <v>4999512</v>
      </c>
      <c r="W511" s="12">
        <v>0</v>
      </c>
      <c r="X511" s="12">
        <v>0</v>
      </c>
      <c r="Y511" s="12">
        <v>254</v>
      </c>
      <c r="Z511" s="12">
        <v>250</v>
      </c>
      <c r="AA511" s="11">
        <v>-1.57</v>
      </c>
      <c r="AB511" s="12">
        <v>727961</v>
      </c>
      <c r="AC511" s="12">
        <v>896748</v>
      </c>
      <c r="AD511" s="12">
        <v>345000</v>
      </c>
      <c r="AE511" s="12">
        <v>345000</v>
      </c>
      <c r="AF511" s="12">
        <v>353732</v>
      </c>
      <c r="AG511" s="12">
        <v>366539</v>
      </c>
      <c r="AH511" s="11">
        <v>4</v>
      </c>
      <c r="AI511" s="11">
        <v>4</v>
      </c>
      <c r="AJ511" s="13"/>
    </row>
    <row r="512" spans="1:36" x14ac:dyDescent="0.25">
      <c r="A512" t="str">
        <f>"280403"</f>
        <v>280403</v>
      </c>
      <c r="B512" t="s">
        <v>598</v>
      </c>
      <c r="C512" s="10">
        <v>107181298</v>
      </c>
      <c r="D512" s="10">
        <v>109959967</v>
      </c>
      <c r="E512" s="11">
        <v>2.59</v>
      </c>
      <c r="F512" s="12">
        <v>91620879</v>
      </c>
      <c r="G512" s="12">
        <v>93199626</v>
      </c>
      <c r="H512" s="12"/>
      <c r="I512" s="12"/>
      <c r="J512" s="12"/>
      <c r="K512" s="12"/>
      <c r="L512" s="12"/>
      <c r="M512" s="12"/>
      <c r="N512" s="12">
        <v>91620879</v>
      </c>
      <c r="O512" s="12">
        <v>93199626</v>
      </c>
      <c r="P512" s="11">
        <v>1.72</v>
      </c>
      <c r="Q512" s="12">
        <v>3882353</v>
      </c>
      <c r="R512" s="12">
        <v>3865328</v>
      </c>
      <c r="S512" s="12">
        <v>88592849</v>
      </c>
      <c r="T512" s="12">
        <v>91018545</v>
      </c>
      <c r="U512" s="12">
        <v>87738526</v>
      </c>
      <c r="V512" s="12">
        <v>89334298</v>
      </c>
      <c r="W512" s="12">
        <v>854323</v>
      </c>
      <c r="X512" s="12">
        <v>1684247</v>
      </c>
      <c r="Y512" s="12">
        <v>3133</v>
      </c>
      <c r="Z512" s="12">
        <v>3100</v>
      </c>
      <c r="AA512" s="11">
        <v>-1.05</v>
      </c>
      <c r="AB512" s="12">
        <v>20635813</v>
      </c>
      <c r="AC512" s="12">
        <v>20114546</v>
      </c>
      <c r="AD512" s="12">
        <v>300000</v>
      </c>
      <c r="AE512" s="12">
        <v>100000</v>
      </c>
      <c r="AF512" s="12">
        <v>4287251</v>
      </c>
      <c r="AG512" s="12">
        <v>4398290</v>
      </c>
      <c r="AH512" s="11">
        <v>4</v>
      </c>
      <c r="AI512" s="11">
        <v>4</v>
      </c>
      <c r="AJ512" s="13"/>
    </row>
    <row r="513" spans="1:36" x14ac:dyDescent="0.25">
      <c r="A513" t="str">
        <f>"530515"</f>
        <v>530515</v>
      </c>
      <c r="B513" t="s">
        <v>599</v>
      </c>
      <c r="C513" s="10">
        <v>50940000</v>
      </c>
      <c r="D513" s="10">
        <v>53065000</v>
      </c>
      <c r="E513" s="11">
        <v>4.17</v>
      </c>
      <c r="F513" s="12">
        <v>26472475</v>
      </c>
      <c r="G513" s="12">
        <v>27322621</v>
      </c>
      <c r="H513" s="12"/>
      <c r="I513" s="12"/>
      <c r="J513" s="12"/>
      <c r="K513" s="12"/>
      <c r="L513" s="12"/>
      <c r="M513" s="12"/>
      <c r="N513" s="12">
        <v>26472475</v>
      </c>
      <c r="O513" s="12">
        <v>27322621</v>
      </c>
      <c r="P513" s="11">
        <v>3.21</v>
      </c>
      <c r="Q513" s="12">
        <v>953989</v>
      </c>
      <c r="R513" s="12">
        <v>1180357</v>
      </c>
      <c r="S513" s="12">
        <v>25518486</v>
      </c>
      <c r="T513" s="12">
        <v>26142264</v>
      </c>
      <c r="U513" s="12">
        <v>25518486</v>
      </c>
      <c r="V513" s="12">
        <v>26142264</v>
      </c>
      <c r="W513" s="12">
        <v>0</v>
      </c>
      <c r="X513" s="12">
        <v>0</v>
      </c>
      <c r="Y513" s="12">
        <v>2816</v>
      </c>
      <c r="Z513" s="12">
        <v>2875</v>
      </c>
      <c r="AA513" s="11">
        <v>2.1</v>
      </c>
      <c r="AB513" s="12">
        <v>3727236</v>
      </c>
      <c r="AC513" s="12">
        <v>2842236</v>
      </c>
      <c r="AD513" s="12">
        <v>1150000</v>
      </c>
      <c r="AE513" s="12">
        <v>1200000</v>
      </c>
      <c r="AF513" s="12">
        <v>2037600</v>
      </c>
      <c r="AG513" s="12">
        <v>2122600</v>
      </c>
      <c r="AH513" s="11">
        <v>4</v>
      </c>
      <c r="AI513" s="11">
        <v>4</v>
      </c>
      <c r="AJ513" s="13"/>
    </row>
    <row r="514" spans="1:36" x14ac:dyDescent="0.25">
      <c r="A514" t="str">
        <f>"121502"</f>
        <v>121502</v>
      </c>
      <c r="B514" t="s">
        <v>600</v>
      </c>
      <c r="C514" s="10">
        <v>10015545</v>
      </c>
      <c r="D514" s="10">
        <v>10075890</v>
      </c>
      <c r="E514" s="11">
        <v>0.6</v>
      </c>
      <c r="F514" s="12">
        <v>5916313</v>
      </c>
      <c r="G514" s="12">
        <v>6004991</v>
      </c>
      <c r="H514" s="12"/>
      <c r="I514" s="12"/>
      <c r="J514" s="12"/>
      <c r="K514" s="12"/>
      <c r="L514" s="12"/>
      <c r="M514" s="12"/>
      <c r="N514" s="12">
        <v>5916313</v>
      </c>
      <c r="O514" s="12">
        <v>6004991</v>
      </c>
      <c r="P514" s="11">
        <v>1.5</v>
      </c>
      <c r="Q514" s="12">
        <v>0</v>
      </c>
      <c r="R514" s="12">
        <v>0</v>
      </c>
      <c r="S514" s="12">
        <v>6114457</v>
      </c>
      <c r="T514" s="12">
        <v>6139237</v>
      </c>
      <c r="U514" s="12">
        <v>5916313</v>
      </c>
      <c r="V514" s="12">
        <v>6004991</v>
      </c>
      <c r="W514" s="12">
        <v>198144</v>
      </c>
      <c r="X514" s="12">
        <v>134246</v>
      </c>
      <c r="Y514" s="12">
        <v>304</v>
      </c>
      <c r="Z514" s="12">
        <v>282</v>
      </c>
      <c r="AA514" s="11">
        <v>-7.24</v>
      </c>
      <c r="AB514" s="12">
        <v>3391882</v>
      </c>
      <c r="AC514" s="12">
        <v>3707042</v>
      </c>
      <c r="AD514" s="12">
        <v>365000</v>
      </c>
      <c r="AE514" s="12">
        <v>372725</v>
      </c>
      <c r="AF514" s="12">
        <v>401000</v>
      </c>
      <c r="AG514" s="12">
        <v>403000</v>
      </c>
      <c r="AH514" s="11">
        <v>4</v>
      </c>
      <c r="AI514" s="11">
        <v>4</v>
      </c>
      <c r="AJ514" s="13"/>
    </row>
    <row r="515" spans="1:36" x14ac:dyDescent="0.25">
      <c r="A515" t="str">
        <f>"401201"</f>
        <v>401201</v>
      </c>
      <c r="B515" t="s">
        <v>601</v>
      </c>
      <c r="C515" s="10">
        <v>24370204</v>
      </c>
      <c r="D515" s="10">
        <v>25593606</v>
      </c>
      <c r="E515" s="11">
        <v>5.0199999999999996</v>
      </c>
      <c r="F515" s="12">
        <v>9950098</v>
      </c>
      <c r="G515" s="12">
        <v>10169000</v>
      </c>
      <c r="H515" s="12"/>
      <c r="I515" s="12"/>
      <c r="J515" s="12"/>
      <c r="K515" s="12"/>
      <c r="L515" s="12"/>
      <c r="M515" s="12"/>
      <c r="N515" s="12">
        <v>9950098</v>
      </c>
      <c r="O515" s="12">
        <v>10169000</v>
      </c>
      <c r="P515" s="11">
        <v>2.2000000000000002</v>
      </c>
      <c r="Q515" s="12">
        <v>0</v>
      </c>
      <c r="R515" s="12">
        <v>0</v>
      </c>
      <c r="S515" s="12">
        <v>9964880</v>
      </c>
      <c r="T515" s="12">
        <v>10224515</v>
      </c>
      <c r="U515" s="12">
        <v>9950098</v>
      </c>
      <c r="V515" s="12">
        <v>10169000</v>
      </c>
      <c r="W515" s="12">
        <v>14782</v>
      </c>
      <c r="X515" s="12">
        <v>55515</v>
      </c>
      <c r="Y515" s="12">
        <v>1269</v>
      </c>
      <c r="Z515" s="12">
        <v>1245</v>
      </c>
      <c r="AA515" s="11">
        <v>-1.89</v>
      </c>
      <c r="AB515" s="12">
        <v>2563938</v>
      </c>
      <c r="AC515" s="12">
        <v>5276533</v>
      </c>
      <c r="AD515" s="12">
        <v>1044641</v>
      </c>
      <c r="AE515" s="12">
        <v>1600920</v>
      </c>
      <c r="AF515" s="12">
        <v>4417819</v>
      </c>
      <c r="AG515" s="12">
        <v>2254595</v>
      </c>
      <c r="AH515" s="11">
        <v>18.13</v>
      </c>
      <c r="AI515" s="11">
        <v>8.81</v>
      </c>
      <c r="AJ515" s="13"/>
    </row>
    <row r="516" spans="1:36" x14ac:dyDescent="0.25">
      <c r="A516" t="str">
        <f>"261701"</f>
        <v>261701</v>
      </c>
      <c r="B516" t="s">
        <v>602</v>
      </c>
      <c r="C516" s="10">
        <v>124717502</v>
      </c>
      <c r="D516" s="10">
        <v>127043033</v>
      </c>
      <c r="E516" s="11">
        <v>1.86</v>
      </c>
      <c r="F516" s="12">
        <v>74963252</v>
      </c>
      <c r="G516" s="12">
        <v>77613095</v>
      </c>
      <c r="H516" s="12"/>
      <c r="I516" s="12"/>
      <c r="J516" s="12"/>
      <c r="K516" s="12"/>
      <c r="L516" s="12"/>
      <c r="M516" s="12"/>
      <c r="N516" s="12">
        <v>74963252</v>
      </c>
      <c r="O516" s="12">
        <v>77613095</v>
      </c>
      <c r="P516" s="11">
        <v>3.53</v>
      </c>
      <c r="Q516" s="12">
        <v>0</v>
      </c>
      <c r="R516" s="12">
        <v>0</v>
      </c>
      <c r="S516" s="12">
        <v>74963252</v>
      </c>
      <c r="T516" s="12">
        <v>77613095</v>
      </c>
      <c r="U516" s="12">
        <v>74963252</v>
      </c>
      <c r="V516" s="12">
        <v>77613095</v>
      </c>
      <c r="W516" s="12">
        <v>0</v>
      </c>
      <c r="X516" s="12">
        <v>0</v>
      </c>
      <c r="Y516" s="12">
        <v>5339</v>
      </c>
      <c r="Z516" s="12">
        <v>5326</v>
      </c>
      <c r="AA516" s="11">
        <v>-0.24</v>
      </c>
      <c r="AB516" s="12">
        <v>19645823</v>
      </c>
      <c r="AC516" s="12">
        <v>18275823</v>
      </c>
      <c r="AD516" s="12">
        <v>2850000</v>
      </c>
      <c r="AE516" s="12">
        <v>2800000</v>
      </c>
      <c r="AF516" s="12">
        <v>4988700</v>
      </c>
      <c r="AG516" s="12">
        <v>5081721</v>
      </c>
      <c r="AH516" s="11">
        <v>4</v>
      </c>
      <c r="AI516" s="11">
        <v>4</v>
      </c>
      <c r="AJ516" s="13"/>
    </row>
    <row r="517" spans="1:36" x14ac:dyDescent="0.25">
      <c r="A517" t="str">
        <f>"661800"</f>
        <v>661800</v>
      </c>
      <c r="B517" t="s">
        <v>603</v>
      </c>
      <c r="C517" s="10">
        <v>86930075</v>
      </c>
      <c r="D517" s="10">
        <v>89249181</v>
      </c>
      <c r="E517" s="11">
        <v>2.67</v>
      </c>
      <c r="F517" s="12">
        <v>77527711</v>
      </c>
      <c r="G517" s="12">
        <v>79974181</v>
      </c>
      <c r="H517" s="12"/>
      <c r="I517" s="12"/>
      <c r="J517" s="12"/>
      <c r="K517" s="12"/>
      <c r="L517" s="12"/>
      <c r="M517" s="12"/>
      <c r="N517" s="12">
        <v>77527711</v>
      </c>
      <c r="O517" s="12">
        <v>79974181</v>
      </c>
      <c r="P517" s="11">
        <v>3.16</v>
      </c>
      <c r="Q517" s="12">
        <v>3946088</v>
      </c>
      <c r="R517" s="12">
        <v>3855374</v>
      </c>
      <c r="S517" s="12">
        <v>73581623</v>
      </c>
      <c r="T517" s="12">
        <v>76118807</v>
      </c>
      <c r="U517" s="12">
        <v>73581623</v>
      </c>
      <c r="V517" s="12">
        <v>76118807</v>
      </c>
      <c r="W517" s="12">
        <v>0</v>
      </c>
      <c r="X517" s="12">
        <v>0</v>
      </c>
      <c r="Y517" s="12">
        <v>3389</v>
      </c>
      <c r="Z517" s="12">
        <v>3352</v>
      </c>
      <c r="AA517" s="11">
        <v>-1.0900000000000001</v>
      </c>
      <c r="AB517" s="12">
        <v>8479588</v>
      </c>
      <c r="AC517" s="12">
        <v>8925055</v>
      </c>
      <c r="AD517" s="12">
        <v>3740950</v>
      </c>
      <c r="AE517" s="12">
        <v>3486850</v>
      </c>
      <c r="AF517" s="12">
        <v>3346839</v>
      </c>
      <c r="AG517" s="12">
        <v>3569967</v>
      </c>
      <c r="AH517" s="11">
        <v>3.85</v>
      </c>
      <c r="AI517" s="11">
        <v>4</v>
      </c>
      <c r="AJ517" s="13"/>
    </row>
    <row r="518" spans="1:36" x14ac:dyDescent="0.25">
      <c r="A518" t="str">
        <f>"661901"</f>
        <v>661901</v>
      </c>
      <c r="B518" t="s">
        <v>604</v>
      </c>
      <c r="C518" s="10">
        <v>40120000</v>
      </c>
      <c r="D518" s="10">
        <v>41374222</v>
      </c>
      <c r="E518" s="11">
        <v>3.13</v>
      </c>
      <c r="F518" s="12">
        <v>36205473</v>
      </c>
      <c r="G518" s="12">
        <v>37330588</v>
      </c>
      <c r="H518" s="12"/>
      <c r="I518" s="12"/>
      <c r="J518" s="12"/>
      <c r="K518" s="12"/>
      <c r="L518" s="12"/>
      <c r="M518" s="12"/>
      <c r="N518" s="12">
        <v>36205473</v>
      </c>
      <c r="O518" s="12">
        <v>37330588</v>
      </c>
      <c r="P518" s="11">
        <v>3.11</v>
      </c>
      <c r="Q518" s="12">
        <v>1106363</v>
      </c>
      <c r="R518" s="12">
        <v>1448251</v>
      </c>
      <c r="S518" s="12">
        <v>35099110</v>
      </c>
      <c r="T518" s="12">
        <v>35882337</v>
      </c>
      <c r="U518" s="12">
        <v>35099110</v>
      </c>
      <c r="V518" s="12">
        <v>35882337</v>
      </c>
      <c r="W518" s="12">
        <v>0</v>
      </c>
      <c r="X518" s="12">
        <v>0</v>
      </c>
      <c r="Y518" s="12">
        <v>1637</v>
      </c>
      <c r="Z518" s="12">
        <v>1613</v>
      </c>
      <c r="AA518" s="11">
        <v>-1.47</v>
      </c>
      <c r="AB518" s="12">
        <v>5230668</v>
      </c>
      <c r="AC518" s="12">
        <v>5305668</v>
      </c>
      <c r="AD518" s="12">
        <v>2024948</v>
      </c>
      <c r="AE518" s="12">
        <v>2000000</v>
      </c>
      <c r="AF518" s="12">
        <v>1604800</v>
      </c>
      <c r="AG518" s="12">
        <v>1654969</v>
      </c>
      <c r="AH518" s="11">
        <v>4</v>
      </c>
      <c r="AI518" s="11">
        <v>4</v>
      </c>
      <c r="AJ518" s="13"/>
    </row>
    <row r="519" spans="1:36" x14ac:dyDescent="0.25">
      <c r="A519" t="str">
        <f>"580205"</f>
        <v>580205</v>
      </c>
      <c r="B519" t="s">
        <v>605</v>
      </c>
      <c r="C519" s="10">
        <v>314191536</v>
      </c>
      <c r="D519" s="10">
        <v>322887319</v>
      </c>
      <c r="E519" s="11">
        <v>2.77</v>
      </c>
      <c r="F519" s="12">
        <v>177007200</v>
      </c>
      <c r="G519" s="12">
        <v>187157699</v>
      </c>
      <c r="H519" s="12"/>
      <c r="I519" s="12"/>
      <c r="J519" s="12"/>
      <c r="K519" s="12"/>
      <c r="L519" s="12"/>
      <c r="M519" s="12"/>
      <c r="N519" s="12">
        <v>177007200</v>
      </c>
      <c r="O519" s="12">
        <v>187157699</v>
      </c>
      <c r="P519" s="11">
        <v>5.73</v>
      </c>
      <c r="Q519" s="12">
        <v>4627155</v>
      </c>
      <c r="R519" s="12">
        <v>10985068</v>
      </c>
      <c r="S519" s="12">
        <v>172380045</v>
      </c>
      <c r="T519" s="12">
        <v>176172631</v>
      </c>
      <c r="U519" s="12">
        <v>172380045</v>
      </c>
      <c r="V519" s="12">
        <v>176172631</v>
      </c>
      <c r="W519" s="12">
        <v>0</v>
      </c>
      <c r="X519" s="12">
        <v>0</v>
      </c>
      <c r="Y519" s="12">
        <v>13156</v>
      </c>
      <c r="Z519" s="12">
        <v>12850</v>
      </c>
      <c r="AA519" s="11">
        <v>-2.33</v>
      </c>
      <c r="AB519" s="12">
        <v>12689186</v>
      </c>
      <c r="AC519" s="12">
        <v>17000000</v>
      </c>
      <c r="AD519" s="12">
        <v>0</v>
      </c>
      <c r="AE519" s="12">
        <v>0</v>
      </c>
      <c r="AF519" s="12">
        <v>12567661</v>
      </c>
      <c r="AG519" s="12">
        <v>12915493</v>
      </c>
      <c r="AH519" s="11">
        <v>4</v>
      </c>
      <c r="AI519" s="11">
        <v>4</v>
      </c>
      <c r="AJ519" s="13"/>
    </row>
    <row r="520" spans="1:36" x14ac:dyDescent="0.25">
      <c r="A520" t="str">
        <f>"221001"</f>
        <v>221001</v>
      </c>
      <c r="B520" t="s">
        <v>606</v>
      </c>
      <c r="C520" s="10">
        <v>8653070</v>
      </c>
      <c r="D520" s="10">
        <v>8799188</v>
      </c>
      <c r="E520" s="11">
        <v>1.69</v>
      </c>
      <c r="F520" s="12">
        <v>4061075</v>
      </c>
      <c r="G520" s="12">
        <v>4141281</v>
      </c>
      <c r="H520" s="12"/>
      <c r="I520" s="12"/>
      <c r="J520" s="12"/>
      <c r="K520" s="12"/>
      <c r="L520" s="12"/>
      <c r="M520" s="12"/>
      <c r="N520" s="12">
        <v>4061075</v>
      </c>
      <c r="O520" s="12">
        <v>4141281</v>
      </c>
      <c r="P520" s="11">
        <v>1.97</v>
      </c>
      <c r="Q520" s="12">
        <v>103687</v>
      </c>
      <c r="R520" s="12">
        <v>109748</v>
      </c>
      <c r="S520" s="12">
        <v>3971684</v>
      </c>
      <c r="T520" s="12">
        <v>4092694</v>
      </c>
      <c r="U520" s="12">
        <v>3957388</v>
      </c>
      <c r="V520" s="12">
        <v>4031533</v>
      </c>
      <c r="W520" s="12">
        <v>14296</v>
      </c>
      <c r="X520" s="12">
        <v>61161</v>
      </c>
      <c r="Y520" s="12">
        <v>442</v>
      </c>
      <c r="Z520" s="12">
        <v>445</v>
      </c>
      <c r="AA520" s="11">
        <v>0.68</v>
      </c>
      <c r="AB520" s="12">
        <v>21719</v>
      </c>
      <c r="AC520" s="12">
        <v>421752</v>
      </c>
      <c r="AD520" s="12">
        <v>410000</v>
      </c>
      <c r="AE520" s="12">
        <v>385000</v>
      </c>
      <c r="AF520" s="12">
        <v>577085</v>
      </c>
      <c r="AG520" s="12">
        <v>429059</v>
      </c>
      <c r="AH520" s="11">
        <v>6.67</v>
      </c>
      <c r="AI520" s="11">
        <v>4.88</v>
      </c>
      <c r="AJ520" s="13"/>
    </row>
    <row r="521" spans="1:36" x14ac:dyDescent="0.25">
      <c r="A521" t="str">
        <f>"580305"</f>
        <v>580305</v>
      </c>
      <c r="B521" t="s">
        <v>607</v>
      </c>
      <c r="C521" s="10">
        <v>39907110</v>
      </c>
      <c r="D521" s="10">
        <v>41880896</v>
      </c>
      <c r="E521" s="11">
        <v>4.95</v>
      </c>
      <c r="F521" s="12">
        <v>36288769</v>
      </c>
      <c r="G521" s="12">
        <v>37561140</v>
      </c>
      <c r="H521" s="12"/>
      <c r="I521" s="12"/>
      <c r="J521" s="12"/>
      <c r="K521" s="12"/>
      <c r="L521" s="12"/>
      <c r="M521" s="12"/>
      <c r="N521" s="12">
        <v>36288769</v>
      </c>
      <c r="O521" s="12">
        <v>37561140</v>
      </c>
      <c r="P521" s="11">
        <v>3.51</v>
      </c>
      <c r="Q521" s="12">
        <v>2014574</v>
      </c>
      <c r="R521" s="12">
        <v>1812485</v>
      </c>
      <c r="S521" s="12">
        <v>34405914</v>
      </c>
      <c r="T521" s="12">
        <v>35936161</v>
      </c>
      <c r="U521" s="12">
        <v>34274195</v>
      </c>
      <c r="V521" s="12">
        <v>35748655</v>
      </c>
      <c r="W521" s="12">
        <v>131719</v>
      </c>
      <c r="X521" s="12">
        <v>187506</v>
      </c>
      <c r="Y521" s="12">
        <v>952</v>
      </c>
      <c r="Z521" s="12">
        <v>955</v>
      </c>
      <c r="AA521" s="11">
        <v>0.32</v>
      </c>
      <c r="AB521" s="12">
        <v>10659874</v>
      </c>
      <c r="AC521" s="12">
        <v>9079900</v>
      </c>
      <c r="AD521" s="12">
        <v>499803</v>
      </c>
      <c r="AE521" s="12">
        <v>271622</v>
      </c>
      <c r="AF521" s="12">
        <v>1596281</v>
      </c>
      <c r="AG521" s="12">
        <v>1675235</v>
      </c>
      <c r="AH521" s="11">
        <v>4</v>
      </c>
      <c r="AI521" s="11">
        <v>4</v>
      </c>
      <c r="AJ521" s="13"/>
    </row>
    <row r="522" spans="1:36" x14ac:dyDescent="0.25">
      <c r="A522" s="16" t="str">
        <f>"043200"</f>
        <v>043200</v>
      </c>
      <c r="B522" s="16" t="s">
        <v>608</v>
      </c>
      <c r="C522" s="18">
        <v>31992550</v>
      </c>
      <c r="D522" s="18">
        <v>37141536</v>
      </c>
      <c r="E522" s="15">
        <v>16.09</v>
      </c>
      <c r="F522" s="19">
        <v>1152500</v>
      </c>
      <c r="G522" s="19">
        <v>250000</v>
      </c>
      <c r="H522" s="19"/>
      <c r="I522" s="19"/>
      <c r="J522" s="19"/>
      <c r="K522" s="19"/>
      <c r="L522" s="19"/>
      <c r="M522" s="19"/>
      <c r="N522" s="19">
        <v>1152500</v>
      </c>
      <c r="O522" s="19">
        <v>250000</v>
      </c>
      <c r="P522" s="15">
        <v>-78.31</v>
      </c>
      <c r="Q522" s="19">
        <v>0</v>
      </c>
      <c r="R522" s="19">
        <v>0</v>
      </c>
      <c r="S522" s="19">
        <v>1167117</v>
      </c>
      <c r="T522" s="19">
        <v>1176095</v>
      </c>
      <c r="U522" s="19">
        <v>1152500</v>
      </c>
      <c r="V522" s="19">
        <v>250000</v>
      </c>
      <c r="W522" s="19">
        <v>14617</v>
      </c>
      <c r="X522" s="19">
        <v>926095</v>
      </c>
      <c r="Y522" s="19">
        <v>1204</v>
      </c>
      <c r="Z522" s="19">
        <v>1279</v>
      </c>
      <c r="AA522" s="15">
        <v>6.23</v>
      </c>
      <c r="AB522" s="19">
        <v>7703998</v>
      </c>
      <c r="AC522" s="19">
        <v>6519374</v>
      </c>
      <c r="AD522" s="19">
        <v>1819155</v>
      </c>
      <c r="AE522" s="19">
        <v>11478902</v>
      </c>
      <c r="AF522" s="19">
        <v>19493994</v>
      </c>
      <c r="AG522" s="19">
        <v>15489498</v>
      </c>
      <c r="AH522" s="15">
        <v>60.93</v>
      </c>
      <c r="AI522" s="15">
        <v>41.7</v>
      </c>
      <c r="AJ522" s="13"/>
    </row>
    <row r="523" spans="1:36" x14ac:dyDescent="0.25">
      <c r="A523" t="str">
        <f>"641501"</f>
        <v>641501</v>
      </c>
      <c r="B523" t="s">
        <v>609</v>
      </c>
      <c r="C523" s="10">
        <v>12854667</v>
      </c>
      <c r="D523" s="10">
        <v>13314937</v>
      </c>
      <c r="E523" s="11">
        <v>3.58</v>
      </c>
      <c r="F523" s="12">
        <v>5026001</v>
      </c>
      <c r="G523" s="12">
        <v>5101395</v>
      </c>
      <c r="H523" s="12"/>
      <c r="I523" s="12"/>
      <c r="J523" s="12"/>
      <c r="K523" s="12"/>
      <c r="L523" s="12"/>
      <c r="M523" s="12"/>
      <c r="N523" s="12">
        <v>5026001</v>
      </c>
      <c r="O523" s="12">
        <v>5101395</v>
      </c>
      <c r="P523" s="11">
        <v>1.5</v>
      </c>
      <c r="Q523" s="12">
        <v>123240</v>
      </c>
      <c r="R523" s="12">
        <v>106767</v>
      </c>
      <c r="S523" s="12">
        <v>4968861</v>
      </c>
      <c r="T523" s="12">
        <v>5032305</v>
      </c>
      <c r="U523" s="12">
        <v>4902761</v>
      </c>
      <c r="V523" s="12">
        <v>4994628</v>
      </c>
      <c r="W523" s="12">
        <v>66100</v>
      </c>
      <c r="X523" s="12">
        <v>37677</v>
      </c>
      <c r="Y523" s="12">
        <v>573</v>
      </c>
      <c r="Z523" s="12">
        <v>575</v>
      </c>
      <c r="AA523" s="11">
        <v>0.35</v>
      </c>
      <c r="AB523" s="12">
        <v>1855000</v>
      </c>
      <c r="AC523" s="12">
        <v>380000</v>
      </c>
      <c r="AD523" s="12">
        <v>348544</v>
      </c>
      <c r="AE523" s="12">
        <v>365000</v>
      </c>
      <c r="AF523" s="12">
        <v>514186</v>
      </c>
      <c r="AG523" s="12">
        <v>532597</v>
      </c>
      <c r="AH523" s="11">
        <v>4</v>
      </c>
      <c r="AI523" s="11">
        <v>4</v>
      </c>
      <c r="AJ523" s="13"/>
    </row>
    <row r="524" spans="1:36" x14ac:dyDescent="0.25">
      <c r="A524" t="str">
        <f>"161201"</f>
        <v>161201</v>
      </c>
      <c r="B524" t="s">
        <v>610</v>
      </c>
      <c r="C524" s="10">
        <v>30851524</v>
      </c>
      <c r="D524" s="10">
        <v>32502021</v>
      </c>
      <c r="E524" s="11">
        <v>5.35</v>
      </c>
      <c r="F524" s="12">
        <v>2070291</v>
      </c>
      <c r="G524" s="12">
        <v>2070291</v>
      </c>
      <c r="H524" s="12"/>
      <c r="I524" s="12"/>
      <c r="J524" s="12"/>
      <c r="K524" s="12"/>
      <c r="L524" s="12"/>
      <c r="M524" s="12"/>
      <c r="N524" s="12">
        <v>2070291</v>
      </c>
      <c r="O524" s="12">
        <v>2070291</v>
      </c>
      <c r="P524" s="11">
        <v>0</v>
      </c>
      <c r="Q524" s="12">
        <v>0</v>
      </c>
      <c r="R524" s="12">
        <v>257677</v>
      </c>
      <c r="S524" s="12">
        <v>2072373</v>
      </c>
      <c r="T524" s="12">
        <v>2409044</v>
      </c>
      <c r="U524" s="12">
        <v>2070291</v>
      </c>
      <c r="V524" s="12">
        <v>1812614</v>
      </c>
      <c r="W524" s="12">
        <v>2082</v>
      </c>
      <c r="X524" s="12">
        <v>596430</v>
      </c>
      <c r="Y524" s="12">
        <v>1461</v>
      </c>
      <c r="Z524" s="12">
        <v>1475</v>
      </c>
      <c r="AA524" s="11">
        <v>0.96</v>
      </c>
      <c r="AB524" s="12">
        <v>807254</v>
      </c>
      <c r="AC524" s="12">
        <v>810000</v>
      </c>
      <c r="AD524" s="12">
        <v>527114</v>
      </c>
      <c r="AE524" s="12">
        <v>600000</v>
      </c>
      <c r="AF524" s="12">
        <v>10121058</v>
      </c>
      <c r="AG524" s="12">
        <v>9000000</v>
      </c>
      <c r="AH524" s="11">
        <v>32.81</v>
      </c>
      <c r="AI524" s="11">
        <v>27.69</v>
      </c>
      <c r="AJ524" s="13"/>
    </row>
    <row r="525" spans="1:36" x14ac:dyDescent="0.25">
      <c r="A525" t="str">
        <f>"461901"</f>
        <v>461901</v>
      </c>
      <c r="B525" t="s">
        <v>611</v>
      </c>
      <c r="C525" s="10">
        <v>23864502</v>
      </c>
      <c r="D525" s="10">
        <v>24539282</v>
      </c>
      <c r="E525" s="11">
        <v>2.83</v>
      </c>
      <c r="F525" s="12">
        <v>6310478</v>
      </c>
      <c r="G525" s="12">
        <v>6436688</v>
      </c>
      <c r="H525" s="12"/>
      <c r="I525" s="12"/>
      <c r="J525" s="12"/>
      <c r="K525" s="12"/>
      <c r="L525" s="12"/>
      <c r="M525" s="12"/>
      <c r="N525" s="12">
        <v>6310478</v>
      </c>
      <c r="O525" s="12">
        <v>6436688</v>
      </c>
      <c r="P525" s="11">
        <v>2</v>
      </c>
      <c r="Q525" s="12">
        <v>0</v>
      </c>
      <c r="R525" s="12">
        <v>0</v>
      </c>
      <c r="S525" s="12">
        <v>6411859</v>
      </c>
      <c r="T525" s="12">
        <v>6604312</v>
      </c>
      <c r="U525" s="12">
        <v>6310478</v>
      </c>
      <c r="V525" s="12">
        <v>6436688</v>
      </c>
      <c r="W525" s="12">
        <v>101381</v>
      </c>
      <c r="X525" s="12">
        <v>167624</v>
      </c>
      <c r="Y525" s="12">
        <v>830</v>
      </c>
      <c r="Z525" s="12">
        <v>830</v>
      </c>
      <c r="AA525" s="11">
        <v>0</v>
      </c>
      <c r="AB525" s="12">
        <v>7187096</v>
      </c>
      <c r="AC525" s="12">
        <v>6785000</v>
      </c>
      <c r="AD525" s="12">
        <v>1023669</v>
      </c>
      <c r="AE525" s="12">
        <v>1000000</v>
      </c>
      <c r="AF525" s="12">
        <v>670113</v>
      </c>
      <c r="AG525" s="12">
        <v>400000</v>
      </c>
      <c r="AH525" s="11">
        <v>2.81</v>
      </c>
      <c r="AI525" s="11">
        <v>1.63</v>
      </c>
      <c r="AJ525" s="13"/>
    </row>
    <row r="526" spans="1:36" x14ac:dyDescent="0.25">
      <c r="A526" t="str">
        <f>"091402"</f>
        <v>091402</v>
      </c>
      <c r="B526" t="s">
        <v>612</v>
      </c>
      <c r="C526" s="10">
        <v>32196039</v>
      </c>
      <c r="D526" s="10">
        <v>33157151</v>
      </c>
      <c r="E526" s="11">
        <v>2.99</v>
      </c>
      <c r="F526" s="12">
        <v>12749000</v>
      </c>
      <c r="G526" s="12">
        <v>13093223</v>
      </c>
      <c r="H526" s="12"/>
      <c r="I526" s="12"/>
      <c r="J526" s="12"/>
      <c r="K526" s="12"/>
      <c r="L526" s="12"/>
      <c r="M526" s="12"/>
      <c r="N526" s="12">
        <v>12749000</v>
      </c>
      <c r="O526" s="12">
        <v>13093223</v>
      </c>
      <c r="P526" s="11">
        <v>2.7</v>
      </c>
      <c r="Q526" s="12">
        <v>0</v>
      </c>
      <c r="R526" s="12">
        <v>0</v>
      </c>
      <c r="S526" s="12">
        <v>13047842</v>
      </c>
      <c r="T526" s="12">
        <v>13240010</v>
      </c>
      <c r="U526" s="12">
        <v>12749000</v>
      </c>
      <c r="V526" s="12">
        <v>13093223</v>
      </c>
      <c r="W526" s="12">
        <v>298842</v>
      </c>
      <c r="X526" s="12">
        <v>146787</v>
      </c>
      <c r="Y526" s="12">
        <v>1443</v>
      </c>
      <c r="Z526" s="12">
        <v>1454</v>
      </c>
      <c r="AA526" s="11">
        <v>0.76</v>
      </c>
      <c r="AB526" s="12">
        <v>2808229</v>
      </c>
      <c r="AC526" s="12">
        <v>2895823</v>
      </c>
      <c r="AD526" s="12">
        <v>869716</v>
      </c>
      <c r="AE526" s="12">
        <v>910523</v>
      </c>
      <c r="AF526" s="12">
        <v>5495020</v>
      </c>
      <c r="AG526" s="12">
        <v>5468350</v>
      </c>
      <c r="AH526" s="11">
        <v>17.07</v>
      </c>
      <c r="AI526" s="11">
        <v>16.489999999999998</v>
      </c>
      <c r="AJ526" s="13"/>
    </row>
    <row r="527" spans="1:36" x14ac:dyDescent="0.25">
      <c r="A527" t="str">
        <f>"161401"</f>
        <v>161401</v>
      </c>
      <c r="B527" t="s">
        <v>613</v>
      </c>
      <c r="C527" s="10">
        <v>30500000</v>
      </c>
      <c r="D527" s="10">
        <v>31750000</v>
      </c>
      <c r="E527" s="11">
        <v>4.0999999999999996</v>
      </c>
      <c r="F527" s="12">
        <v>20918779</v>
      </c>
      <c r="G527" s="12">
        <v>20616789</v>
      </c>
      <c r="H527" s="12"/>
      <c r="I527" s="12"/>
      <c r="J527" s="12"/>
      <c r="K527" s="12"/>
      <c r="L527" s="12"/>
      <c r="M527" s="12"/>
      <c r="N527" s="12">
        <v>20918779</v>
      </c>
      <c r="O527" s="12">
        <v>20616789</v>
      </c>
      <c r="P527" s="11">
        <v>-1.44</v>
      </c>
      <c r="Q527" s="12">
        <v>774914</v>
      </c>
      <c r="R527" s="12">
        <v>0</v>
      </c>
      <c r="S527" s="12">
        <v>20143865</v>
      </c>
      <c r="T527" s="12">
        <v>20616789</v>
      </c>
      <c r="U527" s="12">
        <v>20143865</v>
      </c>
      <c r="V527" s="12">
        <v>20616789</v>
      </c>
      <c r="W527" s="12">
        <v>0</v>
      </c>
      <c r="X527" s="12">
        <v>0</v>
      </c>
      <c r="Y527" s="12">
        <v>1148</v>
      </c>
      <c r="Z527" s="12">
        <v>1147</v>
      </c>
      <c r="AA527" s="11">
        <v>-0.09</v>
      </c>
      <c r="AB527" s="12">
        <v>460000</v>
      </c>
      <c r="AC527" s="12">
        <v>572500</v>
      </c>
      <c r="AD527" s="12">
        <v>1000000</v>
      </c>
      <c r="AE527" s="12">
        <v>750000</v>
      </c>
      <c r="AF527" s="12">
        <v>4709187</v>
      </c>
      <c r="AG527" s="12">
        <v>3750000</v>
      </c>
      <c r="AH527" s="11">
        <v>15.44</v>
      </c>
      <c r="AI527" s="11">
        <v>11.81</v>
      </c>
      <c r="AJ527" s="13"/>
    </row>
    <row r="528" spans="1:36" x14ac:dyDescent="0.25">
      <c r="A528" t="str">
        <f>"521800"</f>
        <v>521800</v>
      </c>
      <c r="B528" t="s">
        <v>614</v>
      </c>
      <c r="C528" s="10">
        <v>122712342</v>
      </c>
      <c r="D528" s="10">
        <v>125980236</v>
      </c>
      <c r="E528" s="11">
        <v>2.66</v>
      </c>
      <c r="F528" s="12">
        <v>80656461</v>
      </c>
      <c r="G528" s="12">
        <v>83826260</v>
      </c>
      <c r="H528" s="12"/>
      <c r="I528" s="12"/>
      <c r="J528" s="12"/>
      <c r="K528" s="12"/>
      <c r="L528" s="12"/>
      <c r="M528" s="12"/>
      <c r="N528" s="12">
        <v>80656461</v>
      </c>
      <c r="O528" s="12">
        <v>83826260</v>
      </c>
      <c r="P528" s="11">
        <v>3.93</v>
      </c>
      <c r="Q528" s="12">
        <v>1627946</v>
      </c>
      <c r="R528" s="12">
        <v>4963482</v>
      </c>
      <c r="S528" s="12">
        <v>79109336</v>
      </c>
      <c r="T528" s="12">
        <v>81671995</v>
      </c>
      <c r="U528" s="12">
        <v>79028515</v>
      </c>
      <c r="V528" s="12">
        <v>78862778</v>
      </c>
      <c r="W528" s="12">
        <v>80821</v>
      </c>
      <c r="X528" s="12">
        <v>2809217</v>
      </c>
      <c r="Y528" s="12">
        <v>6471</v>
      </c>
      <c r="Z528" s="12">
        <v>6310</v>
      </c>
      <c r="AA528" s="11">
        <v>-2.4900000000000002</v>
      </c>
      <c r="AB528" s="12">
        <v>29919419</v>
      </c>
      <c r="AC528" s="12">
        <v>28344384</v>
      </c>
      <c r="AD528" s="12">
        <v>9287997</v>
      </c>
      <c r="AE528" s="12">
        <v>9275922</v>
      </c>
      <c r="AF528" s="12">
        <v>9251066</v>
      </c>
      <c r="AG528" s="12">
        <v>8199329</v>
      </c>
      <c r="AH528" s="11">
        <v>7.54</v>
      </c>
      <c r="AI528" s="11">
        <v>6.51</v>
      </c>
      <c r="AJ528" s="13"/>
    </row>
    <row r="529" spans="1:36" x14ac:dyDescent="0.25">
      <c r="A529" t="str">
        <f>"621601"</f>
        <v>621601</v>
      </c>
      <c r="B529" t="s">
        <v>615</v>
      </c>
      <c r="C529" s="10">
        <v>62384032</v>
      </c>
      <c r="D529" s="10">
        <v>63977932</v>
      </c>
      <c r="E529" s="11">
        <v>2.5499999999999998</v>
      </c>
      <c r="F529" s="12">
        <v>37771856</v>
      </c>
      <c r="G529" s="12">
        <v>38728466</v>
      </c>
      <c r="H529" s="12"/>
      <c r="I529" s="12"/>
      <c r="J529" s="12"/>
      <c r="K529" s="12"/>
      <c r="L529" s="12"/>
      <c r="M529" s="12"/>
      <c r="N529" s="12">
        <v>37771856</v>
      </c>
      <c r="O529" s="12">
        <v>38728466</v>
      </c>
      <c r="P529" s="11">
        <v>2.5299999999999998</v>
      </c>
      <c r="Q529" s="12">
        <v>571668</v>
      </c>
      <c r="R529" s="12">
        <v>672754</v>
      </c>
      <c r="S529" s="12">
        <v>37200188</v>
      </c>
      <c r="T529" s="12">
        <v>38055712</v>
      </c>
      <c r="U529" s="12">
        <v>37200188</v>
      </c>
      <c r="V529" s="12">
        <v>38055712</v>
      </c>
      <c r="W529" s="12">
        <v>0</v>
      </c>
      <c r="X529" s="12">
        <v>0</v>
      </c>
      <c r="Y529" s="12">
        <v>2528</v>
      </c>
      <c r="Z529" s="12">
        <v>2407</v>
      </c>
      <c r="AA529" s="11">
        <v>-4.79</v>
      </c>
      <c r="AB529" s="12">
        <v>3443413</v>
      </c>
      <c r="AC529" s="12">
        <v>1000000</v>
      </c>
      <c r="AD529" s="12">
        <v>785222</v>
      </c>
      <c r="AE529" s="12">
        <v>1163738</v>
      </c>
      <c r="AF529" s="12">
        <v>2890751</v>
      </c>
      <c r="AG529" s="12">
        <v>2558600</v>
      </c>
      <c r="AH529" s="11">
        <v>4.63</v>
      </c>
      <c r="AI529" s="11">
        <v>4</v>
      </c>
      <c r="AJ529" s="13"/>
    </row>
    <row r="530" spans="1:36" x14ac:dyDescent="0.25">
      <c r="A530" t="str">
        <f>"411603"</f>
        <v>411603</v>
      </c>
      <c r="B530" t="s">
        <v>616</v>
      </c>
      <c r="C530" s="10">
        <v>21391812</v>
      </c>
      <c r="D530" s="10">
        <v>22160416</v>
      </c>
      <c r="E530" s="11">
        <v>3.59</v>
      </c>
      <c r="F530" s="12">
        <v>7510490</v>
      </c>
      <c r="G530" s="12">
        <v>7728886</v>
      </c>
      <c r="H530" s="12"/>
      <c r="I530" s="12"/>
      <c r="J530" s="12"/>
      <c r="K530" s="12"/>
      <c r="L530" s="12"/>
      <c r="M530" s="12"/>
      <c r="N530" s="12">
        <v>7510490</v>
      </c>
      <c r="O530" s="12">
        <v>7728886</v>
      </c>
      <c r="P530" s="11">
        <v>2.91</v>
      </c>
      <c r="Q530" s="12">
        <v>280674</v>
      </c>
      <c r="R530" s="12">
        <v>364674</v>
      </c>
      <c r="S530" s="12">
        <v>7229824</v>
      </c>
      <c r="T530" s="12">
        <v>7364212</v>
      </c>
      <c r="U530" s="12">
        <v>7229816</v>
      </c>
      <c r="V530" s="12">
        <v>7364212</v>
      </c>
      <c r="W530" s="12">
        <v>8</v>
      </c>
      <c r="X530" s="12">
        <v>0</v>
      </c>
      <c r="Y530" s="12">
        <v>1045</v>
      </c>
      <c r="Z530" s="12">
        <v>1048</v>
      </c>
      <c r="AA530" s="11">
        <v>0.28999999999999998</v>
      </c>
      <c r="AB530" s="12">
        <v>25084</v>
      </c>
      <c r="AC530" s="12">
        <v>20000</v>
      </c>
      <c r="AD530" s="12">
        <v>727080</v>
      </c>
      <c r="AE530" s="12">
        <v>727080</v>
      </c>
      <c r="AF530" s="12">
        <v>980367</v>
      </c>
      <c r="AG530" s="12">
        <v>495000</v>
      </c>
      <c r="AH530" s="11">
        <v>4.58</v>
      </c>
      <c r="AI530" s="11">
        <v>2.23</v>
      </c>
      <c r="AJ530" s="13"/>
    </row>
    <row r="531" spans="1:36" x14ac:dyDescent="0.25">
      <c r="A531" t="str">
        <f>"580504"</f>
        <v>580504</v>
      </c>
      <c r="B531" t="s">
        <v>617</v>
      </c>
      <c r="C531" s="10">
        <v>90594753</v>
      </c>
      <c r="D531" s="10">
        <v>93555280</v>
      </c>
      <c r="E531" s="11">
        <v>3.27</v>
      </c>
      <c r="F531" s="12">
        <v>57884439</v>
      </c>
      <c r="G531" s="12">
        <v>59178396</v>
      </c>
      <c r="H531" s="12"/>
      <c r="I531" s="12"/>
      <c r="J531" s="12"/>
      <c r="K531" s="12"/>
      <c r="L531" s="12"/>
      <c r="M531" s="12"/>
      <c r="N531" s="12">
        <v>57884439</v>
      </c>
      <c r="O531" s="12">
        <v>59178396</v>
      </c>
      <c r="P531" s="11">
        <v>2.2400000000000002</v>
      </c>
      <c r="Q531" s="12">
        <v>1381688</v>
      </c>
      <c r="R531" s="12">
        <v>2372067</v>
      </c>
      <c r="S531" s="12">
        <v>56507214</v>
      </c>
      <c r="T531" s="12">
        <v>57570282</v>
      </c>
      <c r="U531" s="12">
        <v>56502751</v>
      </c>
      <c r="V531" s="12">
        <v>56806329</v>
      </c>
      <c r="W531" s="12">
        <v>4463</v>
      </c>
      <c r="X531" s="12">
        <v>763953</v>
      </c>
      <c r="Y531" s="12">
        <v>2851</v>
      </c>
      <c r="Z531" s="12">
        <v>2899</v>
      </c>
      <c r="AA531" s="11">
        <v>1.68</v>
      </c>
      <c r="AB531" s="12">
        <v>19560365</v>
      </c>
      <c r="AC531" s="12">
        <v>18526659</v>
      </c>
      <c r="AD531" s="12">
        <v>4090674</v>
      </c>
      <c r="AE531" s="12">
        <v>4100000</v>
      </c>
      <c r="AF531" s="12">
        <v>3622746</v>
      </c>
      <c r="AG531" s="12">
        <v>3742211</v>
      </c>
      <c r="AH531" s="11">
        <v>4</v>
      </c>
      <c r="AI531" s="11">
        <v>4</v>
      </c>
      <c r="AJ531" s="13"/>
    </row>
    <row r="532" spans="1:36" x14ac:dyDescent="0.25">
      <c r="A532" t="str">
        <f>"662001"</f>
        <v>662001</v>
      </c>
      <c r="B532" t="s">
        <v>618</v>
      </c>
      <c r="C532" s="10">
        <v>153690765</v>
      </c>
      <c r="D532" s="10">
        <v>157849407</v>
      </c>
      <c r="E532" s="11">
        <v>2.71</v>
      </c>
      <c r="F532" s="12">
        <v>141490126</v>
      </c>
      <c r="G532" s="12">
        <v>145362640</v>
      </c>
      <c r="H532" s="12"/>
      <c r="I532" s="12"/>
      <c r="J532" s="12"/>
      <c r="K532" s="12"/>
      <c r="L532" s="12"/>
      <c r="M532" s="12"/>
      <c r="N532" s="12">
        <v>141490126</v>
      </c>
      <c r="O532" s="12">
        <v>145362640</v>
      </c>
      <c r="P532" s="11">
        <v>2.74</v>
      </c>
      <c r="Q532" s="12">
        <v>9861808</v>
      </c>
      <c r="R532" s="12">
        <v>9179670</v>
      </c>
      <c r="S532" s="12">
        <v>132454007</v>
      </c>
      <c r="T532" s="12">
        <v>136762925</v>
      </c>
      <c r="U532" s="12">
        <v>131628318</v>
      </c>
      <c r="V532" s="12">
        <v>136182970</v>
      </c>
      <c r="W532" s="12">
        <v>825689</v>
      </c>
      <c r="X532" s="12">
        <v>579955</v>
      </c>
      <c r="Y532" s="12">
        <v>4769</v>
      </c>
      <c r="Z532" s="12">
        <v>4773</v>
      </c>
      <c r="AA532" s="11">
        <v>0.08</v>
      </c>
      <c r="AB532" s="12">
        <v>14771858</v>
      </c>
      <c r="AC532" s="12">
        <v>12895210</v>
      </c>
      <c r="AD532" s="12">
        <v>1100000</v>
      </c>
      <c r="AE532" s="12">
        <v>2125000</v>
      </c>
      <c r="AF532" s="12">
        <v>5851441</v>
      </c>
      <c r="AG532" s="12">
        <v>5641277</v>
      </c>
      <c r="AH532" s="11">
        <v>3.81</v>
      </c>
      <c r="AI532" s="11">
        <v>3.57</v>
      </c>
      <c r="AJ532" s="13"/>
    </row>
    <row r="533" spans="1:36" x14ac:dyDescent="0.25">
      <c r="A533" t="str">
        <f>"530501"</f>
        <v>530501</v>
      </c>
      <c r="B533" t="s">
        <v>619</v>
      </c>
      <c r="C533" s="10">
        <v>47246386</v>
      </c>
      <c r="D533" s="10">
        <v>48636823</v>
      </c>
      <c r="E533" s="11">
        <v>2.94</v>
      </c>
      <c r="F533" s="12">
        <v>28289818</v>
      </c>
      <c r="G533" s="12">
        <v>29094906</v>
      </c>
      <c r="H533" s="12"/>
      <c r="I533" s="12"/>
      <c r="J533" s="12"/>
      <c r="K533" s="12"/>
      <c r="L533" s="12">
        <v>0</v>
      </c>
      <c r="M533" s="12">
        <v>69553</v>
      </c>
      <c r="N533" s="12">
        <v>28289818</v>
      </c>
      <c r="O533" s="12">
        <v>29025353</v>
      </c>
      <c r="P533" s="11">
        <v>2.6</v>
      </c>
      <c r="Q533" s="12">
        <v>583907</v>
      </c>
      <c r="R533" s="12">
        <v>794490</v>
      </c>
      <c r="S533" s="12">
        <v>27705911</v>
      </c>
      <c r="T533" s="12">
        <v>28306801</v>
      </c>
      <c r="U533" s="12">
        <v>27705911</v>
      </c>
      <c r="V533" s="12">
        <v>28300416</v>
      </c>
      <c r="W533" s="12">
        <v>0</v>
      </c>
      <c r="X533" s="12">
        <v>6385</v>
      </c>
      <c r="Y533" s="12">
        <v>1823</v>
      </c>
      <c r="Z533" s="12">
        <v>1821</v>
      </c>
      <c r="AA533" s="11">
        <v>-0.11</v>
      </c>
      <c r="AB533" s="12">
        <v>4956515</v>
      </c>
      <c r="AC533" s="12">
        <v>5000000</v>
      </c>
      <c r="AD533" s="12">
        <v>956236</v>
      </c>
      <c r="AE533" s="12">
        <v>1160000</v>
      </c>
      <c r="AF533" s="12">
        <v>4345928</v>
      </c>
      <c r="AG533" s="12">
        <v>2500000</v>
      </c>
      <c r="AH533" s="11">
        <v>9.1999999999999993</v>
      </c>
      <c r="AI533" s="11">
        <v>5.14</v>
      </c>
      <c r="AJ533" s="13"/>
    </row>
    <row r="534" spans="1:36" x14ac:dyDescent="0.25">
      <c r="A534" t="str">
        <f>"530600"</f>
        <v>530600</v>
      </c>
      <c r="B534" t="s">
        <v>620</v>
      </c>
      <c r="C534" s="10">
        <v>186289260</v>
      </c>
      <c r="D534" s="10">
        <v>194437849</v>
      </c>
      <c r="E534" s="11">
        <v>4.37</v>
      </c>
      <c r="F534" s="12">
        <v>52720124</v>
      </c>
      <c r="G534" s="12">
        <v>52192923</v>
      </c>
      <c r="H534" s="12"/>
      <c r="I534" s="12"/>
      <c r="J534" s="12"/>
      <c r="K534" s="12"/>
      <c r="L534" s="12"/>
      <c r="M534" s="12"/>
      <c r="N534" s="12">
        <v>52720124</v>
      </c>
      <c r="O534" s="12">
        <v>52192923</v>
      </c>
      <c r="P534" s="11">
        <v>-1</v>
      </c>
      <c r="Q534" s="12">
        <v>1315370</v>
      </c>
      <c r="R534" s="12">
        <v>382943</v>
      </c>
      <c r="S534" s="12">
        <v>54035494</v>
      </c>
      <c r="T534" s="12">
        <v>52575866</v>
      </c>
      <c r="U534" s="12">
        <v>51404754</v>
      </c>
      <c r="V534" s="12">
        <v>51809980</v>
      </c>
      <c r="W534" s="12">
        <v>2630740</v>
      </c>
      <c r="X534" s="12">
        <v>765886</v>
      </c>
      <c r="Y534" s="12">
        <v>9978</v>
      </c>
      <c r="Z534" s="12">
        <v>10010</v>
      </c>
      <c r="AA534" s="11">
        <v>0.32</v>
      </c>
      <c r="AB534" s="12">
        <v>16157907</v>
      </c>
      <c r="AC534" s="12">
        <v>17409610</v>
      </c>
      <c r="AD534" s="12">
        <v>286916</v>
      </c>
      <c r="AE534" s="12">
        <v>285000</v>
      </c>
      <c r="AF534" s="12">
        <v>7279867</v>
      </c>
      <c r="AG534" s="12">
        <v>6886197</v>
      </c>
      <c r="AH534" s="11">
        <v>3.91</v>
      </c>
      <c r="AI534" s="11">
        <v>3.54</v>
      </c>
      <c r="AJ534" s="13"/>
    </row>
    <row r="535" spans="1:36" x14ac:dyDescent="0.25">
      <c r="A535" t="str">
        <f>"470901"</f>
        <v>470901</v>
      </c>
      <c r="B535" t="s">
        <v>621</v>
      </c>
      <c r="C535" s="10">
        <v>9050553</v>
      </c>
      <c r="D535" s="10">
        <v>9194773</v>
      </c>
      <c r="E535" s="11">
        <v>1.59</v>
      </c>
      <c r="F535" s="12">
        <v>3145040</v>
      </c>
      <c r="G535" s="12">
        <v>3266010</v>
      </c>
      <c r="H535" s="12"/>
      <c r="I535" s="12"/>
      <c r="J535" s="12"/>
      <c r="K535" s="12"/>
      <c r="L535" s="12"/>
      <c r="M535" s="12"/>
      <c r="N535" s="12">
        <v>3145040</v>
      </c>
      <c r="O535" s="12">
        <v>3266010</v>
      </c>
      <c r="P535" s="11">
        <v>3.85</v>
      </c>
      <c r="Q535" s="12">
        <v>59508</v>
      </c>
      <c r="R535" s="12">
        <v>122993</v>
      </c>
      <c r="S535" s="12">
        <v>3085532</v>
      </c>
      <c r="T535" s="12">
        <v>3153017</v>
      </c>
      <c r="U535" s="12">
        <v>3085532</v>
      </c>
      <c r="V535" s="12">
        <v>3143017</v>
      </c>
      <c r="W535" s="12">
        <v>0</v>
      </c>
      <c r="X535" s="12">
        <v>10000</v>
      </c>
      <c r="Y535" s="12">
        <v>375</v>
      </c>
      <c r="Z535" s="12">
        <v>367</v>
      </c>
      <c r="AA535" s="11">
        <v>-2.13</v>
      </c>
      <c r="AB535" s="12">
        <v>476997</v>
      </c>
      <c r="AC535" s="12">
        <v>242222</v>
      </c>
      <c r="AD535" s="12">
        <v>226403</v>
      </c>
      <c r="AE535" s="12">
        <v>65000</v>
      </c>
      <c r="AF535" s="12">
        <v>0</v>
      </c>
      <c r="AG535" s="12">
        <v>120324</v>
      </c>
      <c r="AH535" s="11">
        <v>0</v>
      </c>
      <c r="AI535" s="11">
        <v>1.31</v>
      </c>
      <c r="AJ535" s="13"/>
    </row>
    <row r="536" spans="1:36" x14ac:dyDescent="0.25">
      <c r="A536" t="str">
        <f>"491501"</f>
        <v>491501</v>
      </c>
      <c r="B536" t="s">
        <v>622</v>
      </c>
      <c r="C536" s="10">
        <v>23049965</v>
      </c>
      <c r="D536" s="10">
        <v>24470931</v>
      </c>
      <c r="E536" s="11">
        <v>6.16</v>
      </c>
      <c r="F536" s="12">
        <v>13019689</v>
      </c>
      <c r="G536" s="12">
        <v>13305862</v>
      </c>
      <c r="H536" s="12"/>
      <c r="I536" s="12"/>
      <c r="J536" s="12"/>
      <c r="K536" s="12"/>
      <c r="L536" s="12"/>
      <c r="M536" s="12"/>
      <c r="N536" s="12">
        <v>13019689</v>
      </c>
      <c r="O536" s="12">
        <v>13305862</v>
      </c>
      <c r="P536" s="11">
        <v>2.2000000000000002</v>
      </c>
      <c r="Q536" s="12">
        <v>523473</v>
      </c>
      <c r="R536" s="12">
        <v>558446</v>
      </c>
      <c r="S536" s="12">
        <v>12512217</v>
      </c>
      <c r="T536" s="12">
        <v>12747416</v>
      </c>
      <c r="U536" s="12">
        <v>12496216</v>
      </c>
      <c r="V536" s="12">
        <v>12747416</v>
      </c>
      <c r="W536" s="12">
        <v>16001</v>
      </c>
      <c r="X536" s="12">
        <v>0</v>
      </c>
      <c r="Y536" s="12">
        <v>890</v>
      </c>
      <c r="Z536" s="12">
        <v>863</v>
      </c>
      <c r="AA536" s="11">
        <v>-3.03</v>
      </c>
      <c r="AB536" s="12">
        <v>3411350</v>
      </c>
      <c r="AC536" s="12">
        <v>3611350</v>
      </c>
      <c r="AD536" s="12">
        <v>1000000</v>
      </c>
      <c r="AE536" s="12">
        <v>1000000</v>
      </c>
      <c r="AF536" s="12">
        <v>921998</v>
      </c>
      <c r="AG536" s="12">
        <v>978837</v>
      </c>
      <c r="AH536" s="11">
        <v>4</v>
      </c>
      <c r="AI536" s="11">
        <v>4</v>
      </c>
      <c r="AJ536" s="13"/>
    </row>
    <row r="537" spans="1:36" x14ac:dyDescent="0.25">
      <c r="A537" t="str">
        <f>"541201"</f>
        <v>541201</v>
      </c>
      <c r="B537" t="s">
        <v>623</v>
      </c>
      <c r="C537" s="10">
        <v>23415819</v>
      </c>
      <c r="D537" s="10">
        <v>23822954</v>
      </c>
      <c r="E537" s="11">
        <v>1.74</v>
      </c>
      <c r="F537" s="12">
        <v>8337204</v>
      </c>
      <c r="G537" s="12">
        <v>8450098</v>
      </c>
      <c r="H537" s="12"/>
      <c r="I537" s="12"/>
      <c r="J537" s="12"/>
      <c r="K537" s="12"/>
      <c r="L537" s="12"/>
      <c r="M537" s="12"/>
      <c r="N537" s="12">
        <v>8337204</v>
      </c>
      <c r="O537" s="12">
        <v>8450098</v>
      </c>
      <c r="P537" s="11">
        <v>1.35</v>
      </c>
      <c r="Q537" s="12">
        <v>344482</v>
      </c>
      <c r="R537" s="12">
        <v>275930</v>
      </c>
      <c r="S537" s="12">
        <v>7992722</v>
      </c>
      <c r="T537" s="12">
        <v>8174168</v>
      </c>
      <c r="U537" s="12">
        <v>7992722</v>
      </c>
      <c r="V537" s="12">
        <v>8174168</v>
      </c>
      <c r="W537" s="12">
        <v>0</v>
      </c>
      <c r="X537" s="12">
        <v>0</v>
      </c>
      <c r="Y537" s="12">
        <v>911</v>
      </c>
      <c r="Z537" s="12">
        <v>908</v>
      </c>
      <c r="AA537" s="11">
        <v>-0.33</v>
      </c>
      <c r="AB537" s="12">
        <v>4110893</v>
      </c>
      <c r="AC537" s="12">
        <v>4588000</v>
      </c>
      <c r="AD537" s="12">
        <v>1678499</v>
      </c>
      <c r="AE537" s="12">
        <v>1670671</v>
      </c>
      <c r="AF537" s="12">
        <v>1555608</v>
      </c>
      <c r="AG537" s="12">
        <v>952918</v>
      </c>
      <c r="AH537" s="11">
        <v>6.64</v>
      </c>
      <c r="AI537" s="11">
        <v>4</v>
      </c>
      <c r="AJ537" s="13"/>
    </row>
    <row r="538" spans="1:36" x14ac:dyDescent="0.25">
      <c r="A538" t="str">
        <f>"151401"</f>
        <v>151401</v>
      </c>
      <c r="B538" t="s">
        <v>624</v>
      </c>
      <c r="C538" s="10">
        <v>7792747</v>
      </c>
      <c r="D538" s="10">
        <v>8008552</v>
      </c>
      <c r="E538" s="11">
        <v>2.77</v>
      </c>
      <c r="F538" s="12">
        <v>6288652</v>
      </c>
      <c r="G538" s="12">
        <v>6356803</v>
      </c>
      <c r="H538" s="12"/>
      <c r="I538" s="12"/>
      <c r="J538" s="12"/>
      <c r="K538" s="12"/>
      <c r="L538" s="12"/>
      <c r="M538" s="12"/>
      <c r="N538" s="12">
        <v>6288652</v>
      </c>
      <c r="O538" s="12">
        <v>6356803</v>
      </c>
      <c r="P538" s="11">
        <v>1.08</v>
      </c>
      <c r="Q538" s="12">
        <v>930752</v>
      </c>
      <c r="R538" s="12">
        <v>843568</v>
      </c>
      <c r="S538" s="12">
        <v>5357900</v>
      </c>
      <c r="T538" s="12">
        <v>5513235</v>
      </c>
      <c r="U538" s="12">
        <v>5357900</v>
      </c>
      <c r="V538" s="12">
        <v>5513235</v>
      </c>
      <c r="W538" s="12">
        <v>0</v>
      </c>
      <c r="X538" s="12">
        <v>0</v>
      </c>
      <c r="Y538" s="12">
        <v>252</v>
      </c>
      <c r="Z538" s="12">
        <v>260</v>
      </c>
      <c r="AA538" s="11">
        <v>3.17</v>
      </c>
      <c r="AB538" s="12">
        <v>1506371</v>
      </c>
      <c r="AC538" s="12">
        <v>1411869</v>
      </c>
      <c r="AD538" s="12">
        <v>711745</v>
      </c>
      <c r="AE538" s="12">
        <v>700000</v>
      </c>
      <c r="AF538" s="12">
        <v>1213041</v>
      </c>
      <c r="AG538" s="12">
        <v>813041</v>
      </c>
      <c r="AH538" s="11">
        <v>15.57</v>
      </c>
      <c r="AI538" s="11">
        <v>10.15</v>
      </c>
      <c r="AJ538" s="13"/>
    </row>
    <row r="539" spans="1:36" x14ac:dyDescent="0.25">
      <c r="A539" t="str">
        <f>"521701"</f>
        <v>521701</v>
      </c>
      <c r="B539" t="s">
        <v>625</v>
      </c>
      <c r="C539" s="10">
        <v>34849537</v>
      </c>
      <c r="D539" s="10">
        <v>35540449</v>
      </c>
      <c r="E539" s="11">
        <v>1.98</v>
      </c>
      <c r="F539" s="12">
        <v>16971587</v>
      </c>
      <c r="G539" s="12">
        <v>17318147</v>
      </c>
      <c r="H539" s="12"/>
      <c r="I539" s="12"/>
      <c r="J539" s="12"/>
      <c r="K539" s="12"/>
      <c r="L539" s="12"/>
      <c r="M539" s="12"/>
      <c r="N539" s="12">
        <v>16971587</v>
      </c>
      <c r="O539" s="12">
        <v>17318147</v>
      </c>
      <c r="P539" s="11">
        <v>2.04</v>
      </c>
      <c r="Q539" s="12">
        <v>584709</v>
      </c>
      <c r="R539" s="12">
        <v>318429</v>
      </c>
      <c r="S539" s="12">
        <v>16549805</v>
      </c>
      <c r="T539" s="12">
        <v>16999718</v>
      </c>
      <c r="U539" s="12">
        <v>16386878</v>
      </c>
      <c r="V539" s="12">
        <v>16999718</v>
      </c>
      <c r="W539" s="12">
        <v>162927</v>
      </c>
      <c r="X539" s="12">
        <v>0</v>
      </c>
      <c r="Y539" s="12">
        <v>1589</v>
      </c>
      <c r="Z539" s="12">
        <v>1549</v>
      </c>
      <c r="AA539" s="11">
        <v>-2.52</v>
      </c>
      <c r="AB539" s="12">
        <v>4407147</v>
      </c>
      <c r="AC539" s="12">
        <v>4128647</v>
      </c>
      <c r="AD539" s="12">
        <v>1663621</v>
      </c>
      <c r="AE539" s="12">
        <v>1550000</v>
      </c>
      <c r="AF539" s="12">
        <v>2278158</v>
      </c>
      <c r="AG539" s="12">
        <v>1978158</v>
      </c>
      <c r="AH539" s="11">
        <v>6.54</v>
      </c>
      <c r="AI539" s="11">
        <v>5.57</v>
      </c>
      <c r="AJ539" s="13"/>
    </row>
    <row r="540" spans="1:36" x14ac:dyDescent="0.25">
      <c r="A540" t="str">
        <f>"022401"</f>
        <v>022401</v>
      </c>
      <c r="B540" t="s">
        <v>626</v>
      </c>
      <c r="C540" s="10">
        <v>10409730</v>
      </c>
      <c r="D540" s="10">
        <v>10460221</v>
      </c>
      <c r="E540" s="11">
        <v>0.49</v>
      </c>
      <c r="F540" s="12">
        <v>2057381</v>
      </c>
      <c r="G540" s="12">
        <v>2098529</v>
      </c>
      <c r="H540" s="12"/>
      <c r="I540" s="12"/>
      <c r="J540" s="12"/>
      <c r="K540" s="12"/>
      <c r="L540" s="12"/>
      <c r="M540" s="12"/>
      <c r="N540" s="12">
        <v>2057381</v>
      </c>
      <c r="O540" s="12">
        <v>2098529</v>
      </c>
      <c r="P540" s="11">
        <v>2</v>
      </c>
      <c r="Q540" s="12">
        <v>52196</v>
      </c>
      <c r="R540" s="12">
        <v>59043</v>
      </c>
      <c r="S540" s="12">
        <v>2020017</v>
      </c>
      <c r="T540" s="12">
        <v>2045289</v>
      </c>
      <c r="U540" s="12">
        <v>2005185</v>
      </c>
      <c r="V540" s="12">
        <v>2039486</v>
      </c>
      <c r="W540" s="12">
        <v>14832</v>
      </c>
      <c r="X540" s="12">
        <v>5803</v>
      </c>
      <c r="Y540" s="12">
        <v>381</v>
      </c>
      <c r="Z540" s="12">
        <v>385</v>
      </c>
      <c r="AA540" s="11">
        <v>1.05</v>
      </c>
      <c r="AB540" s="12">
        <v>583269</v>
      </c>
      <c r="AC540" s="12">
        <v>558270</v>
      </c>
      <c r="AD540" s="12">
        <v>416658</v>
      </c>
      <c r="AE540" s="12">
        <v>300035</v>
      </c>
      <c r="AF540" s="12">
        <v>455844</v>
      </c>
      <c r="AG540" s="12">
        <v>480844</v>
      </c>
      <c r="AH540" s="11">
        <v>4.38</v>
      </c>
      <c r="AI540" s="11">
        <v>4.5999999999999996</v>
      </c>
      <c r="AJ540" s="13"/>
    </row>
    <row r="541" spans="1:36" x14ac:dyDescent="0.25">
      <c r="A541" t="str">
        <f>"530202"</f>
        <v>530202</v>
      </c>
      <c r="B541" t="s">
        <v>627</v>
      </c>
      <c r="C541" s="10">
        <v>53406966</v>
      </c>
      <c r="D541" s="10">
        <v>55989676</v>
      </c>
      <c r="E541" s="11">
        <v>4.84</v>
      </c>
      <c r="F541" s="12">
        <v>28494964</v>
      </c>
      <c r="G541" s="12">
        <v>29453376</v>
      </c>
      <c r="H541" s="12"/>
      <c r="I541" s="12"/>
      <c r="J541" s="12"/>
      <c r="K541" s="12"/>
      <c r="L541" s="12"/>
      <c r="M541" s="12"/>
      <c r="N541" s="12">
        <v>28494964</v>
      </c>
      <c r="O541" s="12">
        <v>29453376</v>
      </c>
      <c r="P541" s="11">
        <v>3.36</v>
      </c>
      <c r="Q541" s="12">
        <v>826556</v>
      </c>
      <c r="R541" s="12">
        <v>1152107</v>
      </c>
      <c r="S541" s="12">
        <v>27682498</v>
      </c>
      <c r="T541" s="12">
        <v>28328852</v>
      </c>
      <c r="U541" s="12">
        <v>27668408</v>
      </c>
      <c r="V541" s="12">
        <v>28301269</v>
      </c>
      <c r="W541" s="12">
        <v>14090</v>
      </c>
      <c r="X541" s="12">
        <v>27583</v>
      </c>
      <c r="Y541" s="12">
        <v>2600</v>
      </c>
      <c r="Z541" s="12">
        <v>2600</v>
      </c>
      <c r="AA541" s="11">
        <v>0</v>
      </c>
      <c r="AB541" s="12">
        <v>4978051</v>
      </c>
      <c r="AC541" s="12">
        <v>4433134</v>
      </c>
      <c r="AD541" s="12">
        <v>3435000</v>
      </c>
      <c r="AE541" s="12">
        <v>3835000</v>
      </c>
      <c r="AF541" s="12">
        <v>1985040</v>
      </c>
      <c r="AG541" s="12">
        <v>1721242</v>
      </c>
      <c r="AH541" s="11">
        <v>3.72</v>
      </c>
      <c r="AI541" s="11">
        <v>3.07</v>
      </c>
      <c r="AJ541" s="13"/>
    </row>
    <row r="542" spans="1:36" x14ac:dyDescent="0.25">
      <c r="A542" t="str">
        <f>"280206"</f>
        <v>280206</v>
      </c>
      <c r="B542" t="s">
        <v>628</v>
      </c>
      <c r="C542" s="10">
        <v>66689370</v>
      </c>
      <c r="D542" s="10">
        <v>68436438</v>
      </c>
      <c r="E542" s="11">
        <v>2.62</v>
      </c>
      <c r="F542" s="12">
        <v>50252558</v>
      </c>
      <c r="G542" s="12">
        <v>51606229</v>
      </c>
      <c r="H542" s="12"/>
      <c r="I542" s="12"/>
      <c r="J542" s="12" t="s">
        <v>95</v>
      </c>
      <c r="K542" s="12"/>
      <c r="L542" s="12"/>
      <c r="M542" s="12"/>
      <c r="N542" s="12">
        <v>50252558</v>
      </c>
      <c r="O542" s="12">
        <v>51606229</v>
      </c>
      <c r="P542" s="11">
        <v>2.69</v>
      </c>
      <c r="Q542" s="12">
        <v>1110663</v>
      </c>
      <c r="R542" s="12">
        <v>1050495</v>
      </c>
      <c r="S542" s="12">
        <v>49141895</v>
      </c>
      <c r="T542" s="12">
        <v>50555734</v>
      </c>
      <c r="U542" s="12">
        <v>49141895</v>
      </c>
      <c r="V542" s="12">
        <v>50555734</v>
      </c>
      <c r="W542" s="12">
        <v>0</v>
      </c>
      <c r="X542" s="12">
        <v>0</v>
      </c>
      <c r="Y542" s="12">
        <v>2262</v>
      </c>
      <c r="Z542" s="12">
        <v>2243</v>
      </c>
      <c r="AA542" s="11">
        <v>-0.84</v>
      </c>
      <c r="AB542" s="12">
        <v>6938955</v>
      </c>
      <c r="AC542" s="12">
        <v>7663955</v>
      </c>
      <c r="AD542" s="12">
        <v>742166</v>
      </c>
      <c r="AE542" s="12">
        <v>702000</v>
      </c>
      <c r="AF542" s="12">
        <v>7093646</v>
      </c>
      <c r="AG542" s="12">
        <v>6393646</v>
      </c>
      <c r="AH542" s="11">
        <v>10.64</v>
      </c>
      <c r="AI542" s="11">
        <v>9.34</v>
      </c>
      <c r="AJ542" s="13"/>
    </row>
    <row r="543" spans="1:36" x14ac:dyDescent="0.25">
      <c r="A543" t="str">
        <f>"560701"</f>
        <v>560701</v>
      </c>
      <c r="B543" t="s">
        <v>629</v>
      </c>
      <c r="C543" s="10">
        <v>28828997</v>
      </c>
      <c r="D543" s="10">
        <v>29674900</v>
      </c>
      <c r="E543" s="11">
        <v>2.93</v>
      </c>
      <c r="F543" s="12">
        <v>12712810</v>
      </c>
      <c r="G543" s="12">
        <v>12954353</v>
      </c>
      <c r="H543" s="12"/>
      <c r="I543" s="12"/>
      <c r="J543" s="12"/>
      <c r="K543" s="12"/>
      <c r="L543" s="12"/>
      <c r="M543" s="12"/>
      <c r="N543" s="12">
        <v>12712810</v>
      </c>
      <c r="O543" s="12">
        <v>12954353</v>
      </c>
      <c r="P543" s="11">
        <v>1.9</v>
      </c>
      <c r="Q543" s="12">
        <v>0</v>
      </c>
      <c r="R543" s="12">
        <v>0</v>
      </c>
      <c r="S543" s="12">
        <v>12721089</v>
      </c>
      <c r="T543" s="12">
        <v>13038387</v>
      </c>
      <c r="U543" s="12">
        <v>12712810</v>
      </c>
      <c r="V543" s="12">
        <v>12954353</v>
      </c>
      <c r="W543" s="12">
        <v>8279</v>
      </c>
      <c r="X543" s="12">
        <v>84034</v>
      </c>
      <c r="Y543" s="12">
        <v>1288</v>
      </c>
      <c r="Z543" s="12">
        <v>1276</v>
      </c>
      <c r="AA543" s="11">
        <v>-0.93</v>
      </c>
      <c r="AB543" s="12">
        <v>5103544</v>
      </c>
      <c r="AC543" s="12">
        <v>3347357</v>
      </c>
      <c r="AD543" s="12">
        <v>50000</v>
      </c>
      <c r="AE543" s="12">
        <v>100000</v>
      </c>
      <c r="AF543" s="12">
        <v>1153160</v>
      </c>
      <c r="AG543" s="12">
        <v>1186996</v>
      </c>
      <c r="AH543" s="11">
        <v>4</v>
      </c>
      <c r="AI543" s="11">
        <v>4</v>
      </c>
      <c r="AJ543" s="13"/>
    </row>
    <row r="544" spans="1:36" x14ac:dyDescent="0.25">
      <c r="A544" t="str">
        <f>"280252"</f>
        <v>280252</v>
      </c>
      <c r="B544" t="s">
        <v>630</v>
      </c>
      <c r="C544" s="10">
        <v>193070535</v>
      </c>
      <c r="D544" s="10">
        <v>198615864</v>
      </c>
      <c r="E544" s="11">
        <v>2.87</v>
      </c>
      <c r="F544" s="12">
        <v>142757183</v>
      </c>
      <c r="G544" s="12">
        <v>144312103</v>
      </c>
      <c r="H544" s="12"/>
      <c r="I544" s="12"/>
      <c r="J544" s="12"/>
      <c r="K544" s="12"/>
      <c r="L544" s="12"/>
      <c r="M544" s="12"/>
      <c r="N544" s="12">
        <v>142757183</v>
      </c>
      <c r="O544" s="12">
        <v>144312103</v>
      </c>
      <c r="P544" s="11">
        <v>1.0900000000000001</v>
      </c>
      <c r="Q544" s="12">
        <v>4741258</v>
      </c>
      <c r="R544" s="12">
        <v>3166076</v>
      </c>
      <c r="S544" s="12">
        <v>138015925</v>
      </c>
      <c r="T544" s="12">
        <v>141146027</v>
      </c>
      <c r="U544" s="12">
        <v>138015925</v>
      </c>
      <c r="V544" s="12">
        <v>141146027</v>
      </c>
      <c r="W544" s="12">
        <v>0</v>
      </c>
      <c r="X544" s="12">
        <v>0</v>
      </c>
      <c r="Y544" s="12">
        <v>8300</v>
      </c>
      <c r="Z544" s="12">
        <v>8213</v>
      </c>
      <c r="AA544" s="11">
        <v>-1.05</v>
      </c>
      <c r="AB544" s="12">
        <v>19869427</v>
      </c>
      <c r="AC544" s="12">
        <v>21250000</v>
      </c>
      <c r="AD544" s="12">
        <v>5500000</v>
      </c>
      <c r="AE544" s="12">
        <v>5700000</v>
      </c>
      <c r="AF544" s="12">
        <v>7607157</v>
      </c>
      <c r="AG544" s="12">
        <v>7830000</v>
      </c>
      <c r="AH544" s="11">
        <v>3.94</v>
      </c>
      <c r="AI544" s="11">
        <v>3.94</v>
      </c>
      <c r="AJ544" s="13"/>
    </row>
    <row r="545" spans="1:36" x14ac:dyDescent="0.25">
      <c r="A545" t="str">
        <f>"541401"</f>
        <v>541401</v>
      </c>
      <c r="B545" t="s">
        <v>631</v>
      </c>
      <c r="C545" s="10">
        <v>9306453</v>
      </c>
      <c r="D545" s="10">
        <v>9483555</v>
      </c>
      <c r="E545" s="11">
        <v>1.9</v>
      </c>
      <c r="F545" s="12">
        <v>2323263</v>
      </c>
      <c r="G545" s="12">
        <v>2355971</v>
      </c>
      <c r="H545" s="12"/>
      <c r="I545" s="12"/>
      <c r="J545" s="12"/>
      <c r="K545" s="12"/>
      <c r="L545" s="12"/>
      <c r="M545" s="12"/>
      <c r="N545" s="12">
        <v>2323263</v>
      </c>
      <c r="O545" s="12">
        <v>2355971</v>
      </c>
      <c r="P545" s="11">
        <v>1.41</v>
      </c>
      <c r="Q545" s="12">
        <v>63264</v>
      </c>
      <c r="R545" s="12">
        <v>71755</v>
      </c>
      <c r="S545" s="12">
        <v>2323263</v>
      </c>
      <c r="T545" s="12">
        <v>2355971</v>
      </c>
      <c r="U545" s="12">
        <v>2259999</v>
      </c>
      <c r="V545" s="12">
        <v>2284216</v>
      </c>
      <c r="W545" s="12">
        <v>63264</v>
      </c>
      <c r="X545" s="12">
        <v>71755</v>
      </c>
      <c r="Y545" s="12">
        <v>280</v>
      </c>
      <c r="Z545" s="12">
        <v>285</v>
      </c>
      <c r="AA545" s="11">
        <v>1.79</v>
      </c>
      <c r="AB545" s="12">
        <v>1172880</v>
      </c>
      <c r="AC545" s="12">
        <v>1172880</v>
      </c>
      <c r="AD545" s="12">
        <v>1150471</v>
      </c>
      <c r="AE545" s="12">
        <v>1150471</v>
      </c>
      <c r="AF545" s="12">
        <v>458928</v>
      </c>
      <c r="AG545" s="12">
        <v>58928</v>
      </c>
      <c r="AH545" s="11">
        <v>4.93</v>
      </c>
      <c r="AI545" s="11">
        <v>0.62</v>
      </c>
      <c r="AJ545" s="13"/>
    </row>
    <row r="546" spans="1:36" x14ac:dyDescent="0.25">
      <c r="A546" t="str">
        <f>"580701"</f>
        <v>580701</v>
      </c>
      <c r="B546" t="s">
        <v>632</v>
      </c>
      <c r="C546" s="10">
        <v>11327228</v>
      </c>
      <c r="D546" s="10">
        <v>11714448</v>
      </c>
      <c r="E546" s="11">
        <v>3.42</v>
      </c>
      <c r="F546" s="12">
        <v>10131788</v>
      </c>
      <c r="G546" s="12">
        <v>10343159</v>
      </c>
      <c r="H546" s="12"/>
      <c r="I546" s="12"/>
      <c r="J546" s="12"/>
      <c r="K546" s="12"/>
      <c r="L546" s="12"/>
      <c r="M546" s="12"/>
      <c r="N546" s="12">
        <v>10131788</v>
      </c>
      <c r="O546" s="12">
        <v>10343159</v>
      </c>
      <c r="P546" s="11">
        <v>2.09</v>
      </c>
      <c r="Q546" s="12">
        <v>406668</v>
      </c>
      <c r="R546" s="12">
        <v>405969</v>
      </c>
      <c r="S546" s="12">
        <v>9725120</v>
      </c>
      <c r="T546" s="12">
        <v>9937190</v>
      </c>
      <c r="U546" s="12">
        <v>9725120</v>
      </c>
      <c r="V546" s="12">
        <v>9937190</v>
      </c>
      <c r="W546" s="12">
        <v>0</v>
      </c>
      <c r="X546" s="12">
        <v>0</v>
      </c>
      <c r="Y546" s="12">
        <v>225</v>
      </c>
      <c r="Z546" s="12">
        <v>215</v>
      </c>
      <c r="AA546" s="11">
        <v>-4.4400000000000004</v>
      </c>
      <c r="AB546" s="12">
        <v>664579</v>
      </c>
      <c r="AC546" s="12">
        <v>664579</v>
      </c>
      <c r="AD546" s="12">
        <v>605440</v>
      </c>
      <c r="AE546" s="12">
        <v>770596</v>
      </c>
      <c r="AF546" s="12">
        <v>1062411</v>
      </c>
      <c r="AG546" s="12">
        <v>957090</v>
      </c>
      <c r="AH546" s="11">
        <v>9.3800000000000008</v>
      </c>
      <c r="AI546" s="11">
        <v>8.17</v>
      </c>
      <c r="AJ546" s="13"/>
    </row>
    <row r="547" spans="1:36" x14ac:dyDescent="0.25">
      <c r="A547" t="str">
        <f>"520302"</f>
        <v>520302</v>
      </c>
      <c r="B547" t="s">
        <v>633</v>
      </c>
      <c r="C547" s="10">
        <v>169957065</v>
      </c>
      <c r="D547" s="10">
        <v>173682956</v>
      </c>
      <c r="E547" s="11">
        <v>2.19</v>
      </c>
      <c r="F547" s="12">
        <v>118533233</v>
      </c>
      <c r="G547" s="12">
        <v>121993016</v>
      </c>
      <c r="H547" s="12"/>
      <c r="I547" s="12"/>
      <c r="J547" s="12"/>
      <c r="K547" s="12"/>
      <c r="L547" s="12"/>
      <c r="M547" s="12"/>
      <c r="N547" s="12">
        <v>118533233</v>
      </c>
      <c r="O547" s="12">
        <v>121993016</v>
      </c>
      <c r="P547" s="11">
        <v>2.92</v>
      </c>
      <c r="Q547" s="12">
        <v>3342408</v>
      </c>
      <c r="R547" s="12">
        <v>3576839</v>
      </c>
      <c r="S547" s="12">
        <v>116204555</v>
      </c>
      <c r="T547" s="12">
        <v>119285182</v>
      </c>
      <c r="U547" s="12">
        <v>115190825</v>
      </c>
      <c r="V547" s="12">
        <v>118416177</v>
      </c>
      <c r="W547" s="12">
        <v>1013730</v>
      </c>
      <c r="X547" s="12">
        <v>869005</v>
      </c>
      <c r="Y547" s="12">
        <v>9803</v>
      </c>
      <c r="Z547" s="12">
        <v>9823</v>
      </c>
      <c r="AA547" s="11">
        <v>0.2</v>
      </c>
      <c r="AB547" s="12">
        <v>22175080</v>
      </c>
      <c r="AC547" s="12">
        <v>23637880</v>
      </c>
      <c r="AD547" s="12">
        <v>4120016</v>
      </c>
      <c r="AE547" s="12">
        <v>2910000</v>
      </c>
      <c r="AF547" s="12">
        <v>6622020</v>
      </c>
      <c r="AG547" s="12">
        <v>6616036</v>
      </c>
      <c r="AH547" s="11">
        <v>3.9</v>
      </c>
      <c r="AI547" s="11">
        <v>3.81</v>
      </c>
      <c r="AJ547" s="13"/>
    </row>
    <row r="548" spans="1:36" x14ac:dyDescent="0.25">
      <c r="A548" t="str">
        <f>"082001"</f>
        <v>082001</v>
      </c>
      <c r="B548" t="s">
        <v>634</v>
      </c>
      <c r="C548" s="10">
        <v>34300657</v>
      </c>
      <c r="D548" s="10">
        <v>34539165</v>
      </c>
      <c r="E548" s="11">
        <v>0.7</v>
      </c>
      <c r="F548" s="12">
        <v>6953787</v>
      </c>
      <c r="G548" s="12">
        <v>6953787</v>
      </c>
      <c r="H548" s="12"/>
      <c r="I548" s="12"/>
      <c r="J548" s="12"/>
      <c r="K548" s="12"/>
      <c r="L548" s="12"/>
      <c r="M548" s="12"/>
      <c r="N548" s="12">
        <v>6953787</v>
      </c>
      <c r="O548" s="12">
        <v>6953787</v>
      </c>
      <c r="P548" s="11">
        <v>0</v>
      </c>
      <c r="Q548" s="12">
        <v>1678454</v>
      </c>
      <c r="R548" s="12">
        <v>1600000</v>
      </c>
      <c r="S548" s="12">
        <v>5318094</v>
      </c>
      <c r="T548" s="12">
        <v>5353787</v>
      </c>
      <c r="U548" s="12">
        <v>5275333</v>
      </c>
      <c r="V548" s="12">
        <v>5353787</v>
      </c>
      <c r="W548" s="12">
        <v>42761</v>
      </c>
      <c r="X548" s="12">
        <v>0</v>
      </c>
      <c r="Y548" s="12">
        <v>1268</v>
      </c>
      <c r="Z548" s="12">
        <v>1266</v>
      </c>
      <c r="AA548" s="11">
        <v>-0.16</v>
      </c>
      <c r="AB548" s="12">
        <v>2219773</v>
      </c>
      <c r="AC548" s="12">
        <v>1919773</v>
      </c>
      <c r="AD548" s="12">
        <v>1476776</v>
      </c>
      <c r="AE548" s="12">
        <v>1250000</v>
      </c>
      <c r="AF548" s="12">
        <v>4460873</v>
      </c>
      <c r="AG548" s="12">
        <v>2860873</v>
      </c>
      <c r="AH548" s="11">
        <v>13.01</v>
      </c>
      <c r="AI548" s="11">
        <v>8.2799999999999994</v>
      </c>
      <c r="AJ548" s="13"/>
    </row>
    <row r="549" spans="1:36" x14ac:dyDescent="0.25">
      <c r="A549" t="str">
        <f>"062601"</f>
        <v>062601</v>
      </c>
      <c r="B549" t="s">
        <v>635</v>
      </c>
      <c r="C549" s="10">
        <v>9998333</v>
      </c>
      <c r="D549" s="10">
        <v>10310252</v>
      </c>
      <c r="E549" s="11">
        <v>3.12</v>
      </c>
      <c r="F549" s="12">
        <v>2605400</v>
      </c>
      <c r="G549" s="12">
        <v>2605400</v>
      </c>
      <c r="H549" s="12"/>
      <c r="I549" s="12"/>
      <c r="J549" s="12"/>
      <c r="K549" s="12"/>
      <c r="L549" s="12"/>
      <c r="M549" s="12"/>
      <c r="N549" s="12">
        <v>2605400</v>
      </c>
      <c r="O549" s="12">
        <v>2605400</v>
      </c>
      <c r="P549" s="11">
        <v>0</v>
      </c>
      <c r="Q549" s="12">
        <v>208409</v>
      </c>
      <c r="R549" s="12">
        <v>186659</v>
      </c>
      <c r="S549" s="12">
        <v>2396991</v>
      </c>
      <c r="T549" s="12">
        <v>2418741</v>
      </c>
      <c r="U549" s="12">
        <v>2396991</v>
      </c>
      <c r="V549" s="12">
        <v>2418741</v>
      </c>
      <c r="W549" s="12">
        <v>0</v>
      </c>
      <c r="X549" s="12">
        <v>0</v>
      </c>
      <c r="Y549" s="12">
        <v>413</v>
      </c>
      <c r="Z549" s="12">
        <v>420</v>
      </c>
      <c r="AA549" s="11">
        <v>1.69</v>
      </c>
      <c r="AB549" s="12">
        <v>532876</v>
      </c>
      <c r="AC549" s="12">
        <v>735477</v>
      </c>
      <c r="AD549" s="12">
        <v>304889</v>
      </c>
      <c r="AE549" s="12">
        <v>333805</v>
      </c>
      <c r="AF549" s="12">
        <v>827873</v>
      </c>
      <c r="AG549" s="12">
        <v>754284</v>
      </c>
      <c r="AH549" s="11">
        <v>8.2799999999999994</v>
      </c>
      <c r="AI549" s="11">
        <v>7.32</v>
      </c>
      <c r="AJ549" s="13"/>
    </row>
    <row r="550" spans="1:36" x14ac:dyDescent="0.25">
      <c r="A550" t="str">
        <f>"412000"</f>
        <v>412000</v>
      </c>
      <c r="B550" t="s">
        <v>636</v>
      </c>
      <c r="C550" s="10">
        <v>36583007</v>
      </c>
      <c r="D550" s="10">
        <v>37210849</v>
      </c>
      <c r="E550" s="11">
        <v>1.72</v>
      </c>
      <c r="F550" s="12">
        <v>13625958</v>
      </c>
      <c r="G550" s="12">
        <v>14002034</v>
      </c>
      <c r="H550" s="12"/>
      <c r="I550" s="12"/>
      <c r="J550" s="12"/>
      <c r="K550" s="12"/>
      <c r="L550" s="12"/>
      <c r="M550" s="12"/>
      <c r="N550" s="12">
        <v>13625958</v>
      </c>
      <c r="O550" s="12">
        <v>14002034</v>
      </c>
      <c r="P550" s="11">
        <v>2.76</v>
      </c>
      <c r="Q550" s="12">
        <v>404848</v>
      </c>
      <c r="R550" s="12">
        <v>337845</v>
      </c>
      <c r="S550" s="12">
        <v>13262443</v>
      </c>
      <c r="T550" s="12">
        <v>13666904</v>
      </c>
      <c r="U550" s="12">
        <v>13221110</v>
      </c>
      <c r="V550" s="12">
        <v>13664189</v>
      </c>
      <c r="W550" s="12">
        <v>41333</v>
      </c>
      <c r="X550" s="12">
        <v>2715</v>
      </c>
      <c r="Y550" s="12">
        <v>1951</v>
      </c>
      <c r="Z550" s="12">
        <v>1914</v>
      </c>
      <c r="AA550" s="11">
        <v>-1.9</v>
      </c>
      <c r="AB550" s="12">
        <v>10049287</v>
      </c>
      <c r="AC550" s="12">
        <v>7281979</v>
      </c>
      <c r="AD550" s="12">
        <v>1257777</v>
      </c>
      <c r="AE550" s="12">
        <v>2520094</v>
      </c>
      <c r="AF550" s="12">
        <v>1227630</v>
      </c>
      <c r="AG550" s="12">
        <v>1414012</v>
      </c>
      <c r="AH550" s="11">
        <v>3.36</v>
      </c>
      <c r="AI550" s="11">
        <v>3.8</v>
      </c>
      <c r="AJ550" s="13"/>
    </row>
    <row r="551" spans="1:36" x14ac:dyDescent="0.25">
      <c r="A551" t="str">
        <f>"580601"</f>
        <v>580601</v>
      </c>
      <c r="B551" t="s">
        <v>637</v>
      </c>
      <c r="C551" s="10">
        <v>74074572</v>
      </c>
      <c r="D551" s="10">
        <v>74776072</v>
      </c>
      <c r="E551" s="11">
        <v>0.95</v>
      </c>
      <c r="F551" s="12">
        <v>53388990</v>
      </c>
      <c r="G551" s="12">
        <v>53120215</v>
      </c>
      <c r="H551" s="12"/>
      <c r="I551" s="12"/>
      <c r="J551" s="12"/>
      <c r="K551" s="12"/>
      <c r="L551" s="12"/>
      <c r="M551" s="12"/>
      <c r="N551" s="12">
        <v>53388990</v>
      </c>
      <c r="O551" s="12">
        <v>53120215</v>
      </c>
      <c r="P551" s="11">
        <v>-0.5</v>
      </c>
      <c r="Q551" s="12">
        <v>2933839</v>
      </c>
      <c r="R551" s="12">
        <v>1514546</v>
      </c>
      <c r="S551" s="12">
        <v>50455151</v>
      </c>
      <c r="T551" s="12">
        <v>51605670</v>
      </c>
      <c r="U551" s="12">
        <v>50455151</v>
      </c>
      <c r="V551" s="12">
        <v>51605669</v>
      </c>
      <c r="W551" s="12">
        <v>0</v>
      </c>
      <c r="X551" s="12">
        <v>1</v>
      </c>
      <c r="Y551" s="12">
        <v>2167</v>
      </c>
      <c r="Z551" s="12">
        <v>2085</v>
      </c>
      <c r="AA551" s="11">
        <v>-3.78</v>
      </c>
      <c r="AB551" s="12">
        <v>17333840</v>
      </c>
      <c r="AC551" s="12">
        <v>20684595</v>
      </c>
      <c r="AD551" s="12">
        <v>4737647</v>
      </c>
      <c r="AE551" s="12">
        <v>4376209</v>
      </c>
      <c r="AF551" s="12">
        <v>2962712</v>
      </c>
      <c r="AG551" s="12">
        <v>2991043</v>
      </c>
      <c r="AH551" s="11">
        <v>4</v>
      </c>
      <c r="AI551" s="11">
        <v>4</v>
      </c>
      <c r="AJ551" s="13"/>
    </row>
    <row r="552" spans="1:36" x14ac:dyDescent="0.25">
      <c r="A552" t="str">
        <f>"121601"</f>
        <v>121601</v>
      </c>
      <c r="B552" t="s">
        <v>638</v>
      </c>
      <c r="C552" s="10">
        <v>26778081</v>
      </c>
      <c r="D552" s="10">
        <v>28362879</v>
      </c>
      <c r="E552" s="11">
        <v>5.92</v>
      </c>
      <c r="F552" s="12">
        <v>5991960</v>
      </c>
      <c r="G552" s="12">
        <v>5991960</v>
      </c>
      <c r="H552" s="12">
        <v>525540</v>
      </c>
      <c r="I552" s="12">
        <v>537614</v>
      </c>
      <c r="J552" s="12"/>
      <c r="K552" s="12"/>
      <c r="L552" s="12"/>
      <c r="M552" s="12"/>
      <c r="N552" s="12">
        <v>6517500</v>
      </c>
      <c r="O552" s="12">
        <v>6529574</v>
      </c>
      <c r="P552" s="11">
        <v>0.19</v>
      </c>
      <c r="Q552" s="12">
        <v>0</v>
      </c>
      <c r="R552" s="12">
        <v>0</v>
      </c>
      <c r="S552" s="12">
        <v>6235405</v>
      </c>
      <c r="T552" s="12">
        <v>6214582</v>
      </c>
      <c r="U552" s="12">
        <v>5991960</v>
      </c>
      <c r="V552" s="12">
        <v>5991960</v>
      </c>
      <c r="W552" s="12">
        <v>243445</v>
      </c>
      <c r="X552" s="12">
        <v>222622</v>
      </c>
      <c r="Y552" s="12">
        <v>1096</v>
      </c>
      <c r="Z552" s="12">
        <v>1111</v>
      </c>
      <c r="AA552" s="11">
        <v>1.37</v>
      </c>
      <c r="AB552" s="12">
        <v>4840635</v>
      </c>
      <c r="AC552" s="12">
        <v>4840635</v>
      </c>
      <c r="AD552" s="12">
        <v>1331048</v>
      </c>
      <c r="AE552" s="12">
        <v>1254842</v>
      </c>
      <c r="AF552" s="12">
        <v>1432120</v>
      </c>
      <c r="AG552" s="12">
        <v>1331048</v>
      </c>
      <c r="AH552" s="11">
        <v>5.35</v>
      </c>
      <c r="AI552" s="11">
        <v>4.6900000000000004</v>
      </c>
      <c r="AJ552" s="13"/>
    </row>
    <row r="553" spans="1:36" x14ac:dyDescent="0.25">
      <c r="A553" t="str">
        <f>"061501"</f>
        <v>061501</v>
      </c>
      <c r="B553" t="s">
        <v>639</v>
      </c>
      <c r="C553" s="10">
        <v>23143821</v>
      </c>
      <c r="D553" s="10">
        <v>24516388</v>
      </c>
      <c r="E553" s="11">
        <v>5.93</v>
      </c>
      <c r="F553" s="12">
        <v>6034951</v>
      </c>
      <c r="G553" s="12">
        <v>6188882</v>
      </c>
      <c r="H553" s="12"/>
      <c r="I553" s="12"/>
      <c r="J553" s="12"/>
      <c r="K553" s="12"/>
      <c r="L553" s="12"/>
      <c r="M553" s="12"/>
      <c r="N553" s="12">
        <v>6034951</v>
      </c>
      <c r="O553" s="12">
        <v>6188882</v>
      </c>
      <c r="P553" s="11">
        <v>2.5499999999999998</v>
      </c>
      <c r="Q553" s="12">
        <v>0</v>
      </c>
      <c r="R553" s="12">
        <v>0</v>
      </c>
      <c r="S553" s="12">
        <v>6034951</v>
      </c>
      <c r="T553" s="12">
        <v>6188882</v>
      </c>
      <c r="U553" s="12">
        <v>6034951</v>
      </c>
      <c r="V553" s="12">
        <v>6188882</v>
      </c>
      <c r="W553" s="12">
        <v>0</v>
      </c>
      <c r="X553" s="12">
        <v>0</v>
      </c>
      <c r="Y553" s="12">
        <v>1078</v>
      </c>
      <c r="Z553" s="12">
        <v>1076</v>
      </c>
      <c r="AA553" s="11">
        <v>-0.19</v>
      </c>
      <c r="AB553" s="12">
        <v>6351368</v>
      </c>
      <c r="AC553" s="12">
        <v>6235882</v>
      </c>
      <c r="AD553" s="12">
        <v>980763</v>
      </c>
      <c r="AE553" s="12">
        <v>1352196</v>
      </c>
      <c r="AF553" s="12">
        <v>1925524</v>
      </c>
      <c r="AG553" s="12">
        <v>2942871</v>
      </c>
      <c r="AH553" s="11">
        <v>8.32</v>
      </c>
      <c r="AI553" s="11">
        <v>12</v>
      </c>
      <c r="AJ553" s="13"/>
    </row>
    <row r="554" spans="1:36" x14ac:dyDescent="0.25">
      <c r="A554" t="str">
        <f>"421601"</f>
        <v>421601</v>
      </c>
      <c r="B554" t="s">
        <v>640</v>
      </c>
      <c r="C554" s="10">
        <v>32456761</v>
      </c>
      <c r="D554" s="10">
        <v>34009732</v>
      </c>
      <c r="E554" s="11">
        <v>4.78</v>
      </c>
      <c r="F554" s="12">
        <v>24010144</v>
      </c>
      <c r="G554" s="12">
        <v>24910524</v>
      </c>
      <c r="H554" s="12"/>
      <c r="I554" s="12"/>
      <c r="J554" s="12"/>
      <c r="K554" s="12"/>
      <c r="L554" s="12"/>
      <c r="M554" s="12"/>
      <c r="N554" s="12">
        <v>24010144</v>
      </c>
      <c r="O554" s="12">
        <v>24910524</v>
      </c>
      <c r="P554" s="11">
        <v>3.75</v>
      </c>
      <c r="Q554" s="12">
        <v>1737640</v>
      </c>
      <c r="R554" s="12">
        <v>2139390</v>
      </c>
      <c r="S554" s="12">
        <v>22452794</v>
      </c>
      <c r="T554" s="12">
        <v>22936719</v>
      </c>
      <c r="U554" s="12">
        <v>22272504</v>
      </c>
      <c r="V554" s="12">
        <v>22771134</v>
      </c>
      <c r="W554" s="12">
        <v>180290</v>
      </c>
      <c r="X554" s="12">
        <v>165585</v>
      </c>
      <c r="Y554" s="12">
        <v>1363</v>
      </c>
      <c r="Z554" s="12">
        <v>1318</v>
      </c>
      <c r="AA554" s="11">
        <v>-3.3</v>
      </c>
      <c r="AB554" s="12">
        <v>7356297</v>
      </c>
      <c r="AC554" s="12">
        <v>6427552</v>
      </c>
      <c r="AD554" s="12">
        <v>0</v>
      </c>
      <c r="AE554" s="12">
        <v>150000</v>
      </c>
      <c r="AF554" s="12">
        <v>1298270</v>
      </c>
      <c r="AG554" s="12">
        <v>1360390</v>
      </c>
      <c r="AH554" s="11">
        <v>4</v>
      </c>
      <c r="AI554" s="11">
        <v>4</v>
      </c>
      <c r="AJ554" s="13"/>
    </row>
    <row r="555" spans="1:36" x14ac:dyDescent="0.25">
      <c r="A555" t="str">
        <f>"580801"</f>
        <v>580801</v>
      </c>
      <c r="B555" t="s">
        <v>641</v>
      </c>
      <c r="C555" s="10">
        <v>239367205</v>
      </c>
      <c r="D555" s="10">
        <v>244913464</v>
      </c>
      <c r="E555" s="11">
        <v>2.3199999999999998</v>
      </c>
      <c r="F555" s="12">
        <v>187169883</v>
      </c>
      <c r="G555" s="12">
        <v>192689494</v>
      </c>
      <c r="H555" s="12"/>
      <c r="I555" s="12"/>
      <c r="J555" s="12"/>
      <c r="K555" s="12"/>
      <c r="L555" s="12"/>
      <c r="M555" s="12"/>
      <c r="N555" s="12">
        <v>187169883</v>
      </c>
      <c r="O555" s="12">
        <v>192689494</v>
      </c>
      <c r="P555" s="11">
        <v>2.95</v>
      </c>
      <c r="Q555" s="12">
        <v>4146571</v>
      </c>
      <c r="R555" s="12">
        <v>5334010</v>
      </c>
      <c r="S555" s="12">
        <v>183023312</v>
      </c>
      <c r="T555" s="12">
        <v>187355484</v>
      </c>
      <c r="U555" s="12">
        <v>183023312</v>
      </c>
      <c r="V555" s="12">
        <v>187355484</v>
      </c>
      <c r="W555" s="12">
        <v>0</v>
      </c>
      <c r="X555" s="12">
        <v>0</v>
      </c>
      <c r="Y555" s="12">
        <v>8926</v>
      </c>
      <c r="Z555" s="12">
        <v>8600</v>
      </c>
      <c r="AA555" s="11">
        <v>-3.65</v>
      </c>
      <c r="AB555" s="12">
        <v>35441882</v>
      </c>
      <c r="AC555" s="12">
        <v>26160958</v>
      </c>
      <c r="AD555" s="12">
        <v>1352873</v>
      </c>
      <c r="AE555" s="12">
        <v>1594807</v>
      </c>
      <c r="AF555" s="12">
        <v>9574653</v>
      </c>
      <c r="AG555" s="12">
        <v>9796538</v>
      </c>
      <c r="AH555" s="11">
        <v>4</v>
      </c>
      <c r="AI555" s="11">
        <v>4</v>
      </c>
      <c r="AJ555" s="13"/>
    </row>
    <row r="556" spans="1:36" x14ac:dyDescent="0.25">
      <c r="A556" t="str">
        <f>"651201"</f>
        <v>651201</v>
      </c>
      <c r="B556" t="s">
        <v>642</v>
      </c>
      <c r="C556" s="10">
        <v>27898421</v>
      </c>
      <c r="D556" s="10">
        <v>27530756</v>
      </c>
      <c r="E556" s="11">
        <v>-1.32</v>
      </c>
      <c r="F556" s="12">
        <v>8802907</v>
      </c>
      <c r="G556" s="12">
        <v>8886190</v>
      </c>
      <c r="H556" s="12"/>
      <c r="I556" s="12"/>
      <c r="J556" s="12"/>
      <c r="K556" s="12"/>
      <c r="L556" s="12"/>
      <c r="M556" s="12"/>
      <c r="N556" s="12">
        <v>8802907</v>
      </c>
      <c r="O556" s="12">
        <v>8886190</v>
      </c>
      <c r="P556" s="11">
        <v>0.95</v>
      </c>
      <c r="Q556" s="12">
        <v>0</v>
      </c>
      <c r="R556" s="12">
        <v>0</v>
      </c>
      <c r="S556" s="12">
        <v>8925170</v>
      </c>
      <c r="T556" s="12">
        <v>9104820</v>
      </c>
      <c r="U556" s="12">
        <v>8802907</v>
      </c>
      <c r="V556" s="12">
        <v>8886190</v>
      </c>
      <c r="W556" s="12">
        <v>122263</v>
      </c>
      <c r="X556" s="12">
        <v>218630</v>
      </c>
      <c r="Y556" s="12">
        <v>1075</v>
      </c>
      <c r="Z556" s="12">
        <v>1075</v>
      </c>
      <c r="AA556" s="11">
        <v>0</v>
      </c>
      <c r="AB556" s="12">
        <v>3200948</v>
      </c>
      <c r="AC556" s="12">
        <v>3200000</v>
      </c>
      <c r="AD556" s="12">
        <v>733503</v>
      </c>
      <c r="AE556" s="12">
        <v>725000</v>
      </c>
      <c r="AF556" s="12">
        <v>1151880</v>
      </c>
      <c r="AG556" s="12">
        <v>1150000</v>
      </c>
      <c r="AH556" s="11">
        <v>4.13</v>
      </c>
      <c r="AI556" s="11">
        <v>4.18</v>
      </c>
      <c r="AJ556" s="13"/>
    </row>
    <row r="557" spans="1:36" x14ac:dyDescent="0.25">
      <c r="A557" t="str">
        <f>"420702"</f>
        <v>420702</v>
      </c>
      <c r="B557" t="s">
        <v>643</v>
      </c>
      <c r="C557" s="10">
        <v>33427500</v>
      </c>
      <c r="D557" s="10">
        <v>33350000</v>
      </c>
      <c r="E557" s="11">
        <v>-0.23</v>
      </c>
      <c r="F557" s="12">
        <v>14690000</v>
      </c>
      <c r="G557" s="12">
        <v>14904000</v>
      </c>
      <c r="H557" s="12"/>
      <c r="I557" s="12"/>
      <c r="J557" s="12"/>
      <c r="K557" s="12"/>
      <c r="L557" s="12"/>
      <c r="M557" s="12"/>
      <c r="N557" s="12">
        <v>14690000</v>
      </c>
      <c r="O557" s="12">
        <v>14904000</v>
      </c>
      <c r="P557" s="11">
        <v>1.46</v>
      </c>
      <c r="Q557" s="12">
        <v>729228</v>
      </c>
      <c r="R557" s="12">
        <v>515888</v>
      </c>
      <c r="S557" s="12">
        <v>13966812</v>
      </c>
      <c r="T557" s="12">
        <v>14388551</v>
      </c>
      <c r="U557" s="12">
        <v>13960772</v>
      </c>
      <c r="V557" s="12">
        <v>14388112</v>
      </c>
      <c r="W557" s="12">
        <v>6040</v>
      </c>
      <c r="X557" s="12">
        <v>439</v>
      </c>
      <c r="Y557" s="12">
        <v>1477</v>
      </c>
      <c r="Z557" s="12">
        <v>1469</v>
      </c>
      <c r="AA557" s="11">
        <v>-0.54</v>
      </c>
      <c r="AB557" s="12">
        <v>6096943</v>
      </c>
      <c r="AC557" s="12">
        <v>6105569</v>
      </c>
      <c r="AD557" s="12">
        <v>1360238</v>
      </c>
      <c r="AE557" s="12">
        <v>1200000</v>
      </c>
      <c r="AF557" s="12">
        <v>2271349</v>
      </c>
      <c r="AG557" s="12">
        <v>1800000</v>
      </c>
      <c r="AH557" s="11">
        <v>6.79</v>
      </c>
      <c r="AI557" s="11">
        <v>5.4</v>
      </c>
      <c r="AJ557" s="13"/>
    </row>
    <row r="558" spans="1:36" x14ac:dyDescent="0.25">
      <c r="A558" t="str">
        <f>"662101"</f>
        <v>662101</v>
      </c>
      <c r="B558" t="s">
        <v>644</v>
      </c>
      <c r="C558" s="10">
        <v>88330309</v>
      </c>
      <c r="D558" s="10">
        <v>91257500</v>
      </c>
      <c r="E558" s="11">
        <v>3.31</v>
      </c>
      <c r="F558" s="12">
        <v>75992382</v>
      </c>
      <c r="G558" s="12">
        <v>77739977</v>
      </c>
      <c r="H558" s="12"/>
      <c r="I558" s="12"/>
      <c r="J558" s="12"/>
      <c r="K558" s="12"/>
      <c r="L558" s="12"/>
      <c r="M558" s="12"/>
      <c r="N558" s="12">
        <v>75992382</v>
      </c>
      <c r="O558" s="12">
        <v>77739977</v>
      </c>
      <c r="P558" s="11">
        <v>2.2999999999999998</v>
      </c>
      <c r="Q558" s="12">
        <v>3276122</v>
      </c>
      <c r="R558" s="12">
        <v>3197957</v>
      </c>
      <c r="S558" s="12">
        <v>72716260</v>
      </c>
      <c r="T558" s="12">
        <v>74542020</v>
      </c>
      <c r="U558" s="12">
        <v>72716260</v>
      </c>
      <c r="V558" s="12">
        <v>74542020</v>
      </c>
      <c r="W558" s="12">
        <v>0</v>
      </c>
      <c r="X558" s="12">
        <v>0</v>
      </c>
      <c r="Y558" s="12">
        <v>2986</v>
      </c>
      <c r="Z558" s="12">
        <v>2911</v>
      </c>
      <c r="AA558" s="11">
        <v>-2.5099999999999998</v>
      </c>
      <c r="AB558" s="12">
        <v>8964584</v>
      </c>
      <c r="AC558" s="12">
        <v>8821418</v>
      </c>
      <c r="AD558" s="12">
        <v>25000</v>
      </c>
      <c r="AE558" s="12">
        <v>171345</v>
      </c>
      <c r="AF558" s="12">
        <v>3531553</v>
      </c>
      <c r="AG558" s="12">
        <v>3650300</v>
      </c>
      <c r="AH558" s="11">
        <v>4</v>
      </c>
      <c r="AI558" s="11">
        <v>4</v>
      </c>
      <c r="AJ558" s="13"/>
    </row>
    <row r="559" spans="1:36" x14ac:dyDescent="0.25">
      <c r="A559" t="str">
        <f>"010601"</f>
        <v>010601</v>
      </c>
      <c r="B559" t="s">
        <v>645</v>
      </c>
      <c r="C559" s="10">
        <v>99457249</v>
      </c>
      <c r="D559" s="10">
        <v>102196466</v>
      </c>
      <c r="E559" s="11">
        <v>2.75</v>
      </c>
      <c r="F559" s="12">
        <v>69316336</v>
      </c>
      <c r="G559" s="12">
        <v>71361168</v>
      </c>
      <c r="H559" s="12"/>
      <c r="I559" s="12"/>
      <c r="J559" s="12"/>
      <c r="K559" s="12"/>
      <c r="L559" s="12"/>
      <c r="M559" s="12"/>
      <c r="N559" s="12">
        <v>69316336</v>
      </c>
      <c r="O559" s="12">
        <v>71361168</v>
      </c>
      <c r="P559" s="11">
        <v>2.95</v>
      </c>
      <c r="Q559" s="12">
        <v>2493875</v>
      </c>
      <c r="R559" s="12">
        <v>2729496</v>
      </c>
      <c r="S559" s="12">
        <v>69197937</v>
      </c>
      <c r="T559" s="12">
        <v>68826545</v>
      </c>
      <c r="U559" s="12">
        <v>66822461</v>
      </c>
      <c r="V559" s="12">
        <v>68631672</v>
      </c>
      <c r="W559" s="12">
        <v>2375476</v>
      </c>
      <c r="X559" s="12">
        <v>194873</v>
      </c>
      <c r="Y559" s="12">
        <v>4906</v>
      </c>
      <c r="Z559" s="12">
        <v>4802</v>
      </c>
      <c r="AA559" s="11">
        <v>-2.12</v>
      </c>
      <c r="AB559" s="12">
        <v>7524093</v>
      </c>
      <c r="AC559" s="12">
        <v>6900000</v>
      </c>
      <c r="AD559" s="12">
        <v>4160000</v>
      </c>
      <c r="AE559" s="12">
        <v>4088414</v>
      </c>
      <c r="AF559" s="12">
        <v>3975791</v>
      </c>
      <c r="AG559" s="12">
        <v>3900000</v>
      </c>
      <c r="AH559" s="11">
        <v>4</v>
      </c>
      <c r="AI559" s="11">
        <v>3.82</v>
      </c>
      <c r="AJ559" s="13"/>
    </row>
    <row r="560" spans="1:36" x14ac:dyDescent="0.25">
      <c r="A560" t="str">
        <f>"580235"</f>
        <v>580235</v>
      </c>
      <c r="B560" t="s">
        <v>646</v>
      </c>
      <c r="C560" s="10">
        <v>129595729</v>
      </c>
      <c r="D560" s="10">
        <v>132158005</v>
      </c>
      <c r="E560" s="11">
        <v>1.98</v>
      </c>
      <c r="F560" s="12">
        <v>59032115</v>
      </c>
      <c r="G560" s="12">
        <v>60217689</v>
      </c>
      <c r="H560" s="12"/>
      <c r="I560" s="12"/>
      <c r="J560" s="12"/>
      <c r="K560" s="12"/>
      <c r="L560" s="12"/>
      <c r="M560" s="12"/>
      <c r="N560" s="12">
        <v>59032115</v>
      </c>
      <c r="O560" s="12">
        <v>60217689</v>
      </c>
      <c r="P560" s="11">
        <v>2.0099999999999998</v>
      </c>
      <c r="Q560" s="12">
        <v>0</v>
      </c>
      <c r="R560" s="12">
        <v>0</v>
      </c>
      <c r="S560" s="12">
        <v>59032115</v>
      </c>
      <c r="T560" s="12">
        <v>60217689</v>
      </c>
      <c r="U560" s="12">
        <v>59032115</v>
      </c>
      <c r="V560" s="12">
        <v>60217689</v>
      </c>
      <c r="W560" s="12">
        <v>0</v>
      </c>
      <c r="X560" s="12">
        <v>0</v>
      </c>
      <c r="Y560" s="12">
        <v>4403</v>
      </c>
      <c r="Z560" s="12">
        <v>4353</v>
      </c>
      <c r="AA560" s="11">
        <v>-1.1399999999999999</v>
      </c>
      <c r="AB560" s="12">
        <v>16405386</v>
      </c>
      <c r="AC560" s="12">
        <v>15520696</v>
      </c>
      <c r="AD560" s="12">
        <v>4175244</v>
      </c>
      <c r="AE560" s="12">
        <v>3998649</v>
      </c>
      <c r="AF560" s="12">
        <v>5183829</v>
      </c>
      <c r="AG560" s="12">
        <v>5286320</v>
      </c>
      <c r="AH560" s="11">
        <v>4</v>
      </c>
      <c r="AI560" s="11">
        <v>4</v>
      </c>
      <c r="AJ560" s="13"/>
    </row>
    <row r="561" spans="1:36" x14ac:dyDescent="0.25">
      <c r="A561" t="str">
        <f>"521401"</f>
        <v>521401</v>
      </c>
      <c r="B561" t="s">
        <v>647</v>
      </c>
      <c r="C561" s="10">
        <v>57842074</v>
      </c>
      <c r="D561" s="10">
        <v>56646120</v>
      </c>
      <c r="E561" s="11">
        <v>-2.0699999999999998</v>
      </c>
      <c r="F561" s="12">
        <v>28957450</v>
      </c>
      <c r="G561" s="12">
        <v>29884088</v>
      </c>
      <c r="H561" s="12"/>
      <c r="I561" s="12"/>
      <c r="J561" s="12"/>
      <c r="K561" s="12"/>
      <c r="L561" s="12"/>
      <c r="M561" s="12"/>
      <c r="N561" s="12">
        <v>28957450</v>
      </c>
      <c r="O561" s="12">
        <v>29884088</v>
      </c>
      <c r="P561" s="11">
        <v>3.2</v>
      </c>
      <c r="Q561" s="12">
        <v>742958</v>
      </c>
      <c r="R561" s="12">
        <v>692200</v>
      </c>
      <c r="S561" s="12">
        <v>28215854</v>
      </c>
      <c r="T561" s="12">
        <v>29203533</v>
      </c>
      <c r="U561" s="12">
        <v>28214492</v>
      </c>
      <c r="V561" s="12">
        <v>29191888</v>
      </c>
      <c r="W561" s="12">
        <v>1362</v>
      </c>
      <c r="X561" s="12">
        <v>11645</v>
      </c>
      <c r="Y561" s="12">
        <v>3089</v>
      </c>
      <c r="Z561" s="12">
        <v>3098</v>
      </c>
      <c r="AA561" s="11">
        <v>0.28999999999999998</v>
      </c>
      <c r="AB561" s="12">
        <v>9050633</v>
      </c>
      <c r="AC561" s="12">
        <v>11788500</v>
      </c>
      <c r="AD561" s="12">
        <v>2650712</v>
      </c>
      <c r="AE561" s="12">
        <v>1951000</v>
      </c>
      <c r="AF561" s="12">
        <v>1778243</v>
      </c>
      <c r="AG561" s="12">
        <v>1900000</v>
      </c>
      <c r="AH561" s="11">
        <v>3.07</v>
      </c>
      <c r="AI561" s="11">
        <v>3.35</v>
      </c>
      <c r="AJ561" s="13"/>
    </row>
    <row r="562" spans="1:36" x14ac:dyDescent="0.25">
      <c r="A562" t="str">
        <f>"580413"</f>
        <v>580413</v>
      </c>
      <c r="B562" t="s">
        <v>648</v>
      </c>
      <c r="C562" s="10">
        <v>162794840</v>
      </c>
      <c r="D562" s="10">
        <v>170505675</v>
      </c>
      <c r="E562" s="11">
        <v>4.74</v>
      </c>
      <c r="F562" s="12">
        <v>112183534</v>
      </c>
      <c r="G562" s="12">
        <v>114599696</v>
      </c>
      <c r="H562" s="12"/>
      <c r="I562" s="12"/>
      <c r="J562" s="12"/>
      <c r="K562" s="12"/>
      <c r="L562" s="12"/>
      <c r="M562" s="12"/>
      <c r="N562" s="12">
        <v>112183534</v>
      </c>
      <c r="O562" s="12">
        <v>114599696</v>
      </c>
      <c r="P562" s="11">
        <v>2.15</v>
      </c>
      <c r="Q562" s="12">
        <v>2948705</v>
      </c>
      <c r="R562" s="12">
        <v>2985644</v>
      </c>
      <c r="S562" s="12">
        <v>109234829</v>
      </c>
      <c r="T562" s="12">
        <v>111614052</v>
      </c>
      <c r="U562" s="12">
        <v>109234829</v>
      </c>
      <c r="V562" s="12">
        <v>111614052</v>
      </c>
      <c r="W562" s="12">
        <v>0</v>
      </c>
      <c r="X562" s="12">
        <v>0</v>
      </c>
      <c r="Y562" s="12">
        <v>5932</v>
      </c>
      <c r="Z562" s="12">
        <v>5866</v>
      </c>
      <c r="AA562" s="11">
        <v>-1.1100000000000001</v>
      </c>
      <c r="AB562" s="12">
        <v>18435774</v>
      </c>
      <c r="AC562" s="12">
        <v>14185774</v>
      </c>
      <c r="AD562" s="12">
        <v>5318034</v>
      </c>
      <c r="AE562" s="12">
        <v>5537282</v>
      </c>
      <c r="AF562" s="12">
        <v>6511792</v>
      </c>
      <c r="AG562" s="12">
        <v>6820000</v>
      </c>
      <c r="AH562" s="11">
        <v>4</v>
      </c>
      <c r="AI562" s="11">
        <v>4</v>
      </c>
      <c r="AJ562" s="13"/>
    </row>
    <row r="563" spans="1:36" x14ac:dyDescent="0.25">
      <c r="A563" t="str">
        <f>"220101"</f>
        <v>220101</v>
      </c>
      <c r="B563" t="s">
        <v>649</v>
      </c>
      <c r="C563" s="10">
        <v>33326369</v>
      </c>
      <c r="D563" s="10">
        <v>34380186</v>
      </c>
      <c r="E563" s="11">
        <v>3.16</v>
      </c>
      <c r="F563" s="12">
        <v>7441625</v>
      </c>
      <c r="G563" s="12">
        <v>7630000</v>
      </c>
      <c r="H563" s="12"/>
      <c r="I563" s="12"/>
      <c r="J563" s="12"/>
      <c r="K563" s="12"/>
      <c r="L563" s="12"/>
      <c r="M563" s="12"/>
      <c r="N563" s="12">
        <v>7441625</v>
      </c>
      <c r="O563" s="12">
        <v>7630000</v>
      </c>
      <c r="P563" s="11">
        <v>2.5299999999999998</v>
      </c>
      <c r="Q563" s="12">
        <v>81057</v>
      </c>
      <c r="R563" s="12">
        <v>73623</v>
      </c>
      <c r="S563" s="12">
        <v>7360568</v>
      </c>
      <c r="T563" s="12">
        <v>7557633</v>
      </c>
      <c r="U563" s="12">
        <v>7360568</v>
      </c>
      <c r="V563" s="12">
        <v>7556377</v>
      </c>
      <c r="W563" s="12">
        <v>0</v>
      </c>
      <c r="X563" s="12">
        <v>1256</v>
      </c>
      <c r="Y563" s="12">
        <v>2039</v>
      </c>
      <c r="Z563" s="12">
        <v>2004</v>
      </c>
      <c r="AA563" s="11">
        <v>-1.72</v>
      </c>
      <c r="AB563" s="12">
        <v>91113</v>
      </c>
      <c r="AC563" s="12">
        <v>91113</v>
      </c>
      <c r="AD563" s="12">
        <v>2043571</v>
      </c>
      <c r="AE563" s="12">
        <v>2143571</v>
      </c>
      <c r="AF563" s="12">
        <v>1881269</v>
      </c>
      <c r="AG563" s="12">
        <v>1375207</v>
      </c>
      <c r="AH563" s="11">
        <v>5.64</v>
      </c>
      <c r="AI563" s="11">
        <v>4</v>
      </c>
      <c r="AJ563" s="13"/>
    </row>
    <row r="564" spans="1:36" x14ac:dyDescent="0.25">
      <c r="A564" t="str">
        <f>"121702"</f>
        <v>121702</v>
      </c>
      <c r="B564" t="s">
        <v>650</v>
      </c>
      <c r="C564" s="10">
        <v>9288252</v>
      </c>
      <c r="D564" s="10">
        <v>10254075</v>
      </c>
      <c r="E564" s="11">
        <v>10.4</v>
      </c>
      <c r="F564" s="12">
        <v>4473912</v>
      </c>
      <c r="G564" s="12">
        <v>4630499</v>
      </c>
      <c r="H564" s="12"/>
      <c r="I564" s="12"/>
      <c r="J564" s="12"/>
      <c r="K564" s="12"/>
      <c r="L564" s="12"/>
      <c r="M564" s="12"/>
      <c r="N564" s="12">
        <v>4473912</v>
      </c>
      <c r="O564" s="12">
        <v>4630499</v>
      </c>
      <c r="P564" s="11">
        <v>3.5</v>
      </c>
      <c r="Q564" s="12">
        <v>0</v>
      </c>
      <c r="R564" s="12">
        <v>160414</v>
      </c>
      <c r="S564" s="12">
        <v>4473912</v>
      </c>
      <c r="T564" s="12">
        <v>4594878</v>
      </c>
      <c r="U564" s="12">
        <v>4473912</v>
      </c>
      <c r="V564" s="12">
        <v>4470085</v>
      </c>
      <c r="W564" s="12">
        <v>0</v>
      </c>
      <c r="X564" s="12">
        <v>124793</v>
      </c>
      <c r="Y564" s="12">
        <v>381</v>
      </c>
      <c r="Z564" s="12">
        <v>376</v>
      </c>
      <c r="AA564" s="11">
        <v>-1.31</v>
      </c>
      <c r="AB564" s="12">
        <v>1011512</v>
      </c>
      <c r="AC564" s="12">
        <v>1011512</v>
      </c>
      <c r="AD564" s="12">
        <v>340000</v>
      </c>
      <c r="AE564" s="12">
        <v>343500</v>
      </c>
      <c r="AF564" s="12">
        <v>344990</v>
      </c>
      <c r="AG564" s="12">
        <v>200000</v>
      </c>
      <c r="AH564" s="11">
        <v>3.71</v>
      </c>
      <c r="AI564" s="11">
        <v>1.95</v>
      </c>
      <c r="AJ564" s="13"/>
    </row>
    <row r="565" spans="1:36" x14ac:dyDescent="0.25">
      <c r="A565" t="str">
        <f>"231101"</f>
        <v>231101</v>
      </c>
      <c r="B565" t="s">
        <v>651</v>
      </c>
      <c r="C565" s="10">
        <v>25185830</v>
      </c>
      <c r="D565" s="10">
        <v>25559993</v>
      </c>
      <c r="E565" s="11">
        <v>1.49</v>
      </c>
      <c r="F565" s="12">
        <v>8346897</v>
      </c>
      <c r="G565" s="12">
        <v>8511330</v>
      </c>
      <c r="H565" s="12"/>
      <c r="I565" s="12"/>
      <c r="J565" s="12"/>
      <c r="K565" s="12"/>
      <c r="L565" s="12"/>
      <c r="M565" s="12"/>
      <c r="N565" s="12">
        <v>8346897</v>
      </c>
      <c r="O565" s="12">
        <v>8511330</v>
      </c>
      <c r="P565" s="11">
        <v>1.97</v>
      </c>
      <c r="Q565" s="12">
        <v>166573</v>
      </c>
      <c r="R565" s="12">
        <v>147210</v>
      </c>
      <c r="S565" s="12">
        <v>8308755</v>
      </c>
      <c r="T565" s="12">
        <v>8429046</v>
      </c>
      <c r="U565" s="12">
        <v>8180324</v>
      </c>
      <c r="V565" s="12">
        <v>8364120</v>
      </c>
      <c r="W565" s="12">
        <v>128431</v>
      </c>
      <c r="X565" s="12">
        <v>64926</v>
      </c>
      <c r="Y565" s="12">
        <v>1026</v>
      </c>
      <c r="Z565" s="12">
        <v>1001</v>
      </c>
      <c r="AA565" s="11">
        <v>-2.44</v>
      </c>
      <c r="AB565" s="12">
        <v>564943</v>
      </c>
      <c r="AC565" s="12">
        <v>572000</v>
      </c>
      <c r="AD565" s="12">
        <v>1389409</v>
      </c>
      <c r="AE565" s="12">
        <v>1389409</v>
      </c>
      <c r="AF565" s="12">
        <v>1980159</v>
      </c>
      <c r="AG565" s="12">
        <v>1785000</v>
      </c>
      <c r="AH565" s="11">
        <v>7.86</v>
      </c>
      <c r="AI565" s="11">
        <v>6.98</v>
      </c>
      <c r="AJ565" s="13"/>
    </row>
    <row r="566" spans="1:36" x14ac:dyDescent="0.25">
      <c r="A566" t="str">
        <f>"500301"</f>
        <v>500301</v>
      </c>
      <c r="B566" t="s">
        <v>652</v>
      </c>
      <c r="C566" s="10">
        <v>88966619</v>
      </c>
      <c r="D566" s="10">
        <v>91817017</v>
      </c>
      <c r="E566" s="11">
        <v>3.2</v>
      </c>
      <c r="F566" s="12">
        <v>75590290</v>
      </c>
      <c r="G566" s="12">
        <v>78384162</v>
      </c>
      <c r="H566" s="12"/>
      <c r="I566" s="12"/>
      <c r="J566" s="12"/>
      <c r="K566" s="12"/>
      <c r="L566" s="12"/>
      <c r="M566" s="12"/>
      <c r="N566" s="12">
        <v>75590290</v>
      </c>
      <c r="O566" s="12">
        <v>78384162</v>
      </c>
      <c r="P566" s="11">
        <v>3.7</v>
      </c>
      <c r="Q566" s="12">
        <v>678810</v>
      </c>
      <c r="R566" s="12">
        <v>1766837</v>
      </c>
      <c r="S566" s="12">
        <v>74911480</v>
      </c>
      <c r="T566" s="12">
        <v>76617325</v>
      </c>
      <c r="U566" s="12">
        <v>74911480</v>
      </c>
      <c r="V566" s="12">
        <v>76617325</v>
      </c>
      <c r="W566" s="12">
        <v>0</v>
      </c>
      <c r="X566" s="12">
        <v>0</v>
      </c>
      <c r="Y566" s="12">
        <v>3036</v>
      </c>
      <c r="Z566" s="12">
        <v>2997</v>
      </c>
      <c r="AA566" s="11">
        <v>-1.28</v>
      </c>
      <c r="AB566" s="12">
        <v>18769966</v>
      </c>
      <c r="AC566" s="12">
        <v>13380284</v>
      </c>
      <c r="AD566" s="12">
        <v>959097</v>
      </c>
      <c r="AE566" s="12">
        <v>0</v>
      </c>
      <c r="AF566" s="12">
        <v>3558664</v>
      </c>
      <c r="AG566" s="12">
        <v>3672681</v>
      </c>
      <c r="AH566" s="11">
        <v>4</v>
      </c>
      <c r="AI566" s="11">
        <v>4</v>
      </c>
      <c r="AJ566" s="13"/>
    </row>
    <row r="567" spans="1:36" x14ac:dyDescent="0.25">
      <c r="A567" t="str">
        <f>"560501"</f>
        <v>560501</v>
      </c>
      <c r="B567" t="s">
        <v>653</v>
      </c>
      <c r="C567" s="10">
        <v>23785405</v>
      </c>
      <c r="D567" s="10">
        <v>24354864</v>
      </c>
      <c r="E567" s="11">
        <v>2.39</v>
      </c>
      <c r="F567" s="12">
        <v>7915377</v>
      </c>
      <c r="G567" s="12">
        <v>8084374</v>
      </c>
      <c r="H567" s="12"/>
      <c r="I567" s="12"/>
      <c r="J567" s="12"/>
      <c r="K567" s="12"/>
      <c r="L567" s="12"/>
      <c r="M567" s="12"/>
      <c r="N567" s="12">
        <v>7915377</v>
      </c>
      <c r="O567" s="12">
        <v>8084374</v>
      </c>
      <c r="P567" s="11">
        <v>2.14</v>
      </c>
      <c r="Q567" s="12">
        <v>604658</v>
      </c>
      <c r="R567" s="12">
        <v>589238</v>
      </c>
      <c r="S567" s="12">
        <v>7310719</v>
      </c>
      <c r="T567" s="12">
        <v>7495136</v>
      </c>
      <c r="U567" s="12">
        <v>7310719</v>
      </c>
      <c r="V567" s="12">
        <v>7495136</v>
      </c>
      <c r="W567" s="12">
        <v>0</v>
      </c>
      <c r="X567" s="12">
        <v>0</v>
      </c>
      <c r="Y567" s="12">
        <v>710</v>
      </c>
      <c r="Z567" s="12">
        <v>699</v>
      </c>
      <c r="AA567" s="11">
        <v>-1.55</v>
      </c>
      <c r="AB567" s="12">
        <v>5551085</v>
      </c>
      <c r="AC567" s="12">
        <v>6124840</v>
      </c>
      <c r="AD567" s="12">
        <v>250000</v>
      </c>
      <c r="AE567" s="12">
        <v>250000</v>
      </c>
      <c r="AF567" s="12">
        <v>951416</v>
      </c>
      <c r="AG567" s="12">
        <v>974194</v>
      </c>
      <c r="AH567" s="11">
        <v>4</v>
      </c>
      <c r="AI567" s="11">
        <v>4</v>
      </c>
      <c r="AJ567" s="13"/>
    </row>
    <row r="568" spans="1:36" x14ac:dyDescent="0.25">
      <c r="A568" t="str">
        <f>"580906"</f>
        <v>580906</v>
      </c>
      <c r="B568" t="s">
        <v>654</v>
      </c>
      <c r="C568" s="10">
        <v>68847113</v>
      </c>
      <c r="D568" s="10">
        <v>70436192</v>
      </c>
      <c r="E568" s="11">
        <v>2.31</v>
      </c>
      <c r="F568" s="12">
        <v>55291498</v>
      </c>
      <c r="G568" s="12">
        <v>57121237</v>
      </c>
      <c r="H568" s="12"/>
      <c r="I568" s="12"/>
      <c r="J568" s="12"/>
      <c r="K568" s="12"/>
      <c r="L568" s="12"/>
      <c r="M568" s="12"/>
      <c r="N568" s="12">
        <v>55291498</v>
      </c>
      <c r="O568" s="12">
        <v>57121237</v>
      </c>
      <c r="P568" s="11">
        <v>3.31</v>
      </c>
      <c r="Q568" s="12">
        <v>3400526</v>
      </c>
      <c r="R568" s="12">
        <v>3647631</v>
      </c>
      <c r="S568" s="12">
        <v>52396472</v>
      </c>
      <c r="T568" s="12">
        <v>53723606</v>
      </c>
      <c r="U568" s="12">
        <v>51890972</v>
      </c>
      <c r="V568" s="12">
        <v>53473606</v>
      </c>
      <c r="W568" s="12">
        <v>505500</v>
      </c>
      <c r="X568" s="12">
        <v>250000</v>
      </c>
      <c r="Y568" s="12">
        <v>1630</v>
      </c>
      <c r="Z568" s="12">
        <v>1571</v>
      </c>
      <c r="AA568" s="11">
        <v>-3.62</v>
      </c>
      <c r="AB568" s="12">
        <v>24043533</v>
      </c>
      <c r="AC568" s="12">
        <v>24300000</v>
      </c>
      <c r="AD568" s="12">
        <v>870000</v>
      </c>
      <c r="AE568" s="12">
        <v>500000</v>
      </c>
      <c r="AF568" s="12">
        <v>2753885</v>
      </c>
      <c r="AG568" s="12">
        <v>2817448</v>
      </c>
      <c r="AH568" s="11">
        <v>4</v>
      </c>
      <c r="AI568" s="11">
        <v>4</v>
      </c>
      <c r="AJ568" s="13"/>
    </row>
    <row r="569" spans="1:36" x14ac:dyDescent="0.25">
      <c r="A569" t="str">
        <f>"050701"</f>
        <v>050701</v>
      </c>
      <c r="B569" t="s">
        <v>655</v>
      </c>
      <c r="C569" s="10">
        <v>17295862</v>
      </c>
      <c r="D569" s="10">
        <v>17512157</v>
      </c>
      <c r="E569" s="11">
        <v>1.25</v>
      </c>
      <c r="F569" s="12">
        <v>7913497</v>
      </c>
      <c r="G569" s="12">
        <v>7992632</v>
      </c>
      <c r="H569" s="12"/>
      <c r="I569" s="12"/>
      <c r="J569" s="12"/>
      <c r="K569" s="12"/>
      <c r="L569" s="12"/>
      <c r="M569" s="12"/>
      <c r="N569" s="12">
        <v>7913497</v>
      </c>
      <c r="O569" s="12">
        <v>7992632</v>
      </c>
      <c r="P569" s="11">
        <v>1</v>
      </c>
      <c r="Q569" s="12">
        <v>571050</v>
      </c>
      <c r="R569" s="12">
        <v>511665</v>
      </c>
      <c r="S569" s="12">
        <v>7468659</v>
      </c>
      <c r="T569" s="12">
        <v>7500219</v>
      </c>
      <c r="U569" s="12">
        <v>7342447</v>
      </c>
      <c r="V569" s="12">
        <v>7480967</v>
      </c>
      <c r="W569" s="12">
        <v>126212</v>
      </c>
      <c r="X569" s="12">
        <v>19252</v>
      </c>
      <c r="Y569" s="12">
        <v>690</v>
      </c>
      <c r="Z569" s="12">
        <v>686</v>
      </c>
      <c r="AA569" s="11">
        <v>-0.57999999999999996</v>
      </c>
      <c r="AB569" s="12">
        <v>2092385</v>
      </c>
      <c r="AC569" s="12">
        <v>2113305</v>
      </c>
      <c r="AD569" s="12">
        <v>357368</v>
      </c>
      <c r="AE569" s="12">
        <v>357368</v>
      </c>
      <c r="AF569" s="12">
        <v>1242641</v>
      </c>
      <c r="AG569" s="12">
        <v>1242641</v>
      </c>
      <c r="AH569" s="11">
        <v>7.18</v>
      </c>
      <c r="AI569" s="11">
        <v>7.1</v>
      </c>
      <c r="AJ569" s="13"/>
    </row>
    <row r="570" spans="1:36" x14ac:dyDescent="0.25">
      <c r="A570" t="str">
        <f>"581005"</f>
        <v>581005</v>
      </c>
      <c r="B570" t="s">
        <v>656</v>
      </c>
      <c r="C570" s="10">
        <v>29440000</v>
      </c>
      <c r="D570" s="10">
        <v>29981000</v>
      </c>
      <c r="E570" s="11">
        <v>1.84</v>
      </c>
      <c r="F570" s="12">
        <v>25994058</v>
      </c>
      <c r="G570" s="12">
        <v>26414500</v>
      </c>
      <c r="H570" s="12"/>
      <c r="I570" s="12"/>
      <c r="J570" s="12"/>
      <c r="K570" s="12"/>
      <c r="L570" s="12"/>
      <c r="M570" s="12"/>
      <c r="N570" s="12">
        <v>25994058</v>
      </c>
      <c r="O570" s="12">
        <v>26414500</v>
      </c>
      <c r="P570" s="11">
        <v>1.62</v>
      </c>
      <c r="Q570" s="12">
        <v>1144673</v>
      </c>
      <c r="R570" s="12">
        <v>829979</v>
      </c>
      <c r="S570" s="12">
        <v>24870434</v>
      </c>
      <c r="T570" s="12">
        <v>25590576</v>
      </c>
      <c r="U570" s="12">
        <v>24849385</v>
      </c>
      <c r="V570" s="12">
        <v>25584521</v>
      </c>
      <c r="W570" s="12">
        <v>21049</v>
      </c>
      <c r="X570" s="12">
        <v>6055</v>
      </c>
      <c r="Y570" s="12">
        <v>766</v>
      </c>
      <c r="Z570" s="12">
        <v>750</v>
      </c>
      <c r="AA570" s="11">
        <v>-2.09</v>
      </c>
      <c r="AB570" s="12">
        <v>7660190</v>
      </c>
      <c r="AC570" s="12">
        <v>8335489</v>
      </c>
      <c r="AD570" s="12">
        <v>834650</v>
      </c>
      <c r="AE570" s="12">
        <v>725000</v>
      </c>
      <c r="AF570" s="12">
        <v>1171145</v>
      </c>
      <c r="AG570" s="12">
        <v>1199240</v>
      </c>
      <c r="AH570" s="11">
        <v>3.98</v>
      </c>
      <c r="AI570" s="11">
        <v>4</v>
      </c>
      <c r="AJ570" s="13"/>
    </row>
    <row r="571" spans="1:36" x14ac:dyDescent="0.25">
      <c r="A571" t="str">
        <f>"060201"</f>
        <v>060201</v>
      </c>
      <c r="B571" t="s">
        <v>657</v>
      </c>
      <c r="C571" s="10">
        <v>27366108</v>
      </c>
      <c r="D571" s="10">
        <v>28687534</v>
      </c>
      <c r="E571" s="11">
        <v>4.83</v>
      </c>
      <c r="F571" s="12">
        <v>12707289</v>
      </c>
      <c r="G571" s="12">
        <v>12834362</v>
      </c>
      <c r="H571" s="12"/>
      <c r="I571" s="12"/>
      <c r="J571" s="12"/>
      <c r="K571" s="12"/>
      <c r="L571" s="12"/>
      <c r="M571" s="12"/>
      <c r="N571" s="12">
        <v>12707289</v>
      </c>
      <c r="O571" s="12">
        <v>12834362</v>
      </c>
      <c r="P571" s="11">
        <v>1</v>
      </c>
      <c r="Q571" s="12">
        <v>393585</v>
      </c>
      <c r="R571" s="12">
        <v>286644</v>
      </c>
      <c r="S571" s="12">
        <v>12468695</v>
      </c>
      <c r="T571" s="12">
        <v>12582884</v>
      </c>
      <c r="U571" s="12">
        <v>12313704</v>
      </c>
      <c r="V571" s="12">
        <v>12547718</v>
      </c>
      <c r="W571" s="12">
        <v>154991</v>
      </c>
      <c r="X571" s="12">
        <v>35166</v>
      </c>
      <c r="Y571" s="12">
        <v>1335</v>
      </c>
      <c r="Z571" s="12">
        <v>1307</v>
      </c>
      <c r="AA571" s="11">
        <v>-2.1</v>
      </c>
      <c r="AB571" s="12">
        <v>1864301</v>
      </c>
      <c r="AC571" s="12">
        <v>1964461</v>
      </c>
      <c r="AD571" s="12">
        <v>550000</v>
      </c>
      <c r="AE571" s="12">
        <v>550000</v>
      </c>
      <c r="AF571" s="12">
        <v>1521532</v>
      </c>
      <c r="AG571" s="12">
        <v>1150370</v>
      </c>
      <c r="AH571" s="11">
        <v>5.56</v>
      </c>
      <c r="AI571" s="11">
        <v>4.01</v>
      </c>
      <c r="AJ571" s="13"/>
    </row>
    <row r="572" spans="1:36" x14ac:dyDescent="0.25">
      <c r="A572" t="str">
        <f>"131602"</f>
        <v>131602</v>
      </c>
      <c r="B572" t="s">
        <v>658</v>
      </c>
      <c r="C572" s="10">
        <v>45215920</v>
      </c>
      <c r="D572" s="10">
        <v>46060768</v>
      </c>
      <c r="E572" s="11">
        <v>1.87</v>
      </c>
      <c r="F572" s="12">
        <v>28930648</v>
      </c>
      <c r="G572" s="12">
        <v>29558586</v>
      </c>
      <c r="H572" s="12"/>
      <c r="I572" s="12"/>
      <c r="J572" s="12"/>
      <c r="K572" s="12"/>
      <c r="L572" s="12"/>
      <c r="M572" s="12"/>
      <c r="N572" s="12">
        <v>28930648</v>
      </c>
      <c r="O572" s="12">
        <v>29558586</v>
      </c>
      <c r="P572" s="11">
        <v>2.17</v>
      </c>
      <c r="Q572" s="12">
        <v>490401</v>
      </c>
      <c r="R572" s="12">
        <v>365441</v>
      </c>
      <c r="S572" s="12">
        <v>28453012</v>
      </c>
      <c r="T572" s="12">
        <v>29273002</v>
      </c>
      <c r="U572" s="12">
        <v>28440247</v>
      </c>
      <c r="V572" s="12">
        <v>29193145</v>
      </c>
      <c r="W572" s="12">
        <v>12765</v>
      </c>
      <c r="X572" s="12">
        <v>79857</v>
      </c>
      <c r="Y572" s="12">
        <v>1456</v>
      </c>
      <c r="Z572" s="12">
        <v>1494</v>
      </c>
      <c r="AA572" s="11">
        <v>2.61</v>
      </c>
      <c r="AB572" s="12">
        <v>6950000</v>
      </c>
      <c r="AC572" s="12">
        <v>6875000</v>
      </c>
      <c r="AD572" s="12">
        <v>1912000</v>
      </c>
      <c r="AE572" s="12">
        <v>1750000</v>
      </c>
      <c r="AF572" s="12">
        <v>1808637</v>
      </c>
      <c r="AG572" s="12">
        <v>1842431</v>
      </c>
      <c r="AH572" s="11">
        <v>4</v>
      </c>
      <c r="AI572" s="11">
        <v>4</v>
      </c>
      <c r="AJ572" s="13"/>
    </row>
    <row r="573" spans="1:36" x14ac:dyDescent="0.25">
      <c r="A573" t="str">
        <f>"261001"</f>
        <v>261001</v>
      </c>
      <c r="B573" t="s">
        <v>659</v>
      </c>
      <c r="C573" s="10">
        <v>79032905</v>
      </c>
      <c r="D573" s="10">
        <v>81151600</v>
      </c>
      <c r="E573" s="11">
        <v>2.68</v>
      </c>
      <c r="F573" s="12">
        <v>36310634</v>
      </c>
      <c r="G573" s="12">
        <v>37245579</v>
      </c>
      <c r="H573" s="12"/>
      <c r="I573" s="12"/>
      <c r="J573" s="12"/>
      <c r="K573" s="12"/>
      <c r="L573" s="12"/>
      <c r="M573" s="12"/>
      <c r="N573" s="12">
        <v>36310634</v>
      </c>
      <c r="O573" s="12">
        <v>37245579</v>
      </c>
      <c r="P573" s="11">
        <v>2.57</v>
      </c>
      <c r="Q573" s="12">
        <v>191323</v>
      </c>
      <c r="R573" s="12">
        <v>132025</v>
      </c>
      <c r="S573" s="12">
        <v>36143327</v>
      </c>
      <c r="T573" s="12">
        <v>37172791</v>
      </c>
      <c r="U573" s="12">
        <v>36119311</v>
      </c>
      <c r="V573" s="12">
        <v>37113554</v>
      </c>
      <c r="W573" s="12">
        <v>24016</v>
      </c>
      <c r="X573" s="12">
        <v>59237</v>
      </c>
      <c r="Y573" s="12">
        <v>3589</v>
      </c>
      <c r="Z573" s="12">
        <v>3639</v>
      </c>
      <c r="AA573" s="11">
        <v>1.39</v>
      </c>
      <c r="AB573" s="12">
        <v>16670990</v>
      </c>
      <c r="AC573" s="12">
        <v>10555641</v>
      </c>
      <c r="AD573" s="12">
        <v>150000</v>
      </c>
      <c r="AE573" s="12">
        <v>534739</v>
      </c>
      <c r="AF573" s="12">
        <v>3161317</v>
      </c>
      <c r="AG573" s="12">
        <v>3246064</v>
      </c>
      <c r="AH573" s="11">
        <v>4</v>
      </c>
      <c r="AI573" s="11">
        <v>4</v>
      </c>
      <c r="AJ573" s="13"/>
    </row>
    <row r="574" spans="1:36" x14ac:dyDescent="0.25">
      <c r="A574" t="str">
        <f>"600801"</f>
        <v>600801</v>
      </c>
      <c r="B574" t="s">
        <v>660</v>
      </c>
      <c r="C574" s="10">
        <v>22552424</v>
      </c>
      <c r="D574" s="10">
        <v>21728527</v>
      </c>
      <c r="E574" s="11">
        <v>-3.65</v>
      </c>
      <c r="F574" s="12">
        <v>6644446</v>
      </c>
      <c r="G574" s="12">
        <v>6782677</v>
      </c>
      <c r="H574" s="12"/>
      <c r="I574" s="12"/>
      <c r="J574" s="12"/>
      <c r="K574" s="12"/>
      <c r="L574" s="12"/>
      <c r="M574" s="12"/>
      <c r="N574" s="12">
        <v>6644446</v>
      </c>
      <c r="O574" s="12">
        <v>6782677</v>
      </c>
      <c r="P574" s="11">
        <v>2.08</v>
      </c>
      <c r="Q574" s="12">
        <v>0</v>
      </c>
      <c r="R574" s="12">
        <v>0</v>
      </c>
      <c r="S574" s="12">
        <v>6644446</v>
      </c>
      <c r="T574" s="12">
        <v>6782677</v>
      </c>
      <c r="U574" s="12">
        <v>6644446</v>
      </c>
      <c r="V574" s="12">
        <v>6782677</v>
      </c>
      <c r="W574" s="12">
        <v>0</v>
      </c>
      <c r="X574" s="12">
        <v>0</v>
      </c>
      <c r="Y574" s="12">
        <v>903</v>
      </c>
      <c r="Z574" s="12">
        <v>898</v>
      </c>
      <c r="AA574" s="11">
        <v>-0.55000000000000004</v>
      </c>
      <c r="AB574" s="12">
        <v>2841377</v>
      </c>
      <c r="AC574" s="12">
        <v>2689920</v>
      </c>
      <c r="AD574" s="12">
        <v>243440</v>
      </c>
      <c r="AE574" s="12">
        <v>0</v>
      </c>
      <c r="AF574" s="12">
        <v>902097</v>
      </c>
      <c r="AG574" s="12">
        <v>869141</v>
      </c>
      <c r="AH574" s="11">
        <v>4</v>
      </c>
      <c r="AI574" s="11">
        <v>4</v>
      </c>
      <c r="AJ574" s="13"/>
    </row>
    <row r="575" spans="1:36" x14ac:dyDescent="0.25">
      <c r="A575" t="str">
        <f>"580304"</f>
        <v>580304</v>
      </c>
      <c r="B575" t="s">
        <v>661</v>
      </c>
      <c r="C575" s="10">
        <v>28113087</v>
      </c>
      <c r="D575" s="10">
        <v>28873698</v>
      </c>
      <c r="E575" s="11">
        <v>2.71</v>
      </c>
      <c r="F575" s="12">
        <v>25033528</v>
      </c>
      <c r="G575" s="12">
        <v>25778825</v>
      </c>
      <c r="H575" s="12"/>
      <c r="I575" s="12"/>
      <c r="J575" s="12"/>
      <c r="K575" s="12"/>
      <c r="L575" s="12"/>
      <c r="M575" s="12"/>
      <c r="N575" s="12">
        <v>25033528</v>
      </c>
      <c r="O575" s="12">
        <v>25778825</v>
      </c>
      <c r="P575" s="11">
        <v>2.98</v>
      </c>
      <c r="Q575" s="12">
        <v>199045</v>
      </c>
      <c r="R575" s="12">
        <v>188331</v>
      </c>
      <c r="S575" s="12">
        <v>24834483</v>
      </c>
      <c r="T575" s="12">
        <v>25590494</v>
      </c>
      <c r="U575" s="12">
        <v>24834483</v>
      </c>
      <c r="V575" s="12">
        <v>25590494</v>
      </c>
      <c r="W575" s="12">
        <v>0</v>
      </c>
      <c r="X575" s="12">
        <v>0</v>
      </c>
      <c r="Y575" s="12">
        <v>1087</v>
      </c>
      <c r="Z575" s="12">
        <v>1097</v>
      </c>
      <c r="AA575" s="11">
        <v>0.92</v>
      </c>
      <c r="AB575" s="12">
        <v>8866258</v>
      </c>
      <c r="AC575" s="12">
        <v>3478478</v>
      </c>
      <c r="AD575" s="12">
        <v>870022</v>
      </c>
      <c r="AE575" s="12">
        <v>734343</v>
      </c>
      <c r="AF575" s="12">
        <v>1124523</v>
      </c>
      <c r="AG575" s="12">
        <v>1154948</v>
      </c>
      <c r="AH575" s="11">
        <v>4</v>
      </c>
      <c r="AI575" s="11">
        <v>4</v>
      </c>
      <c r="AJ575" s="13"/>
    </row>
    <row r="576" spans="1:36" x14ac:dyDescent="0.25">
      <c r="A576" t="str">
        <f>"141101"</f>
        <v>141101</v>
      </c>
      <c r="B576" t="s">
        <v>662</v>
      </c>
      <c r="C576" s="10">
        <v>36841910</v>
      </c>
      <c r="D576" s="10">
        <v>38823185</v>
      </c>
      <c r="E576" s="11">
        <v>5.38</v>
      </c>
      <c r="F576" s="12">
        <v>15894853</v>
      </c>
      <c r="G576" s="12">
        <v>16516497</v>
      </c>
      <c r="H576" s="12"/>
      <c r="I576" s="12"/>
      <c r="J576" s="12"/>
      <c r="K576" s="12"/>
      <c r="L576" s="12"/>
      <c r="M576" s="12"/>
      <c r="N576" s="12">
        <v>15894853</v>
      </c>
      <c r="O576" s="12">
        <v>16516497</v>
      </c>
      <c r="P576" s="11">
        <v>3.91</v>
      </c>
      <c r="Q576" s="12">
        <v>718013</v>
      </c>
      <c r="R576" s="12">
        <v>933295</v>
      </c>
      <c r="S576" s="12">
        <v>15176840</v>
      </c>
      <c r="T576" s="12">
        <v>15583202</v>
      </c>
      <c r="U576" s="12">
        <v>15176840</v>
      </c>
      <c r="V576" s="12">
        <v>15583202</v>
      </c>
      <c r="W576" s="12">
        <v>0</v>
      </c>
      <c r="X576" s="12">
        <v>0</v>
      </c>
      <c r="Y576" s="12">
        <v>1767</v>
      </c>
      <c r="Z576" s="12">
        <v>1806</v>
      </c>
      <c r="AA576" s="11">
        <v>2.21</v>
      </c>
      <c r="AB576" s="12">
        <v>2905145</v>
      </c>
      <c r="AC576" s="12">
        <v>2880145</v>
      </c>
      <c r="AD576" s="12">
        <v>660000</v>
      </c>
      <c r="AE576" s="12">
        <v>400000</v>
      </c>
      <c r="AF576" s="12">
        <v>1163677</v>
      </c>
      <c r="AG576" s="12">
        <v>1175314</v>
      </c>
      <c r="AH576" s="11">
        <v>3.16</v>
      </c>
      <c r="AI576" s="11">
        <v>3.03</v>
      </c>
      <c r="AJ576" s="13"/>
    </row>
    <row r="577" spans="1:36" x14ac:dyDescent="0.25">
      <c r="A577" s="16" t="str">
        <f>"161801"</f>
        <v>161801</v>
      </c>
      <c r="B577" s="16" t="s">
        <v>663</v>
      </c>
      <c r="C577" s="18">
        <v>8179134</v>
      </c>
      <c r="D577" s="18">
        <v>8480557</v>
      </c>
      <c r="E577" s="15">
        <v>3.69</v>
      </c>
      <c r="F577" s="19">
        <v>2748404</v>
      </c>
      <c r="G577" s="19">
        <v>2788575</v>
      </c>
      <c r="H577" s="19"/>
      <c r="I577" s="19"/>
      <c r="J577" s="19"/>
      <c r="K577" s="19"/>
      <c r="L577" s="19"/>
      <c r="M577" s="19"/>
      <c r="N577" s="19">
        <v>2748404</v>
      </c>
      <c r="O577" s="19">
        <v>2788575</v>
      </c>
      <c r="P577" s="15">
        <v>1.46</v>
      </c>
      <c r="Q577" s="19">
        <v>0</v>
      </c>
      <c r="R577" s="19">
        <v>0</v>
      </c>
      <c r="S577" s="19">
        <v>2748404</v>
      </c>
      <c r="T577" s="19">
        <v>2788575</v>
      </c>
      <c r="U577" s="19">
        <v>2748404</v>
      </c>
      <c r="V577" s="19">
        <v>2788575</v>
      </c>
      <c r="W577" s="19">
        <v>0</v>
      </c>
      <c r="X577" s="19">
        <v>0</v>
      </c>
      <c r="Y577" s="19">
        <v>267</v>
      </c>
      <c r="Z577" s="19">
        <v>260</v>
      </c>
      <c r="AA577" s="15">
        <v>-2.62</v>
      </c>
      <c r="AB577" s="19">
        <v>253695</v>
      </c>
      <c r="AC577" s="19">
        <v>253695</v>
      </c>
      <c r="AD577" s="19">
        <v>341817</v>
      </c>
      <c r="AE577" s="19">
        <v>341817</v>
      </c>
      <c r="AF577" s="19">
        <v>906149</v>
      </c>
      <c r="AG577" s="19">
        <v>564332</v>
      </c>
      <c r="AH577" s="15">
        <v>11.08</v>
      </c>
      <c r="AI577" s="15">
        <v>6.65</v>
      </c>
      <c r="AJ577" s="13"/>
    </row>
    <row r="578" spans="1:36" x14ac:dyDescent="0.25">
      <c r="A578" t="str">
        <f>"121701"</f>
        <v>121701</v>
      </c>
      <c r="B578" t="s">
        <v>664</v>
      </c>
      <c r="C578" s="10">
        <v>9367985</v>
      </c>
      <c r="D578" s="10">
        <v>9739213</v>
      </c>
      <c r="E578" s="11">
        <v>3.96</v>
      </c>
      <c r="F578" s="12">
        <v>3509287</v>
      </c>
      <c r="G578" s="12">
        <v>3658998</v>
      </c>
      <c r="H578" s="12"/>
      <c r="I578" s="12"/>
      <c r="J578" s="12"/>
      <c r="K578" s="12"/>
      <c r="L578" s="12"/>
      <c r="M578" s="12"/>
      <c r="N578" s="12">
        <v>3509287</v>
      </c>
      <c r="O578" s="12">
        <v>3658998</v>
      </c>
      <c r="P578" s="11">
        <v>4.2699999999999996</v>
      </c>
      <c r="Q578" s="12">
        <v>0</v>
      </c>
      <c r="R578" s="12">
        <v>0</v>
      </c>
      <c r="S578" s="12">
        <v>3509423</v>
      </c>
      <c r="T578" s="12">
        <v>3588999</v>
      </c>
      <c r="U578" s="12">
        <v>3509287</v>
      </c>
      <c r="V578" s="12">
        <v>3658998</v>
      </c>
      <c r="W578" s="12">
        <v>136</v>
      </c>
      <c r="X578" s="12">
        <v>-69999</v>
      </c>
      <c r="Y578" s="12">
        <v>308</v>
      </c>
      <c r="Z578" s="12">
        <v>300</v>
      </c>
      <c r="AA578" s="11">
        <v>-2.6</v>
      </c>
      <c r="AB578" s="12">
        <v>4511753</v>
      </c>
      <c r="AC578" s="12">
        <v>4540065</v>
      </c>
      <c r="AD578" s="12">
        <v>385618</v>
      </c>
      <c r="AE578" s="12">
        <v>305060</v>
      </c>
      <c r="AF578" s="12">
        <v>374719</v>
      </c>
      <c r="AG578" s="12">
        <v>389568</v>
      </c>
      <c r="AH578" s="11">
        <v>4</v>
      </c>
      <c r="AI578" s="11">
        <v>4</v>
      </c>
      <c r="AJ578" s="13"/>
    </row>
    <row r="579" spans="1:36" x14ac:dyDescent="0.25">
      <c r="A579" t="str">
        <f>"401001"</f>
        <v>401001</v>
      </c>
      <c r="B579" t="s">
        <v>665</v>
      </c>
      <c r="C579" s="10">
        <v>53948983</v>
      </c>
      <c r="D579" s="10">
        <v>56105468</v>
      </c>
      <c r="E579" s="11">
        <v>4</v>
      </c>
      <c r="F579" s="12">
        <v>28319504</v>
      </c>
      <c r="G579" s="12">
        <v>29250520</v>
      </c>
      <c r="H579" s="12"/>
      <c r="I579" s="12"/>
      <c r="J579" s="12"/>
      <c r="K579" s="12"/>
      <c r="L579" s="12"/>
      <c r="M579" s="12"/>
      <c r="N579" s="12">
        <v>28319504</v>
      </c>
      <c r="O579" s="12">
        <v>29250520</v>
      </c>
      <c r="P579" s="11">
        <v>3.29</v>
      </c>
      <c r="Q579" s="12">
        <v>473141</v>
      </c>
      <c r="R579" s="12">
        <v>648362</v>
      </c>
      <c r="S579" s="12">
        <v>28053077</v>
      </c>
      <c r="T579" s="12">
        <v>28716350</v>
      </c>
      <c r="U579" s="12">
        <v>27846363</v>
      </c>
      <c r="V579" s="12">
        <v>28602158</v>
      </c>
      <c r="W579" s="12">
        <v>206714</v>
      </c>
      <c r="X579" s="12">
        <v>114192</v>
      </c>
      <c r="Y579" s="12">
        <v>2669</v>
      </c>
      <c r="Z579" s="12">
        <v>2828</v>
      </c>
      <c r="AA579" s="11">
        <v>5.96</v>
      </c>
      <c r="AB579" s="12">
        <v>9899632</v>
      </c>
      <c r="AC579" s="12">
        <v>9977734</v>
      </c>
      <c r="AD579" s="12">
        <v>2800000</v>
      </c>
      <c r="AE579" s="12">
        <v>2900000</v>
      </c>
      <c r="AF579" s="12">
        <v>1974631</v>
      </c>
      <c r="AG579" s="12">
        <v>2072174</v>
      </c>
      <c r="AH579" s="11">
        <v>3.66</v>
      </c>
      <c r="AI579" s="11">
        <v>3.69</v>
      </c>
      <c r="AJ579" s="13"/>
    </row>
    <row r="580" spans="1:36" x14ac:dyDescent="0.25">
      <c r="A580" t="str">
        <f>"522001"</f>
        <v>522001</v>
      </c>
      <c r="B580" t="s">
        <v>666</v>
      </c>
      <c r="C580" s="10">
        <v>24529950</v>
      </c>
      <c r="D580" s="10">
        <v>24842337</v>
      </c>
      <c r="E580" s="11">
        <v>1.27</v>
      </c>
      <c r="F580" s="12">
        <v>10313266</v>
      </c>
      <c r="G580" s="12">
        <v>10665927</v>
      </c>
      <c r="H580" s="12"/>
      <c r="I580" s="12"/>
      <c r="J580" s="12"/>
      <c r="K580" s="12"/>
      <c r="L580" s="12"/>
      <c r="M580" s="12"/>
      <c r="N580" s="12">
        <v>10313266</v>
      </c>
      <c r="O580" s="12">
        <v>10665927</v>
      </c>
      <c r="P580" s="11">
        <v>3.42</v>
      </c>
      <c r="Q580" s="12">
        <v>485213</v>
      </c>
      <c r="R580" s="12">
        <v>613982</v>
      </c>
      <c r="S580" s="12">
        <v>10026575</v>
      </c>
      <c r="T580" s="12">
        <v>10462560</v>
      </c>
      <c r="U580" s="12">
        <v>9828053</v>
      </c>
      <c r="V580" s="12">
        <v>10051945</v>
      </c>
      <c r="W580" s="12">
        <v>198522</v>
      </c>
      <c r="X580" s="12">
        <v>410615</v>
      </c>
      <c r="Y580" s="12">
        <v>1078</v>
      </c>
      <c r="Z580" s="12">
        <v>1078</v>
      </c>
      <c r="AA580" s="11">
        <v>0</v>
      </c>
      <c r="AB580" s="12">
        <v>2945628</v>
      </c>
      <c r="AC580" s="12">
        <v>3345628</v>
      </c>
      <c r="AD580" s="12">
        <v>632242</v>
      </c>
      <c r="AE580" s="12">
        <v>750000</v>
      </c>
      <c r="AF580" s="12">
        <v>2234583</v>
      </c>
      <c r="AG580" s="12">
        <v>993693</v>
      </c>
      <c r="AH580" s="11">
        <v>9.11</v>
      </c>
      <c r="AI580" s="11">
        <v>4</v>
      </c>
      <c r="AJ580" s="13"/>
    </row>
    <row r="581" spans="1:36" x14ac:dyDescent="0.25">
      <c r="A581" t="str">
        <f>"251501"</f>
        <v>251501</v>
      </c>
      <c r="B581" t="s">
        <v>667</v>
      </c>
      <c r="C581" s="10">
        <v>10302384</v>
      </c>
      <c r="D581" s="10">
        <v>10953188</v>
      </c>
      <c r="E581" s="11">
        <v>6.32</v>
      </c>
      <c r="F581" s="12">
        <v>2239875</v>
      </c>
      <c r="G581" s="12">
        <v>2283785</v>
      </c>
      <c r="H581" s="12"/>
      <c r="I581" s="12"/>
      <c r="J581" s="12"/>
      <c r="K581" s="12"/>
      <c r="L581" s="12"/>
      <c r="M581" s="12"/>
      <c r="N581" s="12">
        <v>2239875</v>
      </c>
      <c r="O581" s="12">
        <v>2283785</v>
      </c>
      <c r="P581" s="11">
        <v>1.96</v>
      </c>
      <c r="Q581" s="12">
        <v>0</v>
      </c>
      <c r="R581" s="12">
        <v>0</v>
      </c>
      <c r="S581" s="12">
        <v>2239913</v>
      </c>
      <c r="T581" s="12">
        <v>2307352</v>
      </c>
      <c r="U581" s="12">
        <v>2239875</v>
      </c>
      <c r="V581" s="12">
        <v>2283785</v>
      </c>
      <c r="W581" s="12">
        <v>38</v>
      </c>
      <c r="X581" s="12">
        <v>23567</v>
      </c>
      <c r="Y581" s="12">
        <v>422</v>
      </c>
      <c r="Z581" s="12">
        <v>422</v>
      </c>
      <c r="AA581" s="11">
        <v>0</v>
      </c>
      <c r="AB581" s="12">
        <v>2485389</v>
      </c>
      <c r="AC581" s="12">
        <v>2441917</v>
      </c>
      <c r="AD581" s="12">
        <v>475000</v>
      </c>
      <c r="AE581" s="12">
        <v>425000</v>
      </c>
      <c r="AF581" s="12">
        <v>410083</v>
      </c>
      <c r="AG581" s="12">
        <v>438128</v>
      </c>
      <c r="AH581" s="11">
        <v>3.98</v>
      </c>
      <c r="AI581" s="11">
        <v>4</v>
      </c>
      <c r="AJ581" s="13"/>
    </row>
    <row r="582" spans="1:36" x14ac:dyDescent="0.25">
      <c r="A582" s="16" t="str">
        <f>"500401"</f>
        <v>500401</v>
      </c>
      <c r="B582" s="16" t="s">
        <v>668</v>
      </c>
      <c r="C582" s="18">
        <v>137285470</v>
      </c>
      <c r="D582" s="18">
        <v>139914833</v>
      </c>
      <c r="E582" s="15">
        <v>1.92</v>
      </c>
      <c r="F582" s="19">
        <v>108177517</v>
      </c>
      <c r="G582" s="19">
        <v>110341067</v>
      </c>
      <c r="H582" s="19"/>
      <c r="I582" s="19"/>
      <c r="J582" s="19"/>
      <c r="K582" s="19"/>
      <c r="L582" s="16"/>
      <c r="M582" s="16"/>
      <c r="N582" s="19">
        <v>108177517</v>
      </c>
      <c r="O582" s="19">
        <v>110341067</v>
      </c>
      <c r="P582" s="15">
        <v>2</v>
      </c>
      <c r="Q582" s="19">
        <v>2811093</v>
      </c>
      <c r="R582" s="19">
        <v>2849299</v>
      </c>
      <c r="S582" s="19">
        <v>105413236</v>
      </c>
      <c r="T582" s="19">
        <v>107842867</v>
      </c>
      <c r="U582" s="19">
        <v>105366424</v>
      </c>
      <c r="V582" s="19">
        <v>107491768</v>
      </c>
      <c r="W582" s="19">
        <v>46812</v>
      </c>
      <c r="X582" s="19">
        <v>351107</v>
      </c>
      <c r="Y582" s="19">
        <v>4203</v>
      </c>
      <c r="Z582" s="19">
        <v>4175</v>
      </c>
      <c r="AA582" s="15">
        <v>-0.67</v>
      </c>
      <c r="AB582" s="19">
        <v>26597940</v>
      </c>
      <c r="AC582" s="19">
        <v>26000000</v>
      </c>
      <c r="AD582" s="19">
        <v>3100000</v>
      </c>
      <c r="AE582" s="19">
        <v>3100000</v>
      </c>
      <c r="AF582" s="19">
        <v>5491419</v>
      </c>
      <c r="AG582" s="19">
        <v>5596593</v>
      </c>
      <c r="AH582" s="15">
        <v>4</v>
      </c>
      <c r="AI582" s="15">
        <v>4</v>
      </c>
      <c r="AJ582" s="13"/>
    </row>
    <row r="583" spans="1:36" x14ac:dyDescent="0.25">
      <c r="A583" t="str">
        <f>"591502"</f>
        <v>591502</v>
      </c>
      <c r="B583" t="s">
        <v>669</v>
      </c>
      <c r="C583" s="10">
        <v>36924793</v>
      </c>
      <c r="D583" s="10">
        <v>37630174</v>
      </c>
      <c r="E583" s="11">
        <v>1.91</v>
      </c>
      <c r="F583" s="12">
        <v>17244762</v>
      </c>
      <c r="G583" s="12">
        <v>17587933</v>
      </c>
      <c r="H583" s="12"/>
      <c r="I583" s="12"/>
      <c r="J583" s="12"/>
      <c r="K583" s="12"/>
      <c r="L583" s="12"/>
      <c r="M583" s="12"/>
      <c r="N583" s="12">
        <v>17244762</v>
      </c>
      <c r="O583" s="12">
        <v>17587933</v>
      </c>
      <c r="P583" s="11">
        <v>1.99</v>
      </c>
      <c r="Q583" s="12">
        <v>690827</v>
      </c>
      <c r="R583" s="12">
        <v>721512</v>
      </c>
      <c r="S583" s="12">
        <v>16553935</v>
      </c>
      <c r="T583" s="12">
        <v>16866421</v>
      </c>
      <c r="U583" s="12">
        <v>16553935</v>
      </c>
      <c r="V583" s="12">
        <v>16866421</v>
      </c>
      <c r="W583" s="12">
        <v>0</v>
      </c>
      <c r="X583" s="12">
        <v>0</v>
      </c>
      <c r="Y583" s="12">
        <v>1008</v>
      </c>
      <c r="Z583" s="12">
        <v>1060</v>
      </c>
      <c r="AA583" s="11">
        <v>5.16</v>
      </c>
      <c r="AB583" s="12">
        <v>8997537</v>
      </c>
      <c r="AC583" s="12">
        <v>5959490</v>
      </c>
      <c r="AD583" s="12">
        <v>2407000</v>
      </c>
      <c r="AE583" s="12">
        <v>2652511</v>
      </c>
      <c r="AF583" s="12">
        <v>1476992</v>
      </c>
      <c r="AG583" s="12">
        <v>1505207</v>
      </c>
      <c r="AH583" s="11">
        <v>4</v>
      </c>
      <c r="AI583" s="11">
        <v>4</v>
      </c>
      <c r="AJ583" s="13"/>
    </row>
    <row r="584" spans="1:36" x14ac:dyDescent="0.25">
      <c r="A584" t="str">
        <f>"030601"</f>
        <v>030601</v>
      </c>
      <c r="B584" t="s">
        <v>670</v>
      </c>
      <c r="C584" s="10">
        <v>38584919</v>
      </c>
      <c r="D584" s="10">
        <v>37996974</v>
      </c>
      <c r="E584" s="11">
        <v>-1.52</v>
      </c>
      <c r="F584" s="12">
        <v>16499583</v>
      </c>
      <c r="G584" s="12">
        <v>16713198</v>
      </c>
      <c r="H584" s="12"/>
      <c r="I584" s="12"/>
      <c r="J584" s="12"/>
      <c r="K584" s="12"/>
      <c r="L584" s="12"/>
      <c r="M584" s="12"/>
      <c r="N584" s="12">
        <v>16499583</v>
      </c>
      <c r="O584" s="12">
        <v>16713198</v>
      </c>
      <c r="P584" s="11">
        <v>1.29</v>
      </c>
      <c r="Q584" s="12">
        <v>461853</v>
      </c>
      <c r="R584" s="12">
        <v>454718</v>
      </c>
      <c r="S584" s="12">
        <v>16037730</v>
      </c>
      <c r="T584" s="12">
        <v>16258480</v>
      </c>
      <c r="U584" s="12">
        <v>16037730</v>
      </c>
      <c r="V584" s="12">
        <v>16258480</v>
      </c>
      <c r="W584" s="12">
        <v>0</v>
      </c>
      <c r="X584" s="12">
        <v>0</v>
      </c>
      <c r="Y584" s="12">
        <v>1457</v>
      </c>
      <c r="Z584" s="12">
        <v>1457</v>
      </c>
      <c r="AA584" s="11">
        <v>0</v>
      </c>
      <c r="AB584" s="12">
        <v>4058309</v>
      </c>
      <c r="AC584" s="12">
        <v>4541376</v>
      </c>
      <c r="AD584" s="12">
        <v>800000</v>
      </c>
      <c r="AE584" s="12">
        <v>500000</v>
      </c>
      <c r="AF584" s="12">
        <v>1493150</v>
      </c>
      <c r="AG584" s="12">
        <v>1468046</v>
      </c>
      <c r="AH584" s="11">
        <v>3.87</v>
      </c>
      <c r="AI584" s="11">
        <v>3.86</v>
      </c>
      <c r="AJ584" s="13"/>
    </row>
    <row r="585" spans="1:36" x14ac:dyDescent="0.25">
      <c r="A585" t="str">
        <f>"140207"</f>
        <v>140207</v>
      </c>
      <c r="B585" t="s">
        <v>671</v>
      </c>
      <c r="C585" s="10">
        <v>77117599</v>
      </c>
      <c r="D585" s="10">
        <v>79351476</v>
      </c>
      <c r="E585" s="11">
        <v>2.9</v>
      </c>
      <c r="F585" s="12">
        <v>45433699</v>
      </c>
      <c r="G585" s="12">
        <v>46571338</v>
      </c>
      <c r="H585" s="12"/>
      <c r="I585" s="12"/>
      <c r="J585" s="12"/>
      <c r="K585" s="12"/>
      <c r="L585" s="12"/>
      <c r="M585" s="12"/>
      <c r="N585" s="12">
        <v>45433699</v>
      </c>
      <c r="O585" s="12">
        <v>46571338</v>
      </c>
      <c r="P585" s="11">
        <v>2.5</v>
      </c>
      <c r="Q585" s="12">
        <v>2090325</v>
      </c>
      <c r="R585" s="12">
        <v>2181620</v>
      </c>
      <c r="S585" s="12">
        <v>43343374</v>
      </c>
      <c r="T585" s="12">
        <v>44389718</v>
      </c>
      <c r="U585" s="12">
        <v>43343374</v>
      </c>
      <c r="V585" s="12">
        <v>44389718</v>
      </c>
      <c r="W585" s="12">
        <v>0</v>
      </c>
      <c r="X585" s="12">
        <v>0</v>
      </c>
      <c r="Y585" s="12">
        <v>3274</v>
      </c>
      <c r="Z585" s="12">
        <v>3259</v>
      </c>
      <c r="AA585" s="11">
        <v>-0.46</v>
      </c>
      <c r="AB585" s="12">
        <v>10088487</v>
      </c>
      <c r="AC585" s="12">
        <v>9600000</v>
      </c>
      <c r="AD585" s="12">
        <v>2420000</v>
      </c>
      <c r="AE585" s="12">
        <v>2420000</v>
      </c>
      <c r="AF585" s="12">
        <v>3036590</v>
      </c>
      <c r="AG585" s="12">
        <v>3170000</v>
      </c>
      <c r="AH585" s="11">
        <v>3.94</v>
      </c>
      <c r="AI585" s="11">
        <v>3.99</v>
      </c>
      <c r="AJ585" s="13"/>
    </row>
    <row r="586" spans="1:36" x14ac:dyDescent="0.25">
      <c r="A586" t="str">
        <f>"280502"</f>
        <v>280502</v>
      </c>
      <c r="B586" t="s">
        <v>672</v>
      </c>
      <c r="C586" s="10">
        <v>223702174</v>
      </c>
      <c r="D586" s="10">
        <v>230346020</v>
      </c>
      <c r="E586" s="11">
        <v>2.97</v>
      </c>
      <c r="F586" s="12">
        <v>191622402</v>
      </c>
      <c r="G586" s="12">
        <v>195954954</v>
      </c>
      <c r="H586" s="12"/>
      <c r="I586" s="12"/>
      <c r="J586" s="12"/>
      <c r="K586" s="12"/>
      <c r="L586" s="12"/>
      <c r="M586" s="12"/>
      <c r="N586" s="12">
        <v>191622402</v>
      </c>
      <c r="O586" s="12">
        <v>195954954</v>
      </c>
      <c r="P586" s="11">
        <v>2.2599999999999998</v>
      </c>
      <c r="Q586" s="12">
        <v>2146655</v>
      </c>
      <c r="R586" s="12">
        <v>2239375</v>
      </c>
      <c r="S586" s="12">
        <v>189712517</v>
      </c>
      <c r="T586" s="12">
        <v>196229415</v>
      </c>
      <c r="U586" s="12">
        <v>189475747</v>
      </c>
      <c r="V586" s="12">
        <v>193715579</v>
      </c>
      <c r="W586" s="12">
        <v>236770</v>
      </c>
      <c r="X586" s="12">
        <v>2513836</v>
      </c>
      <c r="Y586" s="12">
        <v>6409</v>
      </c>
      <c r="Z586" s="12">
        <v>6498</v>
      </c>
      <c r="AA586" s="11">
        <v>1.39</v>
      </c>
      <c r="AB586" s="12">
        <v>36261434</v>
      </c>
      <c r="AC586" s="12">
        <v>22970046</v>
      </c>
      <c r="AD586" s="12">
        <v>3742577</v>
      </c>
      <c r="AE586" s="12">
        <v>4000000</v>
      </c>
      <c r="AF586" s="12">
        <v>8948089</v>
      </c>
      <c r="AG586" s="12">
        <v>9213841</v>
      </c>
      <c r="AH586" s="11">
        <v>4</v>
      </c>
      <c r="AI586" s="11">
        <v>4</v>
      </c>
      <c r="AJ586" s="13"/>
    </row>
    <row r="587" spans="1:36" x14ac:dyDescent="0.25">
      <c r="A587" t="str">
        <f>"100501"</f>
        <v>100501</v>
      </c>
      <c r="B587" t="s">
        <v>673</v>
      </c>
      <c r="C587" s="10">
        <v>37453541</v>
      </c>
      <c r="D587" s="10">
        <v>38739392</v>
      </c>
      <c r="E587" s="11">
        <v>3.43</v>
      </c>
      <c r="F587" s="12">
        <v>23250614</v>
      </c>
      <c r="G587" s="12">
        <v>24016815</v>
      </c>
      <c r="H587" s="12"/>
      <c r="I587" s="12"/>
      <c r="J587" s="12"/>
      <c r="K587" s="12"/>
      <c r="L587" s="12"/>
      <c r="M587" s="12"/>
      <c r="N587" s="12">
        <v>23250614</v>
      </c>
      <c r="O587" s="12">
        <v>24016815</v>
      </c>
      <c r="P587" s="11">
        <v>3.3</v>
      </c>
      <c r="Q587" s="12">
        <v>0</v>
      </c>
      <c r="R587" s="12">
        <v>0</v>
      </c>
      <c r="S587" s="12">
        <v>23250614</v>
      </c>
      <c r="T587" s="12">
        <v>24114738</v>
      </c>
      <c r="U587" s="12">
        <v>23250614</v>
      </c>
      <c r="V587" s="12">
        <v>24016815</v>
      </c>
      <c r="W587" s="12">
        <v>0</v>
      </c>
      <c r="X587" s="12">
        <v>97923</v>
      </c>
      <c r="Y587" s="12">
        <v>1344</v>
      </c>
      <c r="Z587" s="12">
        <v>1310</v>
      </c>
      <c r="AA587" s="11">
        <v>-2.5299999999999998</v>
      </c>
      <c r="AB587" s="12">
        <v>8596899</v>
      </c>
      <c r="AC587" s="12">
        <v>8366899</v>
      </c>
      <c r="AD587" s="12">
        <v>702116</v>
      </c>
      <c r="AE587" s="12">
        <v>1225920</v>
      </c>
      <c r="AF587" s="12">
        <v>7148822</v>
      </c>
      <c r="AG587" s="12">
        <v>2665749</v>
      </c>
      <c r="AH587" s="11">
        <v>19.09</v>
      </c>
      <c r="AI587" s="11">
        <v>6.88</v>
      </c>
      <c r="AJ587" s="13"/>
    </row>
    <row r="588" spans="1:36" x14ac:dyDescent="0.25">
      <c r="A588" t="str">
        <f>"220701"</f>
        <v>220701</v>
      </c>
      <c r="B588" t="s">
        <v>674</v>
      </c>
      <c r="C588" s="10">
        <v>23037360</v>
      </c>
      <c r="D588" s="10">
        <v>23311509</v>
      </c>
      <c r="E588" s="11">
        <v>1.19</v>
      </c>
      <c r="F588" s="12">
        <v>11822499</v>
      </c>
      <c r="G588" s="12">
        <v>11877517</v>
      </c>
      <c r="H588" s="12"/>
      <c r="I588" s="12"/>
      <c r="J588" s="12"/>
      <c r="K588" s="12"/>
      <c r="L588" s="12"/>
      <c r="M588" s="12"/>
      <c r="N588" s="12">
        <v>11822499</v>
      </c>
      <c r="O588" s="12">
        <v>11877517</v>
      </c>
      <c r="P588" s="11">
        <v>0.47</v>
      </c>
      <c r="Q588" s="12">
        <v>755000</v>
      </c>
      <c r="R588" s="12">
        <v>515784</v>
      </c>
      <c r="S588" s="12">
        <v>11158974</v>
      </c>
      <c r="T588" s="12">
        <v>11361733</v>
      </c>
      <c r="U588" s="12">
        <v>11067499</v>
      </c>
      <c r="V588" s="12">
        <v>11361733</v>
      </c>
      <c r="W588" s="12">
        <v>91475</v>
      </c>
      <c r="X588" s="12">
        <v>0</v>
      </c>
      <c r="Y588" s="12">
        <v>936</v>
      </c>
      <c r="Z588" s="12">
        <v>913</v>
      </c>
      <c r="AA588" s="11">
        <v>-2.46</v>
      </c>
      <c r="AB588" s="12">
        <v>6288651</v>
      </c>
      <c r="AC588" s="12">
        <v>3188651</v>
      </c>
      <c r="AD588" s="12">
        <v>1954782</v>
      </c>
      <c r="AE588" s="12">
        <v>1875266</v>
      </c>
      <c r="AF588" s="12">
        <v>890916</v>
      </c>
      <c r="AG588" s="12">
        <v>900000</v>
      </c>
      <c r="AH588" s="11">
        <v>3.87</v>
      </c>
      <c r="AI588" s="11">
        <v>3.86</v>
      </c>
      <c r="AJ588" s="13"/>
    </row>
    <row r="589" spans="1:36" x14ac:dyDescent="0.25">
      <c r="A589" t="str">
        <f>"580201"</f>
        <v>580201</v>
      </c>
      <c r="B589" t="s">
        <v>675</v>
      </c>
      <c r="C589" s="10">
        <v>204444527</v>
      </c>
      <c r="D589" s="10">
        <v>209803354</v>
      </c>
      <c r="E589" s="11">
        <v>2.62</v>
      </c>
      <c r="F589" s="12">
        <v>151992599</v>
      </c>
      <c r="G589" s="12">
        <v>154981001</v>
      </c>
      <c r="H589" s="12"/>
      <c r="I589" s="12"/>
      <c r="J589" s="12"/>
      <c r="K589" s="12"/>
      <c r="L589" s="12"/>
      <c r="M589" s="12"/>
      <c r="N589" s="12">
        <v>151992599</v>
      </c>
      <c r="O589" s="12">
        <v>154981001</v>
      </c>
      <c r="P589" s="11">
        <v>1.97</v>
      </c>
      <c r="Q589" s="12">
        <v>8521389</v>
      </c>
      <c r="R589" s="12">
        <v>8297125</v>
      </c>
      <c r="S589" s="12">
        <v>143471210</v>
      </c>
      <c r="T589" s="12">
        <v>146683876</v>
      </c>
      <c r="U589" s="12">
        <v>143471210</v>
      </c>
      <c r="V589" s="12">
        <v>146683876</v>
      </c>
      <c r="W589" s="12">
        <v>0</v>
      </c>
      <c r="X589" s="12">
        <v>0</v>
      </c>
      <c r="Y589" s="12">
        <v>6113</v>
      </c>
      <c r="Z589" s="12">
        <v>5900</v>
      </c>
      <c r="AA589" s="11">
        <v>-3.48</v>
      </c>
      <c r="AB589" s="12">
        <v>17461758</v>
      </c>
      <c r="AC589" s="12">
        <v>17000000</v>
      </c>
      <c r="AD589" s="12">
        <v>1000000</v>
      </c>
      <c r="AE589" s="12">
        <v>2000000</v>
      </c>
      <c r="AF589" s="12">
        <v>8079397</v>
      </c>
      <c r="AG589" s="12">
        <v>8392000</v>
      </c>
      <c r="AH589" s="11">
        <v>3.95</v>
      </c>
      <c r="AI589" s="11">
        <v>4</v>
      </c>
      <c r="AJ589" s="13"/>
    </row>
    <row r="590" spans="1:36" x14ac:dyDescent="0.25">
      <c r="A590" t="str">
        <f>"151501"</f>
        <v>151501</v>
      </c>
      <c r="B590" t="s">
        <v>676</v>
      </c>
      <c r="C590" s="10">
        <v>20749999</v>
      </c>
      <c r="D590" s="10">
        <v>22416587</v>
      </c>
      <c r="E590" s="11">
        <v>8.0299999999999994</v>
      </c>
      <c r="F590" s="12">
        <v>11276168</v>
      </c>
      <c r="G590" s="12">
        <v>11653259</v>
      </c>
      <c r="H590" s="12"/>
      <c r="I590" s="12"/>
      <c r="J590" s="12"/>
      <c r="K590" s="12"/>
      <c r="L590" s="12"/>
      <c r="M590" s="12"/>
      <c r="N590" s="12">
        <v>11276168</v>
      </c>
      <c r="O590" s="12">
        <v>11653259</v>
      </c>
      <c r="P590" s="11">
        <v>3.34</v>
      </c>
      <c r="Q590" s="12">
        <v>1421244</v>
      </c>
      <c r="R590" s="12">
        <v>1557752</v>
      </c>
      <c r="S590" s="12">
        <v>9854924</v>
      </c>
      <c r="T590" s="12">
        <v>10095507</v>
      </c>
      <c r="U590" s="12">
        <v>9854924</v>
      </c>
      <c r="V590" s="12">
        <v>10095507</v>
      </c>
      <c r="W590" s="12">
        <v>0</v>
      </c>
      <c r="X590" s="12">
        <v>0</v>
      </c>
      <c r="Y590" s="12">
        <v>798</v>
      </c>
      <c r="Z590" s="12">
        <v>787</v>
      </c>
      <c r="AA590" s="11">
        <v>-1.38</v>
      </c>
      <c r="AB590" s="12">
        <v>42202</v>
      </c>
      <c r="AC590" s="12">
        <v>40056</v>
      </c>
      <c r="AD590" s="12">
        <v>700000</v>
      </c>
      <c r="AE590" s="12">
        <v>1415219</v>
      </c>
      <c r="AF590" s="12">
        <v>1981197</v>
      </c>
      <c r="AG590" s="12">
        <v>565978</v>
      </c>
      <c r="AH590" s="11">
        <v>9.5500000000000007</v>
      </c>
      <c r="AI590" s="11">
        <v>2.52</v>
      </c>
      <c r="AJ590" s="13"/>
    </row>
    <row r="591" spans="1:36" x14ac:dyDescent="0.25">
      <c r="A591" t="str">
        <f>"600903"</f>
        <v>600903</v>
      </c>
      <c r="B591" t="s">
        <v>677</v>
      </c>
      <c r="C591" s="10">
        <v>18510864</v>
      </c>
      <c r="D591" s="10">
        <v>19005267</v>
      </c>
      <c r="E591" s="11">
        <v>2.67</v>
      </c>
      <c r="F591" s="12">
        <v>3802209</v>
      </c>
      <c r="G591" s="12">
        <v>3816477</v>
      </c>
      <c r="H591" s="12"/>
      <c r="I591" s="12"/>
      <c r="J591" s="12"/>
      <c r="K591" s="12"/>
      <c r="L591" s="12"/>
      <c r="M591" s="12"/>
      <c r="N591" s="12">
        <v>3802209</v>
      </c>
      <c r="O591" s="12">
        <v>3816477</v>
      </c>
      <c r="P591" s="11">
        <v>0.38</v>
      </c>
      <c r="Q591" s="12">
        <v>210777</v>
      </c>
      <c r="R591" s="12">
        <v>175567</v>
      </c>
      <c r="S591" s="12">
        <v>3591432</v>
      </c>
      <c r="T591" s="12">
        <v>3640910</v>
      </c>
      <c r="U591" s="12">
        <v>3591432</v>
      </c>
      <c r="V591" s="12">
        <v>3640910</v>
      </c>
      <c r="W591" s="12">
        <v>0</v>
      </c>
      <c r="X591" s="12">
        <v>0</v>
      </c>
      <c r="Y591" s="12">
        <v>1019</v>
      </c>
      <c r="Z591" s="12">
        <v>1024</v>
      </c>
      <c r="AA591" s="11">
        <v>0.49</v>
      </c>
      <c r="AB591" s="12">
        <v>1957883</v>
      </c>
      <c r="AC591" s="12">
        <v>2647500</v>
      </c>
      <c r="AD591" s="12">
        <v>500000</v>
      </c>
      <c r="AE591" s="12">
        <v>648128</v>
      </c>
      <c r="AF591" s="12">
        <v>737177</v>
      </c>
      <c r="AG591" s="12">
        <v>760211</v>
      </c>
      <c r="AH591" s="11">
        <v>3.98</v>
      </c>
      <c r="AI591" s="11">
        <v>4</v>
      </c>
      <c r="AJ591" s="13"/>
    </row>
    <row r="592" spans="1:36" x14ac:dyDescent="0.25">
      <c r="A592" t="str">
        <f>"142500"</f>
        <v>142500</v>
      </c>
      <c r="B592" t="s">
        <v>678</v>
      </c>
      <c r="C592" s="10">
        <v>33686341</v>
      </c>
      <c r="D592" s="10">
        <v>34773624</v>
      </c>
      <c r="E592" s="11">
        <v>3.23</v>
      </c>
      <c r="F592" s="12">
        <v>11815947</v>
      </c>
      <c r="G592" s="12">
        <v>12161319</v>
      </c>
      <c r="H592" s="12"/>
      <c r="I592" s="12"/>
      <c r="J592" s="12"/>
      <c r="K592" s="12"/>
      <c r="L592" s="12"/>
      <c r="M592" s="12"/>
      <c r="N592" s="12">
        <v>11815947</v>
      </c>
      <c r="O592" s="12">
        <v>12161319</v>
      </c>
      <c r="P592" s="11">
        <v>2.92</v>
      </c>
      <c r="Q592" s="12">
        <v>397062</v>
      </c>
      <c r="R592" s="12">
        <v>504399</v>
      </c>
      <c r="S592" s="12">
        <v>11420406</v>
      </c>
      <c r="T592" s="12">
        <v>11656920</v>
      </c>
      <c r="U592" s="12">
        <v>11418885</v>
      </c>
      <c r="V592" s="12">
        <v>11656920</v>
      </c>
      <c r="W592" s="12">
        <v>1521</v>
      </c>
      <c r="X592" s="12">
        <v>0</v>
      </c>
      <c r="Y592" s="12">
        <v>1737</v>
      </c>
      <c r="Z592" s="12">
        <v>1730</v>
      </c>
      <c r="AA592" s="11">
        <v>-0.4</v>
      </c>
      <c r="AB592" s="12">
        <v>2850000</v>
      </c>
      <c r="AC592" s="12">
        <v>5450000</v>
      </c>
      <c r="AD592" s="12">
        <v>1000000</v>
      </c>
      <c r="AE592" s="12">
        <v>1000000</v>
      </c>
      <c r="AF592" s="12">
        <v>3271325</v>
      </c>
      <c r="AG592" s="12">
        <v>1839908</v>
      </c>
      <c r="AH592" s="11">
        <v>9.7100000000000009</v>
      </c>
      <c r="AI592" s="11">
        <v>5.29</v>
      </c>
      <c r="AJ592" s="13"/>
    </row>
    <row r="593" spans="1:36" x14ac:dyDescent="0.25">
      <c r="A593" t="str">
        <f>"211901"</f>
        <v>211901</v>
      </c>
      <c r="B593" t="s">
        <v>679</v>
      </c>
      <c r="C593" s="10">
        <v>8827260</v>
      </c>
      <c r="D593" s="10">
        <v>8868460</v>
      </c>
      <c r="E593" s="11">
        <v>0.47</v>
      </c>
      <c r="F593" s="12">
        <v>6019900</v>
      </c>
      <c r="G593" s="12">
        <v>6176000</v>
      </c>
      <c r="H593" s="12"/>
      <c r="I593" s="12"/>
      <c r="J593" s="12"/>
      <c r="K593" s="12"/>
      <c r="L593" s="12"/>
      <c r="M593" s="12"/>
      <c r="N593" s="12">
        <v>6019900</v>
      </c>
      <c r="O593" s="12">
        <v>6176000</v>
      </c>
      <c r="P593" s="11">
        <v>2.59</v>
      </c>
      <c r="Q593" s="12">
        <v>191554</v>
      </c>
      <c r="R593" s="12">
        <v>189422</v>
      </c>
      <c r="S593" s="12">
        <v>5828353</v>
      </c>
      <c r="T593" s="12">
        <v>5986667</v>
      </c>
      <c r="U593" s="12">
        <v>5828346</v>
      </c>
      <c r="V593" s="12">
        <v>5986578</v>
      </c>
      <c r="W593" s="12">
        <v>7</v>
      </c>
      <c r="X593" s="12">
        <v>89</v>
      </c>
      <c r="Y593" s="12">
        <v>244</v>
      </c>
      <c r="Z593" s="12">
        <v>239</v>
      </c>
      <c r="AA593" s="11">
        <v>-2.0499999999999998</v>
      </c>
      <c r="AB593" s="12">
        <v>1255653</v>
      </c>
      <c r="AC593" s="12">
        <v>1475396</v>
      </c>
      <c r="AD593" s="12">
        <v>123453</v>
      </c>
      <c r="AE593" s="12">
        <v>1097285</v>
      </c>
      <c r="AF593" s="12">
        <v>573480</v>
      </c>
      <c r="AG593" s="12">
        <v>422848</v>
      </c>
      <c r="AH593" s="11">
        <v>6.5</v>
      </c>
      <c r="AI593" s="11">
        <v>4.7699999999999996</v>
      </c>
      <c r="AJ593" s="13"/>
    </row>
    <row r="594" spans="1:36" x14ac:dyDescent="0.25">
      <c r="A594" t="str">
        <f>"591201"</f>
        <v>591201</v>
      </c>
      <c r="B594" t="s">
        <v>680</v>
      </c>
      <c r="C594" s="10">
        <v>32440026</v>
      </c>
      <c r="D594" s="10">
        <v>33576255</v>
      </c>
      <c r="E594" s="11">
        <v>3.5</v>
      </c>
      <c r="F594" s="12">
        <v>20332734</v>
      </c>
      <c r="G594" s="12">
        <v>20784175</v>
      </c>
      <c r="H594" s="12"/>
      <c r="I594" s="12"/>
      <c r="J594" s="12"/>
      <c r="K594" s="12"/>
      <c r="L594" s="12"/>
      <c r="M594" s="12"/>
      <c r="N594" s="12">
        <v>20332734</v>
      </c>
      <c r="O594" s="12">
        <v>20784175</v>
      </c>
      <c r="P594" s="11">
        <v>2.2200000000000002</v>
      </c>
      <c r="Q594" s="12">
        <v>496887</v>
      </c>
      <c r="R594" s="12">
        <v>493022</v>
      </c>
      <c r="S594" s="12">
        <v>19835847</v>
      </c>
      <c r="T594" s="12">
        <v>20291153</v>
      </c>
      <c r="U594" s="12">
        <v>19835847</v>
      </c>
      <c r="V594" s="12">
        <v>20291153</v>
      </c>
      <c r="W594" s="12">
        <v>0</v>
      </c>
      <c r="X594" s="12">
        <v>0</v>
      </c>
      <c r="Y594" s="12">
        <v>1047</v>
      </c>
      <c r="Z594" s="12">
        <v>1026</v>
      </c>
      <c r="AA594" s="11">
        <v>-2.0099999999999998</v>
      </c>
      <c r="AB594" s="12">
        <v>7290770</v>
      </c>
      <c r="AC594" s="12">
        <v>6960770</v>
      </c>
      <c r="AD594" s="12">
        <v>1339701</v>
      </c>
      <c r="AE594" s="12">
        <v>1575000</v>
      </c>
      <c r="AF594" s="12">
        <v>1291599</v>
      </c>
      <c r="AG594" s="12">
        <v>1340000</v>
      </c>
      <c r="AH594" s="11">
        <v>3.98</v>
      </c>
      <c r="AI594" s="11">
        <v>3.99</v>
      </c>
      <c r="AJ594" s="13"/>
    </row>
    <row r="595" spans="1:36" x14ac:dyDescent="0.25">
      <c r="A595" t="str">
        <f>"491700"</f>
        <v>491700</v>
      </c>
      <c r="B595" t="s">
        <v>681</v>
      </c>
      <c r="C595" s="10">
        <v>112018797</v>
      </c>
      <c r="D595" s="10">
        <v>111893389</v>
      </c>
      <c r="E595" s="11">
        <v>-0.11</v>
      </c>
      <c r="F595" s="12">
        <v>36273420</v>
      </c>
      <c r="G595" s="12">
        <v>36832473</v>
      </c>
      <c r="H595" s="12"/>
      <c r="I595" s="12"/>
      <c r="J595" s="12"/>
      <c r="K595" s="12"/>
      <c r="L595" s="12"/>
      <c r="M595" s="12"/>
      <c r="N595" s="12">
        <v>36273420</v>
      </c>
      <c r="O595" s="12">
        <v>36832473</v>
      </c>
      <c r="P595" s="11">
        <v>1.54</v>
      </c>
      <c r="Q595" s="12">
        <v>1018015</v>
      </c>
      <c r="R595" s="12">
        <v>747689</v>
      </c>
      <c r="S595" s="12">
        <v>35255405</v>
      </c>
      <c r="T595" s="12">
        <v>36208066</v>
      </c>
      <c r="U595" s="12">
        <v>35255405</v>
      </c>
      <c r="V595" s="12">
        <v>36084784</v>
      </c>
      <c r="W595" s="12">
        <v>0</v>
      </c>
      <c r="X595" s="12">
        <v>123282</v>
      </c>
      <c r="Y595" s="12">
        <v>4726</v>
      </c>
      <c r="Z595" s="12">
        <v>4703</v>
      </c>
      <c r="AA595" s="11">
        <v>-0.49</v>
      </c>
      <c r="AB595" s="12">
        <v>4528739</v>
      </c>
      <c r="AC595" s="12">
        <v>8032792</v>
      </c>
      <c r="AD595" s="12">
        <v>9250000</v>
      </c>
      <c r="AE595" s="12">
        <v>5450000</v>
      </c>
      <c r="AF595" s="12">
        <v>4266428</v>
      </c>
      <c r="AG595" s="12">
        <v>4475735</v>
      </c>
      <c r="AH595" s="11">
        <v>3.81</v>
      </c>
      <c r="AI595" s="11">
        <v>4</v>
      </c>
      <c r="AJ595" s="13"/>
    </row>
    <row r="596" spans="1:36" x14ac:dyDescent="0.25">
      <c r="A596" s="14" t="str">
        <f>"611001"</f>
        <v>611001</v>
      </c>
      <c r="B596" s="14" t="s">
        <v>5738</v>
      </c>
      <c r="C596" s="43">
        <v>24808744</v>
      </c>
      <c r="D596" s="43">
        <v>26664945</v>
      </c>
      <c r="E596" s="13">
        <v>7.48</v>
      </c>
      <c r="F596" s="17">
        <v>10808880</v>
      </c>
      <c r="G596" s="17">
        <v>11211053</v>
      </c>
      <c r="H596" s="17">
        <v>114931</v>
      </c>
      <c r="I596" s="17">
        <v>118497</v>
      </c>
      <c r="J596" s="17"/>
      <c r="K596" s="17"/>
      <c r="L596" s="17"/>
      <c r="M596" s="17"/>
      <c r="N596" s="17">
        <v>10923811</v>
      </c>
      <c r="O596" s="17">
        <v>11211053</v>
      </c>
      <c r="P596" s="13">
        <v>3.71</v>
      </c>
      <c r="Q596" s="17">
        <v>0</v>
      </c>
      <c r="R596" s="17">
        <v>0</v>
      </c>
      <c r="S596" s="17">
        <v>10908880</v>
      </c>
      <c r="T596" s="17">
        <v>11211053</v>
      </c>
      <c r="U596" s="17">
        <v>10808880</v>
      </c>
      <c r="V596" s="17">
        <v>11211053</v>
      </c>
      <c r="W596" s="17">
        <v>100000</v>
      </c>
      <c r="X596" s="17">
        <v>0</v>
      </c>
      <c r="Y596" s="17">
        <v>1062</v>
      </c>
      <c r="Z596" s="17">
        <v>1050</v>
      </c>
      <c r="AA596" s="13">
        <v>-1.1299999999999999</v>
      </c>
      <c r="AB596" s="17">
        <v>7245545</v>
      </c>
      <c r="AC596" s="17">
        <v>7123785</v>
      </c>
      <c r="AD596" s="17">
        <v>285500</v>
      </c>
      <c r="AE596" s="17">
        <v>460849</v>
      </c>
      <c r="AF596" s="17">
        <v>1026586</v>
      </c>
      <c r="AG596" s="17">
        <v>865737</v>
      </c>
      <c r="AH596" s="13">
        <v>4.1399999999999997</v>
      </c>
      <c r="AI596" s="13">
        <v>3.25</v>
      </c>
      <c r="AJ596" s="13"/>
    </row>
    <row r="597" spans="1:36" x14ac:dyDescent="0.25">
      <c r="A597" t="str">
        <f>"580913"</f>
        <v>580913</v>
      </c>
      <c r="B597" t="s">
        <v>682</v>
      </c>
      <c r="C597" s="10">
        <v>20167600</v>
      </c>
      <c r="D597" s="10">
        <v>21197146</v>
      </c>
      <c r="E597" s="11">
        <v>5.0999999999999996</v>
      </c>
      <c r="F597" s="12">
        <v>18197831</v>
      </c>
      <c r="G597" s="12">
        <v>19096772</v>
      </c>
      <c r="H597" s="12"/>
      <c r="I597" s="12"/>
      <c r="J597" s="12"/>
      <c r="K597" s="12"/>
      <c r="L597" s="12"/>
      <c r="M597" s="12"/>
      <c r="N597" s="12">
        <v>18197831</v>
      </c>
      <c r="O597" s="12">
        <v>19096772</v>
      </c>
      <c r="P597" s="11">
        <v>4.9400000000000004</v>
      </c>
      <c r="Q597" s="12">
        <v>17784</v>
      </c>
      <c r="R597" s="12">
        <v>17784</v>
      </c>
      <c r="S597" s="12">
        <v>18180047</v>
      </c>
      <c r="T597" s="12">
        <v>19078988</v>
      </c>
      <c r="U597" s="12">
        <v>18180047</v>
      </c>
      <c r="V597" s="12">
        <v>19078988</v>
      </c>
      <c r="W597" s="12">
        <v>0</v>
      </c>
      <c r="X597" s="12">
        <v>0</v>
      </c>
      <c r="Y597" s="12">
        <v>549</v>
      </c>
      <c r="Z597" s="12">
        <v>509</v>
      </c>
      <c r="AA597" s="11">
        <v>-7.29</v>
      </c>
      <c r="AB597" s="12">
        <v>3656564</v>
      </c>
      <c r="AC597" s="12">
        <v>3529315</v>
      </c>
      <c r="AD597" s="12">
        <v>784057</v>
      </c>
      <c r="AE597" s="12">
        <v>800000</v>
      </c>
      <c r="AF597" s="12">
        <v>806704</v>
      </c>
      <c r="AG597" s="12">
        <v>635914</v>
      </c>
      <c r="AH597" s="11">
        <v>4</v>
      </c>
      <c r="AI597" s="11">
        <v>3</v>
      </c>
      <c r="AJ597" s="13"/>
    </row>
    <row r="598" spans="1:36" s="14" customFormat="1" x14ac:dyDescent="0.25">
      <c r="A598" t="str">
        <f>"660302"</f>
        <v>660302</v>
      </c>
      <c r="B598" t="s">
        <v>683</v>
      </c>
      <c r="C598" s="10">
        <v>32502899</v>
      </c>
      <c r="D598" s="10">
        <v>34025550</v>
      </c>
      <c r="E598" s="11">
        <v>4.68</v>
      </c>
      <c r="F598" s="12">
        <v>27102400</v>
      </c>
      <c r="G598" s="12">
        <v>27910050</v>
      </c>
      <c r="H598" s="12"/>
      <c r="I598" s="12"/>
      <c r="J598" s="12"/>
      <c r="K598" s="12"/>
      <c r="L598" s="12"/>
      <c r="M598" s="12"/>
      <c r="N598" s="12">
        <v>27102400</v>
      </c>
      <c r="O598" s="12">
        <v>27910050</v>
      </c>
      <c r="P598" s="11">
        <v>2.98</v>
      </c>
      <c r="Q598" s="12">
        <v>1128842</v>
      </c>
      <c r="R598" s="12">
        <v>1190684</v>
      </c>
      <c r="S598" s="12">
        <v>25973576</v>
      </c>
      <c r="T598" s="12">
        <v>26858440</v>
      </c>
      <c r="U598" s="12">
        <v>25973558</v>
      </c>
      <c r="V598" s="12">
        <v>26719366</v>
      </c>
      <c r="W598" s="12">
        <v>18</v>
      </c>
      <c r="X598" s="12">
        <v>139074</v>
      </c>
      <c r="Y598" s="12">
        <v>1176</v>
      </c>
      <c r="Z598" s="12">
        <v>1186</v>
      </c>
      <c r="AA598" s="11">
        <v>0.85</v>
      </c>
      <c r="AB598" s="12">
        <v>4156591</v>
      </c>
      <c r="AC598" s="12">
        <v>3684499</v>
      </c>
      <c r="AD598" s="12">
        <v>969820</v>
      </c>
      <c r="AE598" s="12">
        <v>1438656</v>
      </c>
      <c r="AF598" s="12">
        <v>1300112</v>
      </c>
      <c r="AG598" s="12">
        <v>1361022</v>
      </c>
      <c r="AH598" s="11">
        <v>4</v>
      </c>
      <c r="AI598" s="11">
        <v>4</v>
      </c>
      <c r="AJ598" s="13"/>
    </row>
    <row r="599" spans="1:36" x14ac:dyDescent="0.25">
      <c r="A599" t="str">
        <f>"421902"</f>
        <v>421902</v>
      </c>
      <c r="B599" t="s">
        <v>684</v>
      </c>
      <c r="C599" s="10">
        <v>19873421</v>
      </c>
      <c r="D599" s="10">
        <v>19925421</v>
      </c>
      <c r="E599" s="11">
        <v>0.26</v>
      </c>
      <c r="F599" s="12">
        <v>9758539</v>
      </c>
      <c r="G599" s="12">
        <v>9943741</v>
      </c>
      <c r="H599" s="12"/>
      <c r="I599" s="12"/>
      <c r="J599" s="12"/>
      <c r="K599" s="12"/>
      <c r="L599" s="12"/>
      <c r="M599" s="12"/>
      <c r="N599" s="12">
        <v>9758539</v>
      </c>
      <c r="O599" s="12">
        <v>9943741</v>
      </c>
      <c r="P599" s="11">
        <v>1.9</v>
      </c>
      <c r="Q599" s="12">
        <v>579552</v>
      </c>
      <c r="R599" s="12">
        <v>556145</v>
      </c>
      <c r="S599" s="12">
        <v>9252450</v>
      </c>
      <c r="T599" s="12">
        <v>9388446</v>
      </c>
      <c r="U599" s="12">
        <v>9178987</v>
      </c>
      <c r="V599" s="12">
        <v>9387596</v>
      </c>
      <c r="W599" s="12">
        <v>73463</v>
      </c>
      <c r="X599" s="12">
        <v>850</v>
      </c>
      <c r="Y599" s="12">
        <v>820</v>
      </c>
      <c r="Z599" s="12">
        <v>814</v>
      </c>
      <c r="AA599" s="11">
        <v>-0.73</v>
      </c>
      <c r="AB599" s="12">
        <v>5242037</v>
      </c>
      <c r="AC599" s="12">
        <v>4749846</v>
      </c>
      <c r="AD599" s="12">
        <v>150000</v>
      </c>
      <c r="AE599" s="12">
        <v>150000</v>
      </c>
      <c r="AF599" s="12">
        <v>794937</v>
      </c>
      <c r="AG599" s="12">
        <v>797017</v>
      </c>
      <c r="AH599" s="11">
        <v>4</v>
      </c>
      <c r="AI599" s="11">
        <v>4</v>
      </c>
      <c r="AJ599" s="13"/>
    </row>
    <row r="600" spans="1:36" x14ac:dyDescent="0.25">
      <c r="A600" t="str">
        <f>"160101"</f>
        <v>160101</v>
      </c>
      <c r="B600" t="s">
        <v>685</v>
      </c>
      <c r="C600" s="10">
        <v>17809013</v>
      </c>
      <c r="D600" s="10">
        <v>18719721</v>
      </c>
      <c r="E600" s="11">
        <v>5.1100000000000003</v>
      </c>
      <c r="F600" s="12">
        <v>7958731</v>
      </c>
      <c r="G600" s="12">
        <v>8440458</v>
      </c>
      <c r="H600" s="12"/>
      <c r="I600" s="12"/>
      <c r="J600" s="12"/>
      <c r="K600" s="12"/>
      <c r="L600" s="12"/>
      <c r="M600" s="12"/>
      <c r="N600" s="12">
        <v>7958731</v>
      </c>
      <c r="O600" s="12">
        <v>8440458</v>
      </c>
      <c r="P600" s="11">
        <v>6.05</v>
      </c>
      <c r="Q600" s="12">
        <v>204701</v>
      </c>
      <c r="R600" s="12">
        <v>520118</v>
      </c>
      <c r="S600" s="12">
        <v>7754372</v>
      </c>
      <c r="T600" s="12">
        <v>7920346</v>
      </c>
      <c r="U600" s="12">
        <v>7754030</v>
      </c>
      <c r="V600" s="12">
        <v>7920340</v>
      </c>
      <c r="W600" s="12">
        <v>342</v>
      </c>
      <c r="X600" s="12">
        <v>6</v>
      </c>
      <c r="Y600" s="12">
        <v>780</v>
      </c>
      <c r="Z600" s="12">
        <v>782</v>
      </c>
      <c r="AA600" s="11">
        <v>0.26</v>
      </c>
      <c r="AB600" s="12">
        <v>20119</v>
      </c>
      <c r="AC600" s="12">
        <v>25000</v>
      </c>
      <c r="AD600" s="12">
        <v>632000</v>
      </c>
      <c r="AE600" s="12">
        <v>500000</v>
      </c>
      <c r="AF600" s="12">
        <v>1380986</v>
      </c>
      <c r="AG600" s="12">
        <v>1100000</v>
      </c>
      <c r="AH600" s="11">
        <v>7.75</v>
      </c>
      <c r="AI600" s="11">
        <v>5.88</v>
      </c>
      <c r="AJ600" s="13"/>
    </row>
    <row r="601" spans="1:36" x14ac:dyDescent="0.25">
      <c r="A601" t="str">
        <f>"441903"</f>
        <v>441903</v>
      </c>
      <c r="B601" t="s">
        <v>686</v>
      </c>
      <c r="C601" s="10">
        <v>13742849</v>
      </c>
      <c r="D601" s="10">
        <v>13181372</v>
      </c>
      <c r="E601" s="11">
        <v>-4.09</v>
      </c>
      <c r="F601" s="12">
        <v>11568095</v>
      </c>
      <c r="G601" s="12">
        <v>10936196</v>
      </c>
      <c r="H601" s="12"/>
      <c r="I601" s="12"/>
      <c r="J601" s="12"/>
      <c r="K601" s="12"/>
      <c r="L601" s="12"/>
      <c r="M601" s="12"/>
      <c r="N601" s="12">
        <v>11568095</v>
      </c>
      <c r="O601" s="12">
        <v>10936196</v>
      </c>
      <c r="P601" s="11">
        <v>-5.46</v>
      </c>
      <c r="Q601" s="12">
        <v>708375</v>
      </c>
      <c r="R601" s="12">
        <v>0</v>
      </c>
      <c r="S601" s="12">
        <v>10877110</v>
      </c>
      <c r="T601" s="12">
        <v>11087171</v>
      </c>
      <c r="U601" s="12">
        <v>10859720</v>
      </c>
      <c r="V601" s="12">
        <v>10936196</v>
      </c>
      <c r="W601" s="12">
        <v>17390</v>
      </c>
      <c r="X601" s="12">
        <v>150975</v>
      </c>
      <c r="Y601" s="12">
        <v>236</v>
      </c>
      <c r="Z601" s="12">
        <v>235</v>
      </c>
      <c r="AA601" s="11">
        <v>-0.42</v>
      </c>
      <c r="AB601" s="12">
        <v>774045</v>
      </c>
      <c r="AC601" s="12">
        <v>1424045</v>
      </c>
      <c r="AD601" s="12">
        <v>714070</v>
      </c>
      <c r="AE601" s="12">
        <v>650000</v>
      </c>
      <c r="AF601" s="12">
        <v>1589421</v>
      </c>
      <c r="AG601" s="12">
        <v>889421</v>
      </c>
      <c r="AH601" s="11">
        <v>11.57</v>
      </c>
      <c r="AI601" s="11">
        <v>6.75</v>
      </c>
      <c r="AJ601" s="13"/>
    </row>
    <row r="602" spans="1:36" x14ac:dyDescent="0.25">
      <c r="A602" t="str">
        <f>"660401"</f>
        <v>660401</v>
      </c>
      <c r="B602" t="s">
        <v>687</v>
      </c>
      <c r="C602" s="10">
        <v>75656831</v>
      </c>
      <c r="D602" s="10">
        <v>77910552</v>
      </c>
      <c r="E602" s="11">
        <v>2.98</v>
      </c>
      <c r="F602" s="12">
        <v>56814887</v>
      </c>
      <c r="G602" s="12">
        <v>57379347</v>
      </c>
      <c r="H602" s="12"/>
      <c r="I602" s="12"/>
      <c r="J602" s="12"/>
      <c r="K602" s="12"/>
      <c r="L602" s="12"/>
      <c r="M602" s="12"/>
      <c r="N602" s="12">
        <v>56814887</v>
      </c>
      <c r="O602" s="12">
        <v>57379347</v>
      </c>
      <c r="P602" s="11">
        <v>0.99</v>
      </c>
      <c r="Q602" s="12">
        <v>2625132</v>
      </c>
      <c r="R602" s="12">
        <v>3141930</v>
      </c>
      <c r="S602" s="12">
        <v>54189755</v>
      </c>
      <c r="T602" s="12">
        <v>54237417</v>
      </c>
      <c r="U602" s="12">
        <v>54189755</v>
      </c>
      <c r="V602" s="12">
        <v>54237417</v>
      </c>
      <c r="W602" s="12">
        <v>0</v>
      </c>
      <c r="X602" s="12">
        <v>0</v>
      </c>
      <c r="Y602" s="12">
        <v>2870</v>
      </c>
      <c r="Z602" s="12">
        <v>2876</v>
      </c>
      <c r="AA602" s="11">
        <v>0.21</v>
      </c>
      <c r="AB602" s="12">
        <v>6105781</v>
      </c>
      <c r="AC602" s="12">
        <v>2858476</v>
      </c>
      <c r="AD602" s="12">
        <v>4448619</v>
      </c>
      <c r="AE602" s="12">
        <v>4047181</v>
      </c>
      <c r="AF602" s="12">
        <v>3026269</v>
      </c>
      <c r="AG602" s="12">
        <v>3116422</v>
      </c>
      <c r="AH602" s="11">
        <v>4</v>
      </c>
      <c r="AI602" s="11">
        <v>4</v>
      </c>
      <c r="AJ602" s="13"/>
    </row>
    <row r="603" spans="1:36" x14ac:dyDescent="0.25">
      <c r="A603" t="str">
        <f>"081003"</f>
        <v>081003</v>
      </c>
      <c r="B603" t="s">
        <v>688</v>
      </c>
      <c r="C603" s="10">
        <v>19309317</v>
      </c>
      <c r="D603" s="10">
        <v>20157866</v>
      </c>
      <c r="E603" s="11">
        <v>4.3899999999999997</v>
      </c>
      <c r="F603" s="12">
        <v>4250743</v>
      </c>
      <c r="G603" s="12">
        <v>4314504</v>
      </c>
      <c r="H603" s="12"/>
      <c r="I603" s="12"/>
      <c r="J603" s="12"/>
      <c r="K603" s="12"/>
      <c r="L603" s="12"/>
      <c r="M603" s="12"/>
      <c r="N603" s="12">
        <v>4250743</v>
      </c>
      <c r="O603" s="12">
        <v>4314504</v>
      </c>
      <c r="P603" s="11">
        <v>1.5</v>
      </c>
      <c r="Q603" s="12">
        <v>0</v>
      </c>
      <c r="R603" s="12">
        <v>0</v>
      </c>
      <c r="S603" s="12">
        <v>4250743</v>
      </c>
      <c r="T603" s="12">
        <v>4314504</v>
      </c>
      <c r="U603" s="12">
        <v>4250743</v>
      </c>
      <c r="V603" s="12">
        <v>4314504</v>
      </c>
      <c r="W603" s="12">
        <v>0</v>
      </c>
      <c r="X603" s="12">
        <v>0</v>
      </c>
      <c r="Y603" s="12">
        <v>815</v>
      </c>
      <c r="Z603" s="12">
        <v>820</v>
      </c>
      <c r="AA603" s="11">
        <v>0.61</v>
      </c>
      <c r="AB603" s="12">
        <v>6177573</v>
      </c>
      <c r="AC603" s="12">
        <v>5666270</v>
      </c>
      <c r="AD603" s="12">
        <v>350000</v>
      </c>
      <c r="AE603" s="12">
        <v>400000</v>
      </c>
      <c r="AF603" s="12">
        <v>745700</v>
      </c>
      <c r="AG603" s="12">
        <v>806310</v>
      </c>
      <c r="AH603" s="11">
        <v>3.86</v>
      </c>
      <c r="AI603" s="11">
        <v>4</v>
      </c>
      <c r="AJ603" s="13"/>
    </row>
    <row r="604" spans="1:36" x14ac:dyDescent="0.25">
      <c r="A604" t="str">
        <f>"051901"</f>
        <v>051901</v>
      </c>
      <c r="B604" t="s">
        <v>689</v>
      </c>
      <c r="C604" s="10">
        <v>18088080</v>
      </c>
      <c r="D604" s="10">
        <v>18460267</v>
      </c>
      <c r="E604" s="11">
        <v>2.06</v>
      </c>
      <c r="F604" s="12">
        <v>7544753</v>
      </c>
      <c r="G604" s="12">
        <v>7544753</v>
      </c>
      <c r="H604" s="12"/>
      <c r="I604" s="12"/>
      <c r="J604" s="12"/>
      <c r="K604" s="12"/>
      <c r="L604" s="12"/>
      <c r="M604" s="12"/>
      <c r="N604" s="12">
        <v>7544753</v>
      </c>
      <c r="O604" s="12">
        <v>7544753</v>
      </c>
      <c r="P604" s="11">
        <v>0</v>
      </c>
      <c r="Q604" s="12">
        <v>0</v>
      </c>
      <c r="R604" s="12">
        <v>0</v>
      </c>
      <c r="S604" s="12">
        <v>7612398</v>
      </c>
      <c r="T604" s="12">
        <v>7851739</v>
      </c>
      <c r="U604" s="12">
        <v>7544753</v>
      </c>
      <c r="V604" s="12">
        <v>7544753</v>
      </c>
      <c r="W604" s="12">
        <v>67645</v>
      </c>
      <c r="X604" s="12">
        <v>306986</v>
      </c>
      <c r="Y604" s="12">
        <v>817</v>
      </c>
      <c r="Z604" s="12">
        <v>810</v>
      </c>
      <c r="AA604" s="11">
        <v>-0.86</v>
      </c>
      <c r="AB604" s="12">
        <v>2694120</v>
      </c>
      <c r="AC604" s="12">
        <v>2769685</v>
      </c>
      <c r="AD604" s="12">
        <v>96099</v>
      </c>
      <c r="AE604" s="12">
        <v>200000</v>
      </c>
      <c r="AF604" s="12">
        <v>664466</v>
      </c>
      <c r="AG604" s="12">
        <v>735000</v>
      </c>
      <c r="AH604" s="11">
        <v>3.67</v>
      </c>
      <c r="AI604" s="11">
        <v>3.98</v>
      </c>
      <c r="AJ604" s="13"/>
    </row>
    <row r="605" spans="1:36" x14ac:dyDescent="0.25">
      <c r="A605" t="str">
        <f>"280202"</f>
        <v>280202</v>
      </c>
      <c r="B605" t="s">
        <v>690</v>
      </c>
      <c r="C605" s="10">
        <v>187212721</v>
      </c>
      <c r="D605" s="10">
        <v>197337434</v>
      </c>
      <c r="E605" s="11">
        <v>5.41</v>
      </c>
      <c r="F605" s="12">
        <v>121096336</v>
      </c>
      <c r="G605" s="12">
        <v>122295190</v>
      </c>
      <c r="H605" s="12"/>
      <c r="I605" s="12"/>
      <c r="J605" s="12"/>
      <c r="K605" s="12"/>
      <c r="L605" s="12" t="s">
        <v>95</v>
      </c>
      <c r="M605" s="12" t="s">
        <v>95</v>
      </c>
      <c r="N605" s="12">
        <v>121096336</v>
      </c>
      <c r="O605" s="12">
        <v>122295190</v>
      </c>
      <c r="P605" s="11">
        <v>0.99</v>
      </c>
      <c r="Q605" s="12">
        <v>0</v>
      </c>
      <c r="R605" s="12">
        <v>0</v>
      </c>
      <c r="S605" s="12">
        <v>121096336</v>
      </c>
      <c r="T605" s="12">
        <v>122295190</v>
      </c>
      <c r="U605" s="12">
        <v>121096336</v>
      </c>
      <c r="V605" s="12">
        <v>122295190</v>
      </c>
      <c r="W605" s="12">
        <v>0</v>
      </c>
      <c r="X605" s="12">
        <v>0</v>
      </c>
      <c r="Y605" s="12">
        <v>7222</v>
      </c>
      <c r="Z605" s="12">
        <v>7315</v>
      </c>
      <c r="AA605" s="11">
        <v>1.29</v>
      </c>
      <c r="AB605" s="12">
        <v>18061501</v>
      </c>
      <c r="AC605" s="12">
        <v>18127555</v>
      </c>
      <c r="AD605" s="12">
        <v>6394330</v>
      </c>
      <c r="AE605" s="12">
        <v>5994330</v>
      </c>
      <c r="AF605" s="12">
        <v>6142013</v>
      </c>
      <c r="AG605" s="12">
        <v>5025116</v>
      </c>
      <c r="AH605" s="11">
        <v>3.28</v>
      </c>
      <c r="AI605" s="11">
        <v>2.5499999999999998</v>
      </c>
      <c r="AJ605" s="13"/>
    </row>
    <row r="606" spans="1:36" x14ac:dyDescent="0.25">
      <c r="A606" t="str">
        <f>"031501"</f>
        <v>031501</v>
      </c>
      <c r="B606" t="s">
        <v>691</v>
      </c>
      <c r="C606" s="10">
        <v>81345530</v>
      </c>
      <c r="D606" s="10">
        <v>82810086</v>
      </c>
      <c r="E606" s="11">
        <v>1.8</v>
      </c>
      <c r="F606" s="12">
        <v>40205813</v>
      </c>
      <c r="G606" s="12">
        <v>41225736</v>
      </c>
      <c r="H606" s="12"/>
      <c r="I606" s="12"/>
      <c r="J606" s="12"/>
      <c r="K606" s="12"/>
      <c r="L606" s="12"/>
      <c r="M606" s="12"/>
      <c r="N606" s="12">
        <v>40205813</v>
      </c>
      <c r="O606" s="12">
        <v>41225736</v>
      </c>
      <c r="P606" s="11">
        <v>2.54</v>
      </c>
      <c r="Q606" s="12">
        <v>300518</v>
      </c>
      <c r="R606" s="12">
        <v>586657</v>
      </c>
      <c r="S606" s="12">
        <v>39905295</v>
      </c>
      <c r="T606" s="12">
        <v>40639079</v>
      </c>
      <c r="U606" s="12">
        <v>39905295</v>
      </c>
      <c r="V606" s="12">
        <v>40639079</v>
      </c>
      <c r="W606" s="12">
        <v>0</v>
      </c>
      <c r="X606" s="12">
        <v>0</v>
      </c>
      <c r="Y606" s="12">
        <v>3760</v>
      </c>
      <c r="Z606" s="12">
        <v>3760</v>
      </c>
      <c r="AA606" s="11">
        <v>0</v>
      </c>
      <c r="AB606" s="12">
        <v>12433915</v>
      </c>
      <c r="AC606" s="12">
        <v>10569837</v>
      </c>
      <c r="AD606" s="12">
        <v>1500000</v>
      </c>
      <c r="AE606" s="12">
        <v>1500000</v>
      </c>
      <c r="AF606" s="12">
        <v>2996583</v>
      </c>
      <c r="AG606" s="12">
        <v>3104532</v>
      </c>
      <c r="AH606" s="11">
        <v>3.68</v>
      </c>
      <c r="AI606" s="11">
        <v>3.75</v>
      </c>
      <c r="AJ606" s="13"/>
    </row>
    <row r="607" spans="1:36" x14ac:dyDescent="0.25">
      <c r="A607" t="str">
        <f>"412300"</f>
        <v>412300</v>
      </c>
      <c r="B607" t="s">
        <v>692</v>
      </c>
      <c r="C607" s="10">
        <v>173177077</v>
      </c>
      <c r="D607" s="10">
        <v>177204059</v>
      </c>
      <c r="E607" s="11">
        <v>2.33</v>
      </c>
      <c r="F607" s="12">
        <v>30005865</v>
      </c>
      <c r="G607" s="12">
        <v>30005865</v>
      </c>
      <c r="H607" s="12"/>
      <c r="I607" s="12"/>
      <c r="J607" s="12"/>
      <c r="K607" s="12"/>
      <c r="L607" s="12"/>
      <c r="M607" s="12"/>
      <c r="N607" s="12">
        <v>30005865</v>
      </c>
      <c r="O607" s="12">
        <v>30005865</v>
      </c>
      <c r="P607" s="11">
        <v>0</v>
      </c>
      <c r="Q607" s="12">
        <v>562942</v>
      </c>
      <c r="R607" s="12">
        <v>326696</v>
      </c>
      <c r="S607" s="12">
        <v>29493274</v>
      </c>
      <c r="T607" s="12">
        <v>30405785</v>
      </c>
      <c r="U607" s="12">
        <v>29442923</v>
      </c>
      <c r="V607" s="12">
        <v>29679169</v>
      </c>
      <c r="W607" s="12">
        <v>50351</v>
      </c>
      <c r="X607" s="12">
        <v>726616</v>
      </c>
      <c r="Y607" s="12">
        <v>10000</v>
      </c>
      <c r="Z607" s="12">
        <v>10750</v>
      </c>
      <c r="AA607" s="11">
        <v>7.5</v>
      </c>
      <c r="AB607" s="12">
        <v>1000000</v>
      </c>
      <c r="AC607" s="12">
        <v>1000000</v>
      </c>
      <c r="AD607" s="12">
        <v>74695</v>
      </c>
      <c r="AE607" s="12">
        <v>650000</v>
      </c>
      <c r="AF607" s="12">
        <v>4864923</v>
      </c>
      <c r="AG607" s="12">
        <v>6000000</v>
      </c>
      <c r="AH607" s="11">
        <v>2.81</v>
      </c>
      <c r="AI607" s="11">
        <v>3.39</v>
      </c>
      <c r="AJ607" s="13"/>
    </row>
    <row r="608" spans="1:36" x14ac:dyDescent="0.25">
      <c r="A608" t="str">
        <f>"660805"</f>
        <v>660805</v>
      </c>
      <c r="B608" t="s">
        <v>693</v>
      </c>
      <c r="C608" s="10">
        <v>48808005</v>
      </c>
      <c r="D608" s="10">
        <v>49840797</v>
      </c>
      <c r="E608" s="11">
        <v>2.12</v>
      </c>
      <c r="F608" s="12">
        <v>42139093</v>
      </c>
      <c r="G608" s="12">
        <v>42982780</v>
      </c>
      <c r="H608" s="12"/>
      <c r="I608" s="12"/>
      <c r="J608" s="12"/>
      <c r="K608" s="12"/>
      <c r="L608" s="12" t="s">
        <v>95</v>
      </c>
      <c r="M608" s="12" t="s">
        <v>95</v>
      </c>
      <c r="N608" s="12">
        <v>42139093</v>
      </c>
      <c r="O608" s="12">
        <v>42982780</v>
      </c>
      <c r="P608" s="11">
        <v>2</v>
      </c>
      <c r="Q608" s="12">
        <v>1675458</v>
      </c>
      <c r="R608" s="12">
        <v>1703734</v>
      </c>
      <c r="S608" s="12">
        <v>40463635</v>
      </c>
      <c r="T608" s="12">
        <v>41279046</v>
      </c>
      <c r="U608" s="12">
        <v>40463635</v>
      </c>
      <c r="V608" s="12">
        <v>41279046</v>
      </c>
      <c r="W608" s="12">
        <v>0</v>
      </c>
      <c r="X608" s="12">
        <v>0</v>
      </c>
      <c r="Y608" s="12">
        <v>1487</v>
      </c>
      <c r="Z608" s="12">
        <v>1468</v>
      </c>
      <c r="AA608" s="11">
        <v>-1.28</v>
      </c>
      <c r="AB608" s="12">
        <v>6039876</v>
      </c>
      <c r="AC608" s="12">
        <v>5772876</v>
      </c>
      <c r="AD608" s="12">
        <v>650000</v>
      </c>
      <c r="AE608" s="12">
        <v>650000</v>
      </c>
      <c r="AF608" s="12">
        <v>1952320</v>
      </c>
      <c r="AG608" s="12">
        <v>1993600</v>
      </c>
      <c r="AH608" s="11">
        <v>4</v>
      </c>
      <c r="AI608" s="11">
        <v>4</v>
      </c>
      <c r="AJ608" s="13"/>
    </row>
    <row r="609" spans="1:36" x14ac:dyDescent="0.25">
      <c r="A609" t="str">
        <f>"441301"</f>
        <v>441301</v>
      </c>
      <c r="B609" t="s">
        <v>694</v>
      </c>
      <c r="C609" s="10">
        <v>101247326</v>
      </c>
      <c r="D609" s="10">
        <v>104203711</v>
      </c>
      <c r="E609" s="11">
        <v>2.92</v>
      </c>
      <c r="F609" s="12">
        <v>59161047</v>
      </c>
      <c r="G609" s="12">
        <v>61579032</v>
      </c>
      <c r="H609" s="12"/>
      <c r="I609" s="12"/>
      <c r="J609" s="12"/>
      <c r="K609" s="12"/>
      <c r="L609" s="12"/>
      <c r="M609" s="12"/>
      <c r="N609" s="12">
        <v>59161047</v>
      </c>
      <c r="O609" s="12">
        <v>61579032</v>
      </c>
      <c r="P609" s="11">
        <v>4.09</v>
      </c>
      <c r="Q609" s="12">
        <v>776889</v>
      </c>
      <c r="R609" s="12">
        <v>753348</v>
      </c>
      <c r="S609" s="12">
        <v>58384158</v>
      </c>
      <c r="T609" s="12">
        <v>60926247</v>
      </c>
      <c r="U609" s="12">
        <v>58384158</v>
      </c>
      <c r="V609" s="12">
        <v>60825684</v>
      </c>
      <c r="W609" s="12">
        <v>0</v>
      </c>
      <c r="X609" s="12">
        <v>100563</v>
      </c>
      <c r="Y609" s="12">
        <v>4312</v>
      </c>
      <c r="Z609" s="12">
        <v>4220</v>
      </c>
      <c r="AA609" s="11">
        <v>-2.13</v>
      </c>
      <c r="AB609" s="12">
        <v>9619795</v>
      </c>
      <c r="AC609" s="12">
        <v>10853175</v>
      </c>
      <c r="AD609" s="12">
        <v>2000000</v>
      </c>
      <c r="AE609" s="12">
        <v>2000000</v>
      </c>
      <c r="AF609" s="12">
        <v>5081035</v>
      </c>
      <c r="AG609" s="12">
        <v>4172170</v>
      </c>
      <c r="AH609" s="11">
        <v>5.0199999999999996</v>
      </c>
      <c r="AI609" s="11">
        <v>4</v>
      </c>
      <c r="AJ609" s="13"/>
    </row>
    <row r="610" spans="1:36" x14ac:dyDescent="0.25">
      <c r="A610" t="str">
        <f>"280213"</f>
        <v>280213</v>
      </c>
      <c r="B610" t="s">
        <v>5742</v>
      </c>
      <c r="C610" s="10">
        <v>49841963</v>
      </c>
      <c r="D610" s="10">
        <v>51496380</v>
      </c>
      <c r="E610" s="11">
        <v>3.32</v>
      </c>
      <c r="F610" s="12">
        <v>35479114</v>
      </c>
      <c r="G610" s="12">
        <v>36380283</v>
      </c>
      <c r="H610" s="12"/>
      <c r="I610" s="12"/>
      <c r="J610" s="12"/>
      <c r="K610" s="12"/>
      <c r="L610" s="12"/>
      <c r="M610" s="12"/>
      <c r="N610" s="12">
        <v>35479114</v>
      </c>
      <c r="O610" s="12">
        <v>36380283</v>
      </c>
      <c r="P610" s="11">
        <v>2.54</v>
      </c>
      <c r="Q610" s="12">
        <v>914019</v>
      </c>
      <c r="R610" s="12">
        <v>728831</v>
      </c>
      <c r="S610" s="12">
        <v>34565095</v>
      </c>
      <c r="T610" s="12">
        <v>35651539</v>
      </c>
      <c r="U610" s="12">
        <v>34565095</v>
      </c>
      <c r="V610" s="12">
        <v>35651452</v>
      </c>
      <c r="W610" s="12">
        <v>0</v>
      </c>
      <c r="X610" s="12">
        <v>87</v>
      </c>
      <c r="Y610" s="12">
        <v>2089</v>
      </c>
      <c r="Z610" s="12">
        <v>2089</v>
      </c>
      <c r="AA610" s="11">
        <v>0</v>
      </c>
      <c r="AB610" s="12">
        <v>6524087</v>
      </c>
      <c r="AC610" s="12">
        <v>6534689</v>
      </c>
      <c r="AD610" s="12">
        <v>1875000</v>
      </c>
      <c r="AE610" s="12">
        <v>1875000</v>
      </c>
      <c r="AF610" s="12">
        <v>3207187</v>
      </c>
      <c r="AG610" s="12">
        <v>2059855</v>
      </c>
      <c r="AH610" s="11">
        <v>6.43</v>
      </c>
      <c r="AI610" s="11">
        <v>4</v>
      </c>
      <c r="AJ610" s="13"/>
    </row>
    <row r="611" spans="1:36" x14ac:dyDescent="0.25">
      <c r="A611" t="str">
        <f>"280224"</f>
        <v>280224</v>
      </c>
      <c r="B611" t="s">
        <v>5740</v>
      </c>
      <c r="C611" s="10">
        <v>27653316</v>
      </c>
      <c r="D611" s="10">
        <v>28757452</v>
      </c>
      <c r="E611" s="11">
        <v>3.99</v>
      </c>
      <c r="F611" s="12">
        <v>20125513</v>
      </c>
      <c r="G611" s="12">
        <v>20602290</v>
      </c>
      <c r="H611" s="12"/>
      <c r="I611" s="12"/>
      <c r="J611" s="12"/>
      <c r="K611" s="12"/>
      <c r="L611" s="12"/>
      <c r="M611" s="12"/>
      <c r="N611" s="12">
        <v>20125513</v>
      </c>
      <c r="O611" s="12">
        <v>20602290</v>
      </c>
      <c r="P611" s="11">
        <v>2.37</v>
      </c>
      <c r="Q611" s="12">
        <v>205237</v>
      </c>
      <c r="R611" s="12">
        <v>107349</v>
      </c>
      <c r="S611" s="12">
        <v>19920276</v>
      </c>
      <c r="T611" s="12">
        <v>20494941</v>
      </c>
      <c r="U611" s="12">
        <v>19920276</v>
      </c>
      <c r="V611" s="12">
        <v>20494941</v>
      </c>
      <c r="W611" s="12">
        <v>0</v>
      </c>
      <c r="X611" s="12">
        <v>0</v>
      </c>
      <c r="Y611" s="12">
        <v>1135</v>
      </c>
      <c r="Z611" s="12">
        <v>1081</v>
      </c>
      <c r="AA611" s="11">
        <v>-4.76</v>
      </c>
      <c r="AB611" s="12">
        <v>4122838</v>
      </c>
      <c r="AC611" s="12">
        <v>4782026</v>
      </c>
      <c r="AD611" s="12">
        <v>200000</v>
      </c>
      <c r="AE611" s="12">
        <v>425000</v>
      </c>
      <c r="AF611" s="12">
        <v>1106132</v>
      </c>
      <c r="AG611" s="12">
        <v>1150298</v>
      </c>
      <c r="AH611" s="11">
        <v>4</v>
      </c>
      <c r="AI611" s="11">
        <v>4</v>
      </c>
      <c r="AJ611" s="13"/>
    </row>
    <row r="612" spans="1:36" x14ac:dyDescent="0.25">
      <c r="A612" t="str">
        <f>"280230"</f>
        <v>280230</v>
      </c>
      <c r="B612" t="s">
        <v>5741</v>
      </c>
      <c r="C612" s="10">
        <v>34823824</v>
      </c>
      <c r="D612" s="10">
        <v>35484725</v>
      </c>
      <c r="E612" s="11">
        <v>1.9</v>
      </c>
      <c r="F612" s="12">
        <v>19556827</v>
      </c>
      <c r="G612" s="12">
        <v>22238176</v>
      </c>
      <c r="H612" s="12"/>
      <c r="I612" s="12"/>
      <c r="J612" s="12"/>
      <c r="K612" s="12"/>
      <c r="L612" s="12"/>
      <c r="M612" s="12"/>
      <c r="N612" s="12">
        <v>19556827</v>
      </c>
      <c r="O612" s="12">
        <v>22238176</v>
      </c>
      <c r="P612" s="11">
        <v>13.71</v>
      </c>
      <c r="Q612" s="12">
        <v>0</v>
      </c>
      <c r="R612" s="12">
        <v>0</v>
      </c>
      <c r="S612" s="12">
        <v>21415489</v>
      </c>
      <c r="T612" s="12">
        <v>22279144</v>
      </c>
      <c r="U612" s="12">
        <v>19556827</v>
      </c>
      <c r="V612" s="12">
        <v>22238176</v>
      </c>
      <c r="W612" s="12">
        <v>1858662</v>
      </c>
      <c r="X612" s="12">
        <v>40968</v>
      </c>
      <c r="Y612" s="12">
        <v>1527</v>
      </c>
      <c r="Z612" s="12">
        <v>1507</v>
      </c>
      <c r="AA612" s="11">
        <v>-1.31</v>
      </c>
      <c r="AB612" s="12">
        <v>14697852</v>
      </c>
      <c r="AC612" s="12">
        <v>15350900</v>
      </c>
      <c r="AD612" s="12">
        <v>0</v>
      </c>
      <c r="AE612" s="12">
        <v>0</v>
      </c>
      <c r="AF612" s="12">
        <v>1632514</v>
      </c>
      <c r="AG612" s="12">
        <v>1419389</v>
      </c>
      <c r="AH612" s="11">
        <v>4.6900000000000004</v>
      </c>
      <c r="AI612" s="11">
        <v>4</v>
      </c>
      <c r="AJ612" s="13"/>
    </row>
    <row r="613" spans="1:36" x14ac:dyDescent="0.25">
      <c r="A613" t="str">
        <f>"280251"</f>
        <v>280251</v>
      </c>
      <c r="B613" t="s">
        <v>5739</v>
      </c>
      <c r="C613" s="10">
        <v>113429221</v>
      </c>
      <c r="D613" s="10">
        <v>117117574</v>
      </c>
      <c r="E613" s="11">
        <v>3.25</v>
      </c>
      <c r="F613" s="12">
        <v>81168511</v>
      </c>
      <c r="G613" s="12">
        <v>82919227</v>
      </c>
      <c r="H613" s="12"/>
      <c r="I613" s="12"/>
      <c r="J613" s="12"/>
      <c r="K613" s="12"/>
      <c r="L613" s="12"/>
      <c r="M613" s="12"/>
      <c r="N613" s="12">
        <v>81168511</v>
      </c>
      <c r="O613" s="12">
        <v>82919227</v>
      </c>
      <c r="P613" s="11">
        <v>2.16</v>
      </c>
      <c r="Q613" s="12">
        <v>861845</v>
      </c>
      <c r="R613" s="12">
        <v>1508294</v>
      </c>
      <c r="S613" s="12">
        <v>80306666</v>
      </c>
      <c r="T613" s="12">
        <v>81410933</v>
      </c>
      <c r="U613" s="12">
        <v>80306666</v>
      </c>
      <c r="V613" s="12">
        <v>81410933</v>
      </c>
      <c r="W613" s="12">
        <v>0</v>
      </c>
      <c r="X613" s="12">
        <v>0</v>
      </c>
      <c r="Y613" s="12">
        <v>4523</v>
      </c>
      <c r="Z613" s="12">
        <v>4650</v>
      </c>
      <c r="AA613" s="11">
        <v>2.81</v>
      </c>
      <c r="AB613" s="12">
        <v>23025077</v>
      </c>
      <c r="AC613" s="12">
        <v>23273933</v>
      </c>
      <c r="AD613" s="12">
        <v>1400000</v>
      </c>
      <c r="AE613" s="12">
        <v>1400000</v>
      </c>
      <c r="AF613" s="12">
        <v>4537169</v>
      </c>
      <c r="AG613" s="12">
        <v>4684703</v>
      </c>
      <c r="AH613" s="11">
        <v>4</v>
      </c>
      <c r="AI613" s="11">
        <v>4</v>
      </c>
      <c r="AJ613" s="13"/>
    </row>
    <row r="614" spans="1:36" x14ac:dyDescent="0.25">
      <c r="A614" t="str">
        <f>"211701"</f>
        <v>211701</v>
      </c>
      <c r="B614" t="s">
        <v>695</v>
      </c>
      <c r="C614" s="10">
        <v>5296685</v>
      </c>
      <c r="D614" s="10">
        <v>5884409</v>
      </c>
      <c r="E614" s="11">
        <v>11.1</v>
      </c>
      <c r="F614" s="12">
        <v>1802967</v>
      </c>
      <c r="G614" s="12">
        <v>1837316</v>
      </c>
      <c r="H614" s="12"/>
      <c r="I614" s="12"/>
      <c r="J614" s="12"/>
      <c r="K614" s="12"/>
      <c r="L614" s="12"/>
      <c r="M614" s="12"/>
      <c r="N614" s="12">
        <v>1802967</v>
      </c>
      <c r="O614" s="12">
        <v>1837316</v>
      </c>
      <c r="P614" s="11">
        <v>1.91</v>
      </c>
      <c r="Q614" s="12">
        <v>35519</v>
      </c>
      <c r="R614" s="12">
        <v>142188</v>
      </c>
      <c r="S614" s="12">
        <v>1768476</v>
      </c>
      <c r="T614" s="12">
        <v>1836083</v>
      </c>
      <c r="U614" s="12">
        <v>1767448</v>
      </c>
      <c r="V614" s="12">
        <v>1695128</v>
      </c>
      <c r="W614" s="12">
        <v>1028</v>
      </c>
      <c r="X614" s="12">
        <v>140955</v>
      </c>
      <c r="Y614" s="12">
        <v>192</v>
      </c>
      <c r="Z614" s="12">
        <v>195</v>
      </c>
      <c r="AA614" s="11">
        <v>1.56</v>
      </c>
      <c r="AB614" s="12">
        <v>762382</v>
      </c>
      <c r="AC614" s="12">
        <v>812382</v>
      </c>
      <c r="AD614" s="12">
        <v>19000</v>
      </c>
      <c r="AE614" s="12">
        <v>169300</v>
      </c>
      <c r="AF614" s="12">
        <v>1402270</v>
      </c>
      <c r="AG614" s="12">
        <v>1232970</v>
      </c>
      <c r="AH614" s="11">
        <v>26.47</v>
      </c>
      <c r="AI614" s="11">
        <v>20.95</v>
      </c>
      <c r="AJ614" s="13"/>
    </row>
    <row r="615" spans="1:36" x14ac:dyDescent="0.25">
      <c r="A615" t="str">
        <f>"031601"</f>
        <v>031601</v>
      </c>
      <c r="B615" t="s">
        <v>696</v>
      </c>
      <c r="C615" s="10">
        <v>76193466</v>
      </c>
      <c r="D615" s="10">
        <v>77010769</v>
      </c>
      <c r="E615" s="11">
        <v>1.07</v>
      </c>
      <c r="F615" s="12">
        <v>46898932</v>
      </c>
      <c r="G615" s="12">
        <v>47564180</v>
      </c>
      <c r="H615" s="12"/>
      <c r="I615" s="12"/>
      <c r="J615" s="12"/>
      <c r="K615" s="12"/>
      <c r="L615" s="12"/>
      <c r="M615" s="12"/>
      <c r="N615" s="12">
        <v>46898932</v>
      </c>
      <c r="O615" s="12">
        <v>47564180</v>
      </c>
      <c r="P615" s="11">
        <v>1.42</v>
      </c>
      <c r="Q615" s="12">
        <v>1659939</v>
      </c>
      <c r="R615" s="12">
        <v>1462476</v>
      </c>
      <c r="S615" s="12">
        <v>45489625</v>
      </c>
      <c r="T615" s="12">
        <v>46161775</v>
      </c>
      <c r="U615" s="12">
        <v>45238993</v>
      </c>
      <c r="V615" s="12">
        <v>46101704</v>
      </c>
      <c r="W615" s="12">
        <v>250632</v>
      </c>
      <c r="X615" s="12">
        <v>60071</v>
      </c>
      <c r="Y615" s="12">
        <v>3372</v>
      </c>
      <c r="Z615" s="12">
        <v>3372</v>
      </c>
      <c r="AA615" s="11">
        <v>0</v>
      </c>
      <c r="AB615" s="12">
        <v>20651942</v>
      </c>
      <c r="AC615" s="12">
        <v>15402741</v>
      </c>
      <c r="AD615" s="12">
        <v>2163174</v>
      </c>
      <c r="AE615" s="12">
        <v>1500000</v>
      </c>
      <c r="AF615" s="12">
        <v>2816621</v>
      </c>
      <c r="AG615" s="12">
        <v>2915162</v>
      </c>
      <c r="AH615" s="11">
        <v>3.7</v>
      </c>
      <c r="AI615" s="11">
        <v>3.79</v>
      </c>
      <c r="AJ615" s="13"/>
    </row>
    <row r="616" spans="1:36" x14ac:dyDescent="0.25">
      <c r="A616" t="str">
        <f>"431701"</f>
        <v>431701</v>
      </c>
      <c r="B616" t="s">
        <v>697</v>
      </c>
      <c r="C616" s="10">
        <v>66352887</v>
      </c>
      <c r="D616" s="10">
        <v>69222879</v>
      </c>
      <c r="E616" s="11">
        <v>4.33</v>
      </c>
      <c r="F616" s="12">
        <v>41919371</v>
      </c>
      <c r="G616" s="12">
        <v>43783238</v>
      </c>
      <c r="H616" s="12"/>
      <c r="I616" s="12"/>
      <c r="J616" s="12"/>
      <c r="K616" s="12"/>
      <c r="L616" s="12"/>
      <c r="M616" s="12"/>
      <c r="N616" s="12">
        <v>41919371</v>
      </c>
      <c r="O616" s="12">
        <v>43783238</v>
      </c>
      <c r="P616" s="11">
        <v>4.45</v>
      </c>
      <c r="Q616" s="12">
        <v>1118474</v>
      </c>
      <c r="R616" s="12">
        <v>945587</v>
      </c>
      <c r="S616" s="12">
        <v>40800897</v>
      </c>
      <c r="T616" s="12">
        <v>42837651</v>
      </c>
      <c r="U616" s="12">
        <v>40800897</v>
      </c>
      <c r="V616" s="12">
        <v>42837651</v>
      </c>
      <c r="W616" s="12">
        <v>0</v>
      </c>
      <c r="X616" s="12">
        <v>0</v>
      </c>
      <c r="Y616" s="12">
        <v>4327</v>
      </c>
      <c r="Z616" s="12">
        <v>4329</v>
      </c>
      <c r="AA616" s="11">
        <v>0.05</v>
      </c>
      <c r="AB616" s="12">
        <v>5067447</v>
      </c>
      <c r="AC616" s="12">
        <v>4817766</v>
      </c>
      <c r="AD616" s="12">
        <v>529000</v>
      </c>
      <c r="AE616" s="12">
        <v>529000</v>
      </c>
      <c r="AF616" s="12">
        <v>2604114</v>
      </c>
      <c r="AG616" s="12">
        <v>2768915</v>
      </c>
      <c r="AH616" s="11">
        <v>3.92</v>
      </c>
      <c r="AI616" s="11">
        <v>4</v>
      </c>
      <c r="AJ616" s="13"/>
    </row>
    <row r="617" spans="1:36" x14ac:dyDescent="0.25">
      <c r="A617" t="str">
        <f>"011003"</f>
        <v>011003</v>
      </c>
      <c r="B617" t="s">
        <v>698</v>
      </c>
      <c r="C617" s="10">
        <v>24187523</v>
      </c>
      <c r="D617" s="10">
        <v>24718575</v>
      </c>
      <c r="E617" s="11">
        <v>2.2000000000000002</v>
      </c>
      <c r="F617" s="12">
        <v>17231363</v>
      </c>
      <c r="G617" s="12">
        <v>17662147</v>
      </c>
      <c r="H617" s="12"/>
      <c r="I617" s="12"/>
      <c r="J617" s="12"/>
      <c r="K617" s="12"/>
      <c r="L617" s="12"/>
      <c r="M617" s="12"/>
      <c r="N617" s="12">
        <v>17231363</v>
      </c>
      <c r="O617" s="12">
        <v>17662147</v>
      </c>
      <c r="P617" s="11">
        <v>2.5</v>
      </c>
      <c r="Q617" s="12">
        <v>277000</v>
      </c>
      <c r="R617" s="12">
        <v>197408</v>
      </c>
      <c r="S617" s="12">
        <v>17020603</v>
      </c>
      <c r="T617" s="12">
        <v>17513265</v>
      </c>
      <c r="U617" s="12">
        <v>16954363</v>
      </c>
      <c r="V617" s="12">
        <v>17464739</v>
      </c>
      <c r="W617" s="12">
        <v>66240</v>
      </c>
      <c r="X617" s="12">
        <v>48526</v>
      </c>
      <c r="Y617" s="12">
        <v>1183</v>
      </c>
      <c r="Z617" s="12">
        <v>1187</v>
      </c>
      <c r="AA617" s="11">
        <v>0.34</v>
      </c>
      <c r="AB617" s="12">
        <v>1975150</v>
      </c>
      <c r="AC617" s="12">
        <v>3349013</v>
      </c>
      <c r="AD617" s="12">
        <v>300000</v>
      </c>
      <c r="AE617" s="12">
        <v>300000</v>
      </c>
      <c r="AF617" s="12">
        <v>1544501</v>
      </c>
      <c r="AG617" s="12">
        <v>592650</v>
      </c>
      <c r="AH617" s="11">
        <v>6.39</v>
      </c>
      <c r="AI617" s="11">
        <v>2.4</v>
      </c>
      <c r="AJ617" s="13"/>
    </row>
    <row r="618" spans="1:36" x14ac:dyDescent="0.25">
      <c r="A618" t="str">
        <f>"621801"</f>
        <v>621801</v>
      </c>
      <c r="B618" t="s">
        <v>699</v>
      </c>
      <c r="C618" s="10">
        <v>73687493</v>
      </c>
      <c r="D618" s="10">
        <v>75098079</v>
      </c>
      <c r="E618" s="11">
        <v>1.91</v>
      </c>
      <c r="F618" s="12">
        <v>40715493</v>
      </c>
      <c r="G618" s="12">
        <v>41832079</v>
      </c>
      <c r="H618" s="12"/>
      <c r="I618" s="12"/>
      <c r="J618" s="12"/>
      <c r="K618" s="12"/>
      <c r="L618" s="12"/>
      <c r="M618" s="12"/>
      <c r="N618" s="12">
        <v>40715493</v>
      </c>
      <c r="O618" s="12">
        <v>41832079</v>
      </c>
      <c r="P618" s="11">
        <v>2.74</v>
      </c>
      <c r="Q618" s="12">
        <v>755973</v>
      </c>
      <c r="R618" s="12">
        <v>753589</v>
      </c>
      <c r="S618" s="12">
        <v>39959520</v>
      </c>
      <c r="T618" s="12">
        <v>41078490</v>
      </c>
      <c r="U618" s="12">
        <v>39959520</v>
      </c>
      <c r="V618" s="12">
        <v>41078490</v>
      </c>
      <c r="W618" s="12">
        <v>0</v>
      </c>
      <c r="X618" s="12">
        <v>0</v>
      </c>
      <c r="Y618" s="12">
        <v>3000</v>
      </c>
      <c r="Z618" s="12">
        <v>2950</v>
      </c>
      <c r="AA618" s="11">
        <v>-1.67</v>
      </c>
      <c r="AB618" s="12">
        <v>19961952</v>
      </c>
      <c r="AC618" s="12">
        <v>20500000</v>
      </c>
      <c r="AD618" s="12">
        <v>1640000</v>
      </c>
      <c r="AE618" s="12">
        <v>1940000</v>
      </c>
      <c r="AF618" s="12">
        <v>2945446</v>
      </c>
      <c r="AG618" s="12">
        <v>3003923</v>
      </c>
      <c r="AH618" s="11">
        <v>4</v>
      </c>
      <c r="AI618" s="11">
        <v>4</v>
      </c>
      <c r="AJ618" s="13"/>
    </row>
    <row r="619" spans="1:36" x14ac:dyDescent="0.25">
      <c r="A619" t="str">
        <f>"121901"</f>
        <v>121901</v>
      </c>
      <c r="B619" t="s">
        <v>700</v>
      </c>
      <c r="C619" s="10">
        <v>20530797</v>
      </c>
      <c r="D619" s="10">
        <v>20864607</v>
      </c>
      <c r="E619" s="11">
        <v>1.63</v>
      </c>
      <c r="F619" s="12">
        <v>6447291</v>
      </c>
      <c r="G619" s="12">
        <v>6547767</v>
      </c>
      <c r="H619" s="12"/>
      <c r="I619" s="12"/>
      <c r="J619" s="12"/>
      <c r="K619" s="12"/>
      <c r="L619" s="12"/>
      <c r="M619" s="12"/>
      <c r="N619" s="12">
        <v>6447291</v>
      </c>
      <c r="O619" s="12">
        <v>6547767</v>
      </c>
      <c r="P619" s="11">
        <v>1.56</v>
      </c>
      <c r="Q619" s="12">
        <v>222343</v>
      </c>
      <c r="R619" s="12">
        <v>174261</v>
      </c>
      <c r="S619" s="12">
        <v>6289948</v>
      </c>
      <c r="T619" s="12">
        <v>6373506</v>
      </c>
      <c r="U619" s="12">
        <v>6224948</v>
      </c>
      <c r="V619" s="12">
        <v>6373506</v>
      </c>
      <c r="W619" s="12">
        <v>65000</v>
      </c>
      <c r="X619" s="12">
        <v>0</v>
      </c>
      <c r="Y619" s="12">
        <v>955</v>
      </c>
      <c r="Z619" s="12">
        <v>950</v>
      </c>
      <c r="AA619" s="11">
        <v>-0.52</v>
      </c>
      <c r="AB619" s="12">
        <v>298607</v>
      </c>
      <c r="AC619" s="12">
        <v>169858</v>
      </c>
      <c r="AD619" s="12">
        <v>717767</v>
      </c>
      <c r="AE619" s="12">
        <v>717767</v>
      </c>
      <c r="AF619" s="12">
        <v>1146321</v>
      </c>
      <c r="AG619" s="12">
        <v>1046321</v>
      </c>
      <c r="AH619" s="11">
        <v>5.58</v>
      </c>
      <c r="AI619" s="11">
        <v>5.01</v>
      </c>
      <c r="AJ619" s="13"/>
    </row>
    <row r="620" spans="1:36" x14ac:dyDescent="0.25">
      <c r="A620" t="str">
        <f>"280223"</f>
        <v>280223</v>
      </c>
      <c r="B620" t="s">
        <v>701</v>
      </c>
      <c r="C620" s="10">
        <v>76872623</v>
      </c>
      <c r="D620" s="10">
        <v>77953532</v>
      </c>
      <c r="E620" s="11">
        <v>1.41</v>
      </c>
      <c r="F620" s="12">
        <v>56177911</v>
      </c>
      <c r="G620" s="12">
        <v>57763782</v>
      </c>
      <c r="H620" s="12"/>
      <c r="I620" s="12"/>
      <c r="J620" s="12"/>
      <c r="K620" s="12"/>
      <c r="L620" s="12"/>
      <c r="M620" s="12"/>
      <c r="N620" s="12">
        <v>56177911</v>
      </c>
      <c r="O620" s="12">
        <v>57763782</v>
      </c>
      <c r="P620" s="11">
        <v>2.82</v>
      </c>
      <c r="Q620" s="12">
        <v>1879815</v>
      </c>
      <c r="R620" s="12">
        <v>1918765</v>
      </c>
      <c r="S620" s="12">
        <v>54730969</v>
      </c>
      <c r="T620" s="12">
        <v>55922861</v>
      </c>
      <c r="U620" s="12">
        <v>54298096</v>
      </c>
      <c r="V620" s="12">
        <v>55845017</v>
      </c>
      <c r="W620" s="12">
        <v>432873</v>
      </c>
      <c r="X620" s="12">
        <v>77844</v>
      </c>
      <c r="Y620" s="12">
        <v>2914</v>
      </c>
      <c r="Z620" s="12">
        <v>2856</v>
      </c>
      <c r="AA620" s="11">
        <v>-1.99</v>
      </c>
      <c r="AB620" s="12">
        <v>5195114</v>
      </c>
      <c r="AC620" s="12">
        <v>4916081</v>
      </c>
      <c r="AD620" s="12">
        <v>2048000</v>
      </c>
      <c r="AE620" s="12">
        <v>1640000</v>
      </c>
      <c r="AF620" s="12">
        <v>3074456</v>
      </c>
      <c r="AG620" s="12">
        <v>3116742</v>
      </c>
      <c r="AH620" s="11">
        <v>4</v>
      </c>
      <c r="AI620" s="11">
        <v>4</v>
      </c>
      <c r="AJ620" s="13"/>
    </row>
    <row r="621" spans="1:36" x14ac:dyDescent="0.25">
      <c r="A621" t="str">
        <f>"132101"</f>
        <v>132101</v>
      </c>
      <c r="B621" t="s">
        <v>702</v>
      </c>
      <c r="C621" s="10">
        <v>225181606</v>
      </c>
      <c r="D621" s="10">
        <v>231312631</v>
      </c>
      <c r="E621" s="11">
        <v>2.72</v>
      </c>
      <c r="F621" s="12">
        <v>160936353</v>
      </c>
      <c r="G621" s="12">
        <v>165627869</v>
      </c>
      <c r="H621" s="12"/>
      <c r="I621" s="12"/>
      <c r="J621" s="12"/>
      <c r="K621" s="12"/>
      <c r="L621" s="12"/>
      <c r="M621" s="12"/>
      <c r="N621" s="12">
        <v>160936353</v>
      </c>
      <c r="O621" s="12">
        <v>165627869</v>
      </c>
      <c r="P621" s="11">
        <v>2.92</v>
      </c>
      <c r="Q621" s="12">
        <v>2916786</v>
      </c>
      <c r="R621" s="12">
        <v>3325077</v>
      </c>
      <c r="S621" s="12">
        <v>158019567</v>
      </c>
      <c r="T621" s="12">
        <v>162302792</v>
      </c>
      <c r="U621" s="12">
        <v>158019567</v>
      </c>
      <c r="V621" s="12">
        <v>162302792</v>
      </c>
      <c r="W621" s="12">
        <v>0</v>
      </c>
      <c r="X621" s="12">
        <v>0</v>
      </c>
      <c r="Y621" s="12">
        <v>10935</v>
      </c>
      <c r="Z621" s="12">
        <v>10834</v>
      </c>
      <c r="AA621" s="11">
        <v>-0.92</v>
      </c>
      <c r="AB621" s="12">
        <v>424000</v>
      </c>
      <c r="AC621" s="12">
        <v>424300</v>
      </c>
      <c r="AD621" s="12">
        <v>5200000</v>
      </c>
      <c r="AE621" s="12">
        <v>5275000</v>
      </c>
      <c r="AF621" s="12">
        <v>8950000</v>
      </c>
      <c r="AG621" s="12">
        <v>9001000</v>
      </c>
      <c r="AH621" s="11">
        <v>3.97</v>
      </c>
      <c r="AI621" s="11">
        <v>3.89</v>
      </c>
      <c r="AJ621" s="13"/>
    </row>
    <row r="622" spans="1:36" x14ac:dyDescent="0.25">
      <c r="A622" t="str">
        <f>"631201"</f>
        <v>631201</v>
      </c>
      <c r="B622" t="s">
        <v>703</v>
      </c>
      <c r="C622" s="10">
        <v>19566440</v>
      </c>
      <c r="D622" s="10">
        <v>19533951</v>
      </c>
      <c r="E622" s="11">
        <v>-0.17</v>
      </c>
      <c r="F622" s="12">
        <v>7960165</v>
      </c>
      <c r="G622" s="12">
        <v>7641758</v>
      </c>
      <c r="H622" s="12"/>
      <c r="I622" s="12"/>
      <c r="J622" s="12"/>
      <c r="K622" s="12"/>
      <c r="L622" s="12"/>
      <c r="M622" s="12"/>
      <c r="N622" s="12">
        <v>7960165</v>
      </c>
      <c r="O622" s="12">
        <v>7641758</v>
      </c>
      <c r="P622" s="11">
        <v>-4</v>
      </c>
      <c r="Q622" s="12">
        <v>0</v>
      </c>
      <c r="R622" s="12">
        <v>0</v>
      </c>
      <c r="S622" s="12">
        <v>8363289</v>
      </c>
      <c r="T622" s="12">
        <v>8295486</v>
      </c>
      <c r="U622" s="12">
        <v>7960165</v>
      </c>
      <c r="V622" s="12">
        <v>7641758</v>
      </c>
      <c r="W622" s="12">
        <v>403124</v>
      </c>
      <c r="X622" s="12">
        <v>653728</v>
      </c>
      <c r="Y622" s="12">
        <v>740</v>
      </c>
      <c r="Z622" s="12">
        <v>735</v>
      </c>
      <c r="AA622" s="11">
        <v>-0.68</v>
      </c>
      <c r="AB622" s="12">
        <v>3063061</v>
      </c>
      <c r="AC622" s="12">
        <v>3550338</v>
      </c>
      <c r="AD622" s="12">
        <v>248255</v>
      </c>
      <c r="AE622" s="12">
        <v>125000</v>
      </c>
      <c r="AF622" s="12">
        <v>2675156</v>
      </c>
      <c r="AG622" s="12">
        <v>2618482</v>
      </c>
      <c r="AH622" s="11">
        <v>13.67</v>
      </c>
      <c r="AI622" s="11">
        <v>13.4</v>
      </c>
      <c r="AJ622" s="13"/>
    </row>
    <row r="623" spans="1:36" x14ac:dyDescent="0.25">
      <c r="A623" t="str">
        <f>"671501"</f>
        <v>671501</v>
      </c>
      <c r="B623" t="s">
        <v>704</v>
      </c>
      <c r="C623" s="10">
        <v>20076450</v>
      </c>
      <c r="D623" s="10">
        <v>20903400</v>
      </c>
      <c r="E623" s="11">
        <v>4.12</v>
      </c>
      <c r="F623" s="12">
        <v>7186231</v>
      </c>
      <c r="G623" s="12">
        <v>7248751</v>
      </c>
      <c r="H623" s="12"/>
      <c r="I623" s="12"/>
      <c r="J623" s="12"/>
      <c r="K623" s="12"/>
      <c r="L623" s="12"/>
      <c r="M623" s="12"/>
      <c r="N623" s="12">
        <v>7186231</v>
      </c>
      <c r="O623" s="12">
        <v>7248751</v>
      </c>
      <c r="P623" s="11">
        <v>0.87</v>
      </c>
      <c r="Q623" s="12">
        <v>12468</v>
      </c>
      <c r="R623" s="12">
        <v>46009</v>
      </c>
      <c r="S623" s="12">
        <v>7426309</v>
      </c>
      <c r="T623" s="12">
        <v>7459792</v>
      </c>
      <c r="U623" s="12">
        <v>7173763</v>
      </c>
      <c r="V623" s="12">
        <v>7202742</v>
      </c>
      <c r="W623" s="12">
        <v>252546</v>
      </c>
      <c r="X623" s="12">
        <v>257050</v>
      </c>
      <c r="Y623" s="12">
        <v>887</v>
      </c>
      <c r="Z623" s="12">
        <v>886</v>
      </c>
      <c r="AA623" s="11">
        <v>-0.11</v>
      </c>
      <c r="AB623" s="12">
        <v>5539008</v>
      </c>
      <c r="AC623" s="12">
        <v>6174903</v>
      </c>
      <c r="AD623" s="12">
        <v>346940</v>
      </c>
      <c r="AE623" s="12">
        <v>389054</v>
      </c>
      <c r="AF623" s="12">
        <v>797708</v>
      </c>
      <c r="AG623" s="12">
        <v>835872</v>
      </c>
      <c r="AH623" s="11">
        <v>3.97</v>
      </c>
      <c r="AI623" s="11">
        <v>4</v>
      </c>
      <c r="AJ623" s="13"/>
    </row>
    <row r="624" spans="1:36" x14ac:dyDescent="0.25">
      <c r="A624" t="str">
        <f>"442101"</f>
        <v>442101</v>
      </c>
      <c r="B624" t="s">
        <v>705</v>
      </c>
      <c r="C624" s="10">
        <v>90116888</v>
      </c>
      <c r="D624" s="10">
        <v>92819749</v>
      </c>
      <c r="E624" s="11">
        <v>3</v>
      </c>
      <c r="F624" s="12">
        <v>59106666</v>
      </c>
      <c r="G624" s="12">
        <v>60860240</v>
      </c>
      <c r="H624" s="12">
        <v>424650</v>
      </c>
      <c r="I624" s="12">
        <v>427250</v>
      </c>
      <c r="J624" s="12"/>
      <c r="K624" s="12"/>
      <c r="L624" s="12"/>
      <c r="M624" s="12"/>
      <c r="N624" s="12">
        <v>59531316</v>
      </c>
      <c r="O624" s="12">
        <v>61287490</v>
      </c>
      <c r="P624" s="11">
        <v>2.95</v>
      </c>
      <c r="Q624" s="12">
        <v>1847261</v>
      </c>
      <c r="R624" s="12">
        <v>2100554</v>
      </c>
      <c r="S624" s="12">
        <v>57684055</v>
      </c>
      <c r="T624" s="12">
        <v>59227336</v>
      </c>
      <c r="U624" s="12">
        <v>57259405</v>
      </c>
      <c r="V624" s="12">
        <v>58759686</v>
      </c>
      <c r="W624" s="12">
        <v>424650</v>
      </c>
      <c r="X624" s="12">
        <v>467650</v>
      </c>
      <c r="Y624" s="12">
        <v>3702</v>
      </c>
      <c r="Z624" s="12">
        <v>3704</v>
      </c>
      <c r="AA624" s="11">
        <v>0.05</v>
      </c>
      <c r="AB624" s="12">
        <v>10181169</v>
      </c>
      <c r="AC624" s="12">
        <v>8000000</v>
      </c>
      <c r="AD624" s="12">
        <v>2425000</v>
      </c>
      <c r="AE624" s="12">
        <v>2550000</v>
      </c>
      <c r="AF624" s="12">
        <v>3604676</v>
      </c>
      <c r="AG624" s="12">
        <v>3713990</v>
      </c>
      <c r="AH624" s="11">
        <v>4</v>
      </c>
      <c r="AI624" s="11">
        <v>4</v>
      </c>
      <c r="AJ624" s="13"/>
    </row>
    <row r="625" spans="1:36" x14ac:dyDescent="0.25">
      <c r="A625" t="str">
        <f>"440102"</f>
        <v>440102</v>
      </c>
      <c r="B625" t="s">
        <v>706</v>
      </c>
      <c r="C625" s="10">
        <v>92291918</v>
      </c>
      <c r="D625" s="10">
        <v>99229191</v>
      </c>
      <c r="E625" s="11">
        <v>7.52</v>
      </c>
      <c r="F625" s="12">
        <v>54145067</v>
      </c>
      <c r="G625" s="12">
        <v>56996526</v>
      </c>
      <c r="H625" s="12"/>
      <c r="I625" s="12"/>
      <c r="J625" s="12"/>
      <c r="K625" s="12"/>
      <c r="L625" s="12"/>
      <c r="M625" s="12" t="s">
        <v>95</v>
      </c>
      <c r="N625" s="12">
        <v>54145067</v>
      </c>
      <c r="O625" s="12">
        <v>56996526</v>
      </c>
      <c r="P625" s="11">
        <v>5.27</v>
      </c>
      <c r="Q625" s="12">
        <v>104337</v>
      </c>
      <c r="R625" s="12">
        <v>1055582</v>
      </c>
      <c r="S625" s="12">
        <v>54040730</v>
      </c>
      <c r="T625" s="12">
        <v>55940944</v>
      </c>
      <c r="U625" s="12">
        <v>54040730</v>
      </c>
      <c r="V625" s="12">
        <v>55940944</v>
      </c>
      <c r="W625" s="12">
        <v>0</v>
      </c>
      <c r="X625" s="12">
        <v>0</v>
      </c>
      <c r="Y625" s="12">
        <v>4235</v>
      </c>
      <c r="Z625" s="12">
        <v>4110</v>
      </c>
      <c r="AA625" s="11">
        <v>-2.95</v>
      </c>
      <c r="AB625" s="12">
        <v>15341462</v>
      </c>
      <c r="AC625" s="12">
        <v>13941462</v>
      </c>
      <c r="AD625" s="12">
        <v>5360000</v>
      </c>
      <c r="AE625" s="12">
        <v>5900000</v>
      </c>
      <c r="AF625" s="12">
        <v>7801910</v>
      </c>
      <c r="AG625" s="12">
        <v>3969168</v>
      </c>
      <c r="AH625" s="11">
        <v>8.4499999999999993</v>
      </c>
      <c r="AI625" s="11">
        <v>4</v>
      </c>
      <c r="AJ625" s="13"/>
    </row>
    <row r="626" spans="1:36" x14ac:dyDescent="0.25">
      <c r="A626" t="str">
        <f>"522101"</f>
        <v>522101</v>
      </c>
      <c r="B626" t="s">
        <v>707</v>
      </c>
      <c r="C626" s="10">
        <v>20972306</v>
      </c>
      <c r="D626" s="10">
        <v>21098966</v>
      </c>
      <c r="E626" s="11">
        <v>0.6</v>
      </c>
      <c r="F626" s="12">
        <v>10828212</v>
      </c>
      <c r="G626" s="12">
        <v>11062855</v>
      </c>
      <c r="H626" s="12"/>
      <c r="I626" s="12"/>
      <c r="J626" s="12"/>
      <c r="K626" s="12"/>
      <c r="L626" s="12"/>
      <c r="M626" s="12"/>
      <c r="N626" s="12">
        <v>10828212</v>
      </c>
      <c r="O626" s="12">
        <v>11062855</v>
      </c>
      <c r="P626" s="11">
        <v>2.17</v>
      </c>
      <c r="Q626" s="12">
        <v>565405</v>
      </c>
      <c r="R626" s="12">
        <v>574599</v>
      </c>
      <c r="S626" s="12">
        <v>10262807</v>
      </c>
      <c r="T626" s="12">
        <v>10488256</v>
      </c>
      <c r="U626" s="12">
        <v>10262807</v>
      </c>
      <c r="V626" s="12">
        <v>10488256</v>
      </c>
      <c r="W626" s="12">
        <v>0</v>
      </c>
      <c r="X626" s="12">
        <v>0</v>
      </c>
      <c r="Y626" s="12">
        <v>780</v>
      </c>
      <c r="Z626" s="12">
        <v>777</v>
      </c>
      <c r="AA626" s="11">
        <v>-0.38</v>
      </c>
      <c r="AB626" s="12">
        <v>3329278</v>
      </c>
      <c r="AC626" s="12">
        <v>3353240</v>
      </c>
      <c r="AD626" s="12">
        <v>1515275</v>
      </c>
      <c r="AE626" s="12">
        <v>1525858</v>
      </c>
      <c r="AF626" s="12">
        <v>838892</v>
      </c>
      <c r="AG626" s="12">
        <v>843959</v>
      </c>
      <c r="AH626" s="11">
        <v>4</v>
      </c>
      <c r="AI626" s="11">
        <v>4</v>
      </c>
      <c r="AJ626" s="13"/>
    </row>
    <row r="627" spans="1:36" x14ac:dyDescent="0.25">
      <c r="A627" t="str">
        <f>"561006"</f>
        <v>561006</v>
      </c>
      <c r="B627" t="s">
        <v>708</v>
      </c>
      <c r="C627" s="10">
        <v>38974398</v>
      </c>
      <c r="D627" s="10">
        <v>39998907</v>
      </c>
      <c r="E627" s="11">
        <v>2.63</v>
      </c>
      <c r="F627" s="12">
        <v>12438733</v>
      </c>
      <c r="G627" s="12">
        <v>12561431</v>
      </c>
      <c r="H627" s="12"/>
      <c r="I627" s="12"/>
      <c r="J627" s="12"/>
      <c r="K627" s="12"/>
      <c r="L627" s="12"/>
      <c r="M627" s="12"/>
      <c r="N627" s="12">
        <v>12438733</v>
      </c>
      <c r="O627" s="12">
        <v>12561431</v>
      </c>
      <c r="P627" s="11">
        <v>0.99</v>
      </c>
      <c r="Q627" s="12">
        <v>0</v>
      </c>
      <c r="R627" s="12">
        <v>0</v>
      </c>
      <c r="S627" s="12">
        <v>12526481</v>
      </c>
      <c r="T627" s="12">
        <v>12775533</v>
      </c>
      <c r="U627" s="12">
        <v>12438733</v>
      </c>
      <c r="V627" s="12">
        <v>12561431</v>
      </c>
      <c r="W627" s="12">
        <v>87748</v>
      </c>
      <c r="X627" s="12">
        <v>214102</v>
      </c>
      <c r="Y627" s="12">
        <v>1600</v>
      </c>
      <c r="Z627" s="12">
        <v>1576</v>
      </c>
      <c r="AA627" s="11">
        <v>-1.5</v>
      </c>
      <c r="AB627" s="12">
        <v>13394487</v>
      </c>
      <c r="AC627" s="12">
        <v>13353987</v>
      </c>
      <c r="AD627" s="12">
        <v>0</v>
      </c>
      <c r="AE627" s="12">
        <v>200000</v>
      </c>
      <c r="AF627" s="12">
        <v>1558976</v>
      </c>
      <c r="AG627" s="12">
        <v>1599956</v>
      </c>
      <c r="AH627" s="11">
        <v>4</v>
      </c>
      <c r="AI627" s="11">
        <v>4</v>
      </c>
      <c r="AJ627" s="13"/>
    </row>
    <row r="628" spans="1:36" x14ac:dyDescent="0.25">
      <c r="A628" t="str">
        <f>"222000"</f>
        <v>222000</v>
      </c>
      <c r="B628" t="s">
        <v>709</v>
      </c>
      <c r="C628" s="10">
        <v>71072662</v>
      </c>
      <c r="D628" s="10">
        <v>74248652</v>
      </c>
      <c r="E628" s="11">
        <v>4.47</v>
      </c>
      <c r="F628" s="12">
        <v>15709725</v>
      </c>
      <c r="G628" s="12">
        <v>16023920</v>
      </c>
      <c r="H628" s="12"/>
      <c r="I628" s="12"/>
      <c r="J628" s="12"/>
      <c r="K628" s="12"/>
      <c r="L628" s="12"/>
      <c r="M628" s="12"/>
      <c r="N628" s="12">
        <v>15709725</v>
      </c>
      <c r="O628" s="12">
        <v>16023920</v>
      </c>
      <c r="P628" s="11">
        <v>2</v>
      </c>
      <c r="Q628" s="12">
        <v>0</v>
      </c>
      <c r="R628" s="12">
        <v>0</v>
      </c>
      <c r="S628" s="12">
        <v>15709725</v>
      </c>
      <c r="T628" s="12">
        <v>16192415</v>
      </c>
      <c r="U628" s="12">
        <v>15709725</v>
      </c>
      <c r="V628" s="12">
        <v>16023920</v>
      </c>
      <c r="W628" s="12">
        <v>0</v>
      </c>
      <c r="X628" s="12">
        <v>168495</v>
      </c>
      <c r="Y628" s="12">
        <v>4030</v>
      </c>
      <c r="Z628" s="12">
        <v>3969</v>
      </c>
      <c r="AA628" s="11">
        <v>-1.51</v>
      </c>
      <c r="AB628" s="12">
        <v>4480318</v>
      </c>
      <c r="AC628" s="12">
        <v>4230318</v>
      </c>
      <c r="AD628" s="12">
        <v>11902562</v>
      </c>
      <c r="AE628" s="12">
        <v>11883114</v>
      </c>
      <c r="AF628" s="12">
        <v>6506717</v>
      </c>
      <c r="AG628" s="12">
        <v>6250045</v>
      </c>
      <c r="AH628" s="11">
        <v>9.16</v>
      </c>
      <c r="AI628" s="11">
        <v>8.42</v>
      </c>
      <c r="AJ628" s="13"/>
    </row>
    <row r="629" spans="1:36" x14ac:dyDescent="0.25">
      <c r="A629" t="str">
        <f>"411902"</f>
        <v>411902</v>
      </c>
      <c r="B629" t="s">
        <v>710</v>
      </c>
      <c r="C629" s="10">
        <v>18008877</v>
      </c>
      <c r="D629" s="10">
        <v>18226130</v>
      </c>
      <c r="E629" s="11">
        <v>1.21</v>
      </c>
      <c r="F629" s="12">
        <v>5060775</v>
      </c>
      <c r="G629" s="12">
        <v>5219848</v>
      </c>
      <c r="H629" s="12"/>
      <c r="I629" s="12"/>
      <c r="J629" s="12"/>
      <c r="K629" s="12"/>
      <c r="L629" s="12"/>
      <c r="M629" s="12"/>
      <c r="N629" s="12">
        <v>5060775</v>
      </c>
      <c r="O629" s="12">
        <v>5219848</v>
      </c>
      <c r="P629" s="11">
        <v>3.14</v>
      </c>
      <c r="Q629" s="12">
        <v>379044</v>
      </c>
      <c r="R629" s="12">
        <v>415352</v>
      </c>
      <c r="S629" s="12">
        <v>4681731</v>
      </c>
      <c r="T629" s="12">
        <v>4804496</v>
      </c>
      <c r="U629" s="12">
        <v>4681731</v>
      </c>
      <c r="V629" s="12">
        <v>4804496</v>
      </c>
      <c r="W629" s="12">
        <v>0</v>
      </c>
      <c r="X629" s="12">
        <v>0</v>
      </c>
      <c r="Y629" s="12">
        <v>755</v>
      </c>
      <c r="Z629" s="12">
        <v>749</v>
      </c>
      <c r="AA629" s="11">
        <v>-0.79</v>
      </c>
      <c r="AB629" s="12">
        <v>2389787</v>
      </c>
      <c r="AC629" s="12">
        <v>2244787</v>
      </c>
      <c r="AD629" s="12">
        <v>30678</v>
      </c>
      <c r="AE629" s="12">
        <v>35000</v>
      </c>
      <c r="AF629" s="12">
        <v>781858</v>
      </c>
      <c r="AG629" s="12">
        <v>785000</v>
      </c>
      <c r="AH629" s="11">
        <v>4.34</v>
      </c>
      <c r="AI629" s="11">
        <v>4.3099999999999996</v>
      </c>
      <c r="AJ629" s="13"/>
    </row>
    <row r="630" spans="1:36" x14ac:dyDescent="0.25">
      <c r="A630" t="str">
        <f>"011200"</f>
        <v>011200</v>
      </c>
      <c r="B630" t="s">
        <v>711</v>
      </c>
      <c r="C630" s="10">
        <v>26692000</v>
      </c>
      <c r="D630" s="10">
        <v>27411000</v>
      </c>
      <c r="E630" s="11">
        <v>2.69</v>
      </c>
      <c r="F630" s="12">
        <v>6792226</v>
      </c>
      <c r="G630" s="12">
        <v>6930000</v>
      </c>
      <c r="H630" s="12"/>
      <c r="I630" s="12"/>
      <c r="J630" s="12"/>
      <c r="K630" s="12"/>
      <c r="L630" s="12"/>
      <c r="M630" s="12"/>
      <c r="N630" s="12">
        <v>6792226</v>
      </c>
      <c r="O630" s="12">
        <v>6930000</v>
      </c>
      <c r="P630" s="11">
        <v>2.0299999999999998</v>
      </c>
      <c r="Q630" s="12">
        <v>0</v>
      </c>
      <c r="R630" s="12">
        <v>0</v>
      </c>
      <c r="S630" s="12">
        <v>6793897</v>
      </c>
      <c r="T630" s="12">
        <v>6933557</v>
      </c>
      <c r="U630" s="12">
        <v>6792226</v>
      </c>
      <c r="V630" s="12">
        <v>6930000</v>
      </c>
      <c r="W630" s="12">
        <v>1671</v>
      </c>
      <c r="X630" s="12">
        <v>3557</v>
      </c>
      <c r="Y630" s="12">
        <v>1362</v>
      </c>
      <c r="Z630" s="12">
        <v>1400</v>
      </c>
      <c r="AA630" s="11">
        <v>2.79</v>
      </c>
      <c r="AB630" s="12">
        <v>306254</v>
      </c>
      <c r="AC630" s="12">
        <v>306254</v>
      </c>
      <c r="AD630" s="12">
        <v>150000</v>
      </c>
      <c r="AE630" s="12">
        <v>300000</v>
      </c>
      <c r="AF630" s="12">
        <v>1473253</v>
      </c>
      <c r="AG630" s="12">
        <v>1173253</v>
      </c>
      <c r="AH630" s="11">
        <v>5.52</v>
      </c>
      <c r="AI630" s="11">
        <v>4.28</v>
      </c>
      <c r="AJ630" s="13"/>
    </row>
    <row r="631" spans="1:36" x14ac:dyDescent="0.25">
      <c r="A631" t="str">
        <f>"550301"</f>
        <v>550301</v>
      </c>
      <c r="B631" t="s">
        <v>712</v>
      </c>
      <c r="C631" s="10">
        <v>27220200</v>
      </c>
      <c r="D631" s="10">
        <v>27047750</v>
      </c>
      <c r="E631" s="11">
        <v>-0.63</v>
      </c>
      <c r="F631" s="12">
        <v>9508760</v>
      </c>
      <c r="G631" s="12">
        <v>9300245</v>
      </c>
      <c r="H631" s="12"/>
      <c r="I631" s="12"/>
      <c r="J631" s="12"/>
      <c r="K631" s="12"/>
      <c r="L631" s="12"/>
      <c r="M631" s="12"/>
      <c r="N631" s="12">
        <v>9508760</v>
      </c>
      <c r="O631" s="12">
        <v>9300245</v>
      </c>
      <c r="P631" s="11">
        <v>-2.19</v>
      </c>
      <c r="Q631" s="12">
        <v>797220</v>
      </c>
      <c r="R631" s="12">
        <v>362150</v>
      </c>
      <c r="S631" s="12">
        <v>8881896</v>
      </c>
      <c r="T631" s="12">
        <v>8938095</v>
      </c>
      <c r="U631" s="12">
        <v>8711540</v>
      </c>
      <c r="V631" s="12">
        <v>8938095</v>
      </c>
      <c r="W631" s="12">
        <v>170356</v>
      </c>
      <c r="X631" s="12">
        <v>0</v>
      </c>
      <c r="Y631" s="12">
        <v>1098</v>
      </c>
      <c r="Z631" s="12">
        <v>1080</v>
      </c>
      <c r="AA631" s="11">
        <v>-1.64</v>
      </c>
      <c r="AB631" s="12">
        <v>2909793</v>
      </c>
      <c r="AC631" s="12">
        <v>3334661</v>
      </c>
      <c r="AD631" s="12">
        <v>435000</v>
      </c>
      <c r="AE631" s="12">
        <v>285000</v>
      </c>
      <c r="AF631" s="12">
        <v>1059933</v>
      </c>
      <c r="AG631" s="12">
        <v>1080000</v>
      </c>
      <c r="AH631" s="11">
        <v>3.89</v>
      </c>
      <c r="AI631" s="11">
        <v>3.99</v>
      </c>
      <c r="AJ631" s="13"/>
    </row>
    <row r="632" spans="1:36" x14ac:dyDescent="0.25">
      <c r="A632" t="str">
        <f>"600101"</f>
        <v>600101</v>
      </c>
      <c r="B632" t="s">
        <v>713</v>
      </c>
      <c r="C632" s="10">
        <v>31619484</v>
      </c>
      <c r="D632" s="10">
        <v>32633544</v>
      </c>
      <c r="E632" s="11">
        <v>3.21</v>
      </c>
      <c r="F632" s="12">
        <v>6973977</v>
      </c>
      <c r="G632" s="12">
        <v>7113457</v>
      </c>
      <c r="H632" s="12"/>
      <c r="I632" s="12"/>
      <c r="J632" s="12"/>
      <c r="K632" s="12"/>
      <c r="L632" s="12"/>
      <c r="M632" s="12"/>
      <c r="N632" s="12">
        <v>6973977</v>
      </c>
      <c r="O632" s="12">
        <v>7113457</v>
      </c>
      <c r="P632" s="11">
        <v>2</v>
      </c>
      <c r="Q632" s="12">
        <v>358522</v>
      </c>
      <c r="R632" s="12">
        <v>549292</v>
      </c>
      <c r="S632" s="12">
        <v>6644083</v>
      </c>
      <c r="T632" s="12">
        <v>6693302</v>
      </c>
      <c r="U632" s="12">
        <v>6615455</v>
      </c>
      <c r="V632" s="12">
        <v>6564165</v>
      </c>
      <c r="W632" s="12">
        <v>28628</v>
      </c>
      <c r="X632" s="12">
        <v>129137</v>
      </c>
      <c r="Y632" s="12">
        <v>1650</v>
      </c>
      <c r="Z632" s="12">
        <v>1630</v>
      </c>
      <c r="AA632" s="11">
        <v>-1.21</v>
      </c>
      <c r="AB632" s="12">
        <v>2536348</v>
      </c>
      <c r="AC632" s="12">
        <v>2238737</v>
      </c>
      <c r="AD632" s="12">
        <v>1664126</v>
      </c>
      <c r="AE632" s="12">
        <v>1664126</v>
      </c>
      <c r="AF632" s="12">
        <v>1264779</v>
      </c>
      <c r="AG632" s="12">
        <v>999779</v>
      </c>
      <c r="AH632" s="11">
        <v>4</v>
      </c>
      <c r="AI632" s="11">
        <v>3.06</v>
      </c>
      <c r="AJ632" s="13"/>
    </row>
    <row r="633" spans="1:36" x14ac:dyDescent="0.25">
      <c r="A633" t="str">
        <f>"573002"</f>
        <v>573002</v>
      </c>
      <c r="B633" t="s">
        <v>714</v>
      </c>
      <c r="C633" s="10">
        <v>30322401</v>
      </c>
      <c r="D633" s="10">
        <v>30547457</v>
      </c>
      <c r="E633" s="11">
        <v>0.74</v>
      </c>
      <c r="F633" s="12">
        <v>7470000</v>
      </c>
      <c r="G633" s="12">
        <v>7656750</v>
      </c>
      <c r="H633" s="12"/>
      <c r="I633" s="12"/>
      <c r="J633" s="12"/>
      <c r="K633" s="12"/>
      <c r="L633" s="12"/>
      <c r="M633" s="12"/>
      <c r="N633" s="12">
        <v>7470000</v>
      </c>
      <c r="O633" s="12">
        <v>7656750</v>
      </c>
      <c r="P633" s="11">
        <v>2.5</v>
      </c>
      <c r="Q633" s="12">
        <v>0</v>
      </c>
      <c r="R633" s="12">
        <v>0</v>
      </c>
      <c r="S633" s="12">
        <v>7470000</v>
      </c>
      <c r="T633" s="12">
        <v>7656750</v>
      </c>
      <c r="U633" s="12">
        <v>7470000</v>
      </c>
      <c r="V633" s="12">
        <v>7656750</v>
      </c>
      <c r="W633" s="12">
        <v>0</v>
      </c>
      <c r="X633" s="12">
        <v>0</v>
      </c>
      <c r="Y633" s="12">
        <v>1299</v>
      </c>
      <c r="Z633" s="12">
        <v>1293</v>
      </c>
      <c r="AA633" s="11">
        <v>-0.46</v>
      </c>
      <c r="AB633" s="12">
        <v>7997396</v>
      </c>
      <c r="AC633" s="12">
        <v>7723396</v>
      </c>
      <c r="AD633" s="12">
        <v>600000</v>
      </c>
      <c r="AE633" s="12">
        <v>600000</v>
      </c>
      <c r="AF633" s="12">
        <v>1212896</v>
      </c>
      <c r="AG633" s="12">
        <v>1221898</v>
      </c>
      <c r="AH633" s="11">
        <v>4</v>
      </c>
      <c r="AI633" s="11">
        <v>4</v>
      </c>
      <c r="AJ633" s="13"/>
    </row>
    <row r="634" spans="1:36" x14ac:dyDescent="0.25">
      <c r="A634" t="str">
        <f>"650801"</f>
        <v>650801</v>
      </c>
      <c r="B634" t="s">
        <v>715</v>
      </c>
      <c r="C634" s="10">
        <v>44975305</v>
      </c>
      <c r="D634" s="10">
        <v>46042400</v>
      </c>
      <c r="E634" s="11">
        <v>2.37</v>
      </c>
      <c r="F634" s="12">
        <v>21286215</v>
      </c>
      <c r="G634" s="12">
        <v>22174823</v>
      </c>
      <c r="H634" s="12"/>
      <c r="I634" s="12"/>
      <c r="J634" s="12"/>
      <c r="K634" s="12"/>
      <c r="L634" s="12"/>
      <c r="M634" s="12"/>
      <c r="N634" s="12">
        <v>21286215</v>
      </c>
      <c r="O634" s="12">
        <v>22174823</v>
      </c>
      <c r="P634" s="11">
        <v>4.17</v>
      </c>
      <c r="Q634" s="12">
        <v>563757</v>
      </c>
      <c r="R634" s="12">
        <v>411570</v>
      </c>
      <c r="S634" s="12">
        <v>21259849</v>
      </c>
      <c r="T634" s="12">
        <v>21763253</v>
      </c>
      <c r="U634" s="12">
        <v>20722458</v>
      </c>
      <c r="V634" s="12">
        <v>21763253</v>
      </c>
      <c r="W634" s="12">
        <v>537391</v>
      </c>
      <c r="X634" s="12">
        <v>0</v>
      </c>
      <c r="Y634" s="12">
        <v>2190</v>
      </c>
      <c r="Z634" s="12">
        <v>2158</v>
      </c>
      <c r="AA634" s="11">
        <v>-1.46</v>
      </c>
      <c r="AB634" s="12">
        <v>9988195</v>
      </c>
      <c r="AC634" s="12">
        <v>9375000</v>
      </c>
      <c r="AD634" s="12">
        <v>950000</v>
      </c>
      <c r="AE634" s="12">
        <v>900000</v>
      </c>
      <c r="AF634" s="12">
        <v>1774385</v>
      </c>
      <c r="AG634" s="12">
        <v>1841696</v>
      </c>
      <c r="AH634" s="11">
        <v>3.95</v>
      </c>
      <c r="AI634" s="11">
        <v>4</v>
      </c>
      <c r="AJ634" s="13"/>
    </row>
    <row r="635" spans="1:36" x14ac:dyDescent="0.25">
      <c r="A635" t="str">
        <f>"261901"</f>
        <v>261901</v>
      </c>
      <c r="B635" t="s">
        <v>716</v>
      </c>
      <c r="C635" s="10">
        <v>167959062</v>
      </c>
      <c r="D635" s="10">
        <v>172316603</v>
      </c>
      <c r="E635" s="11">
        <v>2.59</v>
      </c>
      <c r="F635" s="12">
        <v>100828068</v>
      </c>
      <c r="G635" s="12">
        <v>103850795</v>
      </c>
      <c r="H635" s="12"/>
      <c r="I635" s="12"/>
      <c r="J635" s="12"/>
      <c r="K635" s="12"/>
      <c r="L635" s="12"/>
      <c r="M635" s="12"/>
      <c r="N635" s="12">
        <v>100828068</v>
      </c>
      <c r="O635" s="12">
        <v>103850795</v>
      </c>
      <c r="P635" s="11">
        <v>3</v>
      </c>
      <c r="Q635" s="12">
        <v>2508092</v>
      </c>
      <c r="R635" s="12">
        <v>2411434</v>
      </c>
      <c r="S635" s="12">
        <v>98319976</v>
      </c>
      <c r="T635" s="12">
        <v>101439361</v>
      </c>
      <c r="U635" s="12">
        <v>98319976</v>
      </c>
      <c r="V635" s="12">
        <v>101439361</v>
      </c>
      <c r="W635" s="12">
        <v>0</v>
      </c>
      <c r="X635" s="12">
        <v>0</v>
      </c>
      <c r="Y635" s="12">
        <v>8550</v>
      </c>
      <c r="Z635" s="12">
        <v>8450</v>
      </c>
      <c r="AA635" s="11">
        <v>-1.17</v>
      </c>
      <c r="AB635" s="12">
        <v>19683973</v>
      </c>
      <c r="AC635" s="12">
        <v>20308808</v>
      </c>
      <c r="AD635" s="12">
        <v>5500000</v>
      </c>
      <c r="AE635" s="12">
        <v>5500000</v>
      </c>
      <c r="AF635" s="12">
        <v>6681407</v>
      </c>
      <c r="AG635" s="12">
        <v>6892664</v>
      </c>
      <c r="AH635" s="11">
        <v>3.98</v>
      </c>
      <c r="AI635" s="11">
        <v>4</v>
      </c>
      <c r="AJ635" s="13"/>
    </row>
    <row r="636" spans="1:36" x14ac:dyDescent="0.25">
      <c r="A636" t="str">
        <f>"050301"</f>
        <v>050301</v>
      </c>
      <c r="B636" t="s">
        <v>717</v>
      </c>
      <c r="C636" s="10">
        <v>20147217</v>
      </c>
      <c r="D636" s="10">
        <v>20742755</v>
      </c>
      <c r="E636" s="11">
        <v>2.96</v>
      </c>
      <c r="F636" s="12">
        <v>7710000</v>
      </c>
      <c r="G636" s="12">
        <v>7862000</v>
      </c>
      <c r="H636" s="12"/>
      <c r="I636" s="12"/>
      <c r="J636" s="12"/>
      <c r="K636" s="12"/>
      <c r="L636" s="12"/>
      <c r="M636" s="12"/>
      <c r="N636" s="12">
        <v>7710000</v>
      </c>
      <c r="O636" s="12">
        <v>7862000</v>
      </c>
      <c r="P636" s="11">
        <v>1.97</v>
      </c>
      <c r="Q636" s="12">
        <v>0</v>
      </c>
      <c r="R636" s="12">
        <v>0</v>
      </c>
      <c r="S636" s="12">
        <v>7822149</v>
      </c>
      <c r="T636" s="12">
        <v>7986679</v>
      </c>
      <c r="U636" s="12">
        <v>7710000</v>
      </c>
      <c r="V636" s="12">
        <v>7862000</v>
      </c>
      <c r="W636" s="12">
        <v>112149</v>
      </c>
      <c r="X636" s="12">
        <v>124679</v>
      </c>
      <c r="Y636" s="12">
        <v>830</v>
      </c>
      <c r="Z636" s="12">
        <v>825</v>
      </c>
      <c r="AA636" s="11">
        <v>-0.6</v>
      </c>
      <c r="AB636" s="12">
        <v>831535</v>
      </c>
      <c r="AC636" s="12">
        <v>831535</v>
      </c>
      <c r="AD636" s="12">
        <v>668112</v>
      </c>
      <c r="AE636" s="12">
        <v>564500</v>
      </c>
      <c r="AF636" s="12">
        <v>611465</v>
      </c>
      <c r="AG636" s="12">
        <v>620000</v>
      </c>
      <c r="AH636" s="11">
        <v>3.03</v>
      </c>
      <c r="AI636" s="11">
        <v>2.99</v>
      </c>
      <c r="AJ636" s="13"/>
    </row>
    <row r="637" spans="1:36" x14ac:dyDescent="0.25">
      <c r="A637" t="str">
        <f>"200901"</f>
        <v>200901</v>
      </c>
      <c r="B637" t="s">
        <v>718</v>
      </c>
      <c r="C637" s="10">
        <v>5703176</v>
      </c>
      <c r="D637" s="10">
        <v>5732725</v>
      </c>
      <c r="E637" s="11">
        <v>0.52</v>
      </c>
      <c r="F637" s="12">
        <v>4136749</v>
      </c>
      <c r="G637" s="12">
        <v>4219070</v>
      </c>
      <c r="H637" s="12"/>
      <c r="I637" s="12"/>
      <c r="J637" s="12"/>
      <c r="K637" s="12"/>
      <c r="L637" s="12"/>
      <c r="M637" s="12"/>
      <c r="N637" s="12">
        <v>4136749</v>
      </c>
      <c r="O637" s="12">
        <v>4219070</v>
      </c>
      <c r="P637" s="11">
        <v>1.99</v>
      </c>
      <c r="Q637" s="12">
        <v>0</v>
      </c>
      <c r="R637" s="12">
        <v>0</v>
      </c>
      <c r="S637" s="12">
        <v>4136749</v>
      </c>
      <c r="T637" s="12">
        <v>4241463</v>
      </c>
      <c r="U637" s="12">
        <v>4136749</v>
      </c>
      <c r="V637" s="12">
        <v>4219070</v>
      </c>
      <c r="W637" s="12">
        <v>0</v>
      </c>
      <c r="X637" s="12">
        <v>22393</v>
      </c>
      <c r="Y637" s="12">
        <v>150</v>
      </c>
      <c r="Z637" s="12">
        <v>152</v>
      </c>
      <c r="AA637" s="11">
        <v>1.33</v>
      </c>
      <c r="AB637" s="12">
        <v>2290902</v>
      </c>
      <c r="AC637" s="12">
        <v>2300000</v>
      </c>
      <c r="AD637" s="12">
        <v>200000</v>
      </c>
      <c r="AE637" s="12">
        <v>140000</v>
      </c>
      <c r="AF637" s="12">
        <v>778677</v>
      </c>
      <c r="AG637" s="12">
        <v>750000</v>
      </c>
      <c r="AH637" s="11">
        <v>13.65</v>
      </c>
      <c r="AI637" s="11">
        <v>13.08</v>
      </c>
      <c r="AJ637" s="13"/>
    </row>
    <row r="638" spans="1:36" x14ac:dyDescent="0.25">
      <c r="A638" t="str">
        <f>"022601"</f>
        <v>022601</v>
      </c>
      <c r="B638" t="s">
        <v>719</v>
      </c>
      <c r="C638" s="10">
        <v>29227175</v>
      </c>
      <c r="D638" s="10">
        <v>28994163</v>
      </c>
      <c r="E638" s="11">
        <v>-0.8</v>
      </c>
      <c r="F638" s="12">
        <v>8346858</v>
      </c>
      <c r="G638" s="12">
        <v>8305124</v>
      </c>
      <c r="H638" s="12"/>
      <c r="I638" s="12"/>
      <c r="J638" s="12"/>
      <c r="K638" s="12"/>
      <c r="L638" s="12"/>
      <c r="M638" s="12"/>
      <c r="N638" s="12">
        <v>8346858</v>
      </c>
      <c r="O638" s="12">
        <v>8305124</v>
      </c>
      <c r="P638" s="11">
        <v>-0.5</v>
      </c>
      <c r="Q638" s="12">
        <v>0</v>
      </c>
      <c r="R638" s="12">
        <v>0</v>
      </c>
      <c r="S638" s="12">
        <v>8370311</v>
      </c>
      <c r="T638" s="12">
        <v>8805567</v>
      </c>
      <c r="U638" s="12">
        <v>8346858</v>
      </c>
      <c r="V638" s="12">
        <v>8305124</v>
      </c>
      <c r="W638" s="12">
        <v>23453</v>
      </c>
      <c r="X638" s="12">
        <v>500443</v>
      </c>
      <c r="Y638" s="12">
        <v>1243</v>
      </c>
      <c r="Z638" s="12">
        <v>1232</v>
      </c>
      <c r="AA638" s="11">
        <v>-0.88</v>
      </c>
      <c r="AB638" s="12">
        <v>1495751</v>
      </c>
      <c r="AC638" s="12">
        <v>1155751</v>
      </c>
      <c r="AD638" s="12">
        <v>887050</v>
      </c>
      <c r="AE638" s="12">
        <v>321344</v>
      </c>
      <c r="AF638" s="12">
        <v>3571108</v>
      </c>
      <c r="AG638" s="12">
        <v>1159767</v>
      </c>
      <c r="AH638" s="11">
        <v>12.22</v>
      </c>
      <c r="AI638" s="11">
        <v>4</v>
      </c>
      <c r="AJ638" s="13"/>
    </row>
    <row r="639" spans="1:36" x14ac:dyDescent="0.25">
      <c r="A639" t="str">
        <f>"580102"</f>
        <v>580102</v>
      </c>
      <c r="B639" t="s">
        <v>720</v>
      </c>
      <c r="C639" s="10">
        <v>106381606</v>
      </c>
      <c r="D639" s="10">
        <v>111038065</v>
      </c>
      <c r="E639" s="11">
        <v>4.38</v>
      </c>
      <c r="F639" s="12">
        <v>69619034</v>
      </c>
      <c r="G639" s="12">
        <v>72301812</v>
      </c>
      <c r="H639" s="12"/>
      <c r="I639" s="12"/>
      <c r="J639" s="12"/>
      <c r="K639" s="12"/>
      <c r="L639" s="12"/>
      <c r="M639" s="12"/>
      <c r="N639" s="12">
        <v>69619034</v>
      </c>
      <c r="O639" s="12">
        <v>72301812</v>
      </c>
      <c r="P639" s="11">
        <v>3.85</v>
      </c>
      <c r="Q639" s="12">
        <v>1229007</v>
      </c>
      <c r="R639" s="12">
        <v>1945519</v>
      </c>
      <c r="S639" s="12">
        <v>68390027</v>
      </c>
      <c r="T639" s="12">
        <v>70356293</v>
      </c>
      <c r="U639" s="12">
        <v>68390027</v>
      </c>
      <c r="V639" s="12">
        <v>70356293</v>
      </c>
      <c r="W639" s="12">
        <v>0</v>
      </c>
      <c r="X639" s="12">
        <v>0</v>
      </c>
      <c r="Y639" s="12">
        <v>3762</v>
      </c>
      <c r="Z639" s="12">
        <v>3739</v>
      </c>
      <c r="AA639" s="11">
        <v>-0.61</v>
      </c>
      <c r="AB639" s="12">
        <v>11674866</v>
      </c>
      <c r="AC639" s="12">
        <v>10498487</v>
      </c>
      <c r="AD639" s="12">
        <v>0</v>
      </c>
      <c r="AE639" s="12">
        <v>1013892</v>
      </c>
      <c r="AF639" s="12">
        <v>4255264</v>
      </c>
      <c r="AG639" s="12">
        <v>4441523</v>
      </c>
      <c r="AH639" s="11">
        <v>4</v>
      </c>
      <c r="AI639" s="11">
        <v>4</v>
      </c>
      <c r="AJ639" s="13"/>
    </row>
    <row r="640" spans="1:36" x14ac:dyDescent="0.25">
      <c r="A640" t="str">
        <f>"210302"</f>
        <v>210302</v>
      </c>
      <c r="B640" t="s">
        <v>721</v>
      </c>
      <c r="C640" s="10">
        <v>16919041</v>
      </c>
      <c r="D640" s="10">
        <v>17898238</v>
      </c>
      <c r="E640" s="11">
        <v>5.79</v>
      </c>
      <c r="F640" s="12">
        <v>4919797</v>
      </c>
      <c r="G640" s="12">
        <v>5013273</v>
      </c>
      <c r="H640" s="12">
        <v>94000</v>
      </c>
      <c r="I640" s="12">
        <v>94000</v>
      </c>
      <c r="J640" s="12"/>
      <c r="K640" s="12"/>
      <c r="L640" s="12"/>
      <c r="M640" s="12"/>
      <c r="N640" s="12">
        <v>5013797</v>
      </c>
      <c r="O640" s="12">
        <v>5107273</v>
      </c>
      <c r="P640" s="11">
        <v>1.86</v>
      </c>
      <c r="Q640" s="12">
        <v>225852</v>
      </c>
      <c r="R640" s="12">
        <v>182363</v>
      </c>
      <c r="S640" s="12">
        <v>4787945</v>
      </c>
      <c r="T640" s="12">
        <v>4831851</v>
      </c>
      <c r="U640" s="12">
        <v>4693945</v>
      </c>
      <c r="V640" s="12">
        <v>4830910</v>
      </c>
      <c r="W640" s="12">
        <v>94000</v>
      </c>
      <c r="X640" s="12">
        <v>941</v>
      </c>
      <c r="Y640" s="12">
        <v>683</v>
      </c>
      <c r="Z640" s="12">
        <v>727</v>
      </c>
      <c r="AA640" s="11">
        <v>6.44</v>
      </c>
      <c r="AB640" s="12">
        <v>0</v>
      </c>
      <c r="AC640" s="12">
        <v>0</v>
      </c>
      <c r="AD640" s="12">
        <v>999029</v>
      </c>
      <c r="AE640" s="12">
        <v>1202990</v>
      </c>
      <c r="AF640" s="12">
        <v>1880592</v>
      </c>
      <c r="AG640" s="12">
        <v>1577415</v>
      </c>
      <c r="AH640" s="11">
        <v>11.12</v>
      </c>
      <c r="AI640" s="11">
        <v>8.81</v>
      </c>
      <c r="AJ640" s="13"/>
    </row>
    <row r="641" spans="1:36" x14ac:dyDescent="0.25">
      <c r="A641" t="str">
        <f>"420101"</f>
        <v>420101</v>
      </c>
      <c r="B641" t="s">
        <v>722</v>
      </c>
      <c r="C641" s="10">
        <v>85216870</v>
      </c>
      <c r="D641" s="10">
        <v>88000070</v>
      </c>
      <c r="E641" s="11">
        <v>3.27</v>
      </c>
      <c r="F641" s="12">
        <v>47672260</v>
      </c>
      <c r="G641" s="12">
        <v>48866445</v>
      </c>
      <c r="H641" s="12"/>
      <c r="I641" s="12"/>
      <c r="J641" s="12"/>
      <c r="K641" s="12"/>
      <c r="L641" s="12"/>
      <c r="M641" s="12"/>
      <c r="N641" s="12">
        <v>47672260</v>
      </c>
      <c r="O641" s="12">
        <v>48866445</v>
      </c>
      <c r="P641" s="11">
        <v>2.5</v>
      </c>
      <c r="Q641" s="12">
        <v>1470889</v>
      </c>
      <c r="R641" s="12">
        <v>1352883</v>
      </c>
      <c r="S641" s="12">
        <v>46201371</v>
      </c>
      <c r="T641" s="12">
        <v>47513562</v>
      </c>
      <c r="U641" s="12">
        <v>46201371</v>
      </c>
      <c r="V641" s="12">
        <v>47513562</v>
      </c>
      <c r="W641" s="12">
        <v>0</v>
      </c>
      <c r="X641" s="12">
        <v>0</v>
      </c>
      <c r="Y641" s="12">
        <v>4546</v>
      </c>
      <c r="Z641" s="12">
        <v>4550</v>
      </c>
      <c r="AA641" s="11">
        <v>0.09</v>
      </c>
      <c r="AB641" s="12">
        <v>6897781</v>
      </c>
      <c r="AC641" s="12">
        <v>6436949</v>
      </c>
      <c r="AD641" s="12">
        <v>1400000</v>
      </c>
      <c r="AE641" s="12">
        <v>1400000</v>
      </c>
      <c r="AF641" s="12">
        <v>3401281</v>
      </c>
      <c r="AG641" s="12">
        <v>3380348</v>
      </c>
      <c r="AH641" s="11">
        <v>3.99</v>
      </c>
      <c r="AI641" s="11">
        <v>3.84</v>
      </c>
      <c r="AJ641" s="13"/>
    </row>
    <row r="642" spans="1:36" x14ac:dyDescent="0.25">
      <c r="A642" t="str">
        <f>"280227"</f>
        <v>280227</v>
      </c>
      <c r="B642" t="s">
        <v>723</v>
      </c>
      <c r="C642" s="10">
        <v>59943330</v>
      </c>
      <c r="D642" s="10">
        <v>61122822</v>
      </c>
      <c r="E642" s="11">
        <v>1.97</v>
      </c>
      <c r="F642" s="12">
        <v>44566967</v>
      </c>
      <c r="G642" s="12">
        <v>45594326</v>
      </c>
      <c r="H642" s="12"/>
      <c r="I642" s="12"/>
      <c r="J642" s="12"/>
      <c r="K642" s="12"/>
      <c r="L642" s="12"/>
      <c r="M642" s="12"/>
      <c r="N642" s="12">
        <v>44566967</v>
      </c>
      <c r="O642" s="12">
        <v>45594326</v>
      </c>
      <c r="P642" s="11">
        <v>2.31</v>
      </c>
      <c r="Q642" s="12">
        <v>1175127</v>
      </c>
      <c r="R642" s="12">
        <v>1172119</v>
      </c>
      <c r="S642" s="12">
        <v>43391840</v>
      </c>
      <c r="T642" s="12">
        <v>44422207</v>
      </c>
      <c r="U642" s="12">
        <v>43391840</v>
      </c>
      <c r="V642" s="12">
        <v>44422207</v>
      </c>
      <c r="W642" s="12">
        <v>0</v>
      </c>
      <c r="X642" s="12">
        <v>0</v>
      </c>
      <c r="Y642" s="12">
        <v>1961</v>
      </c>
      <c r="Z642" s="12">
        <v>1921</v>
      </c>
      <c r="AA642" s="11">
        <v>-2.04</v>
      </c>
      <c r="AB642" s="12">
        <v>6741432</v>
      </c>
      <c r="AC642" s="12">
        <v>8241432</v>
      </c>
      <c r="AD642" s="12">
        <v>628603</v>
      </c>
      <c r="AE642" s="12">
        <v>800000</v>
      </c>
      <c r="AF642" s="12">
        <v>3278391</v>
      </c>
      <c r="AG642" s="12">
        <v>2444913</v>
      </c>
      <c r="AH642" s="11">
        <v>5.47</v>
      </c>
      <c r="AI642" s="11">
        <v>4</v>
      </c>
      <c r="AJ642" s="13"/>
    </row>
    <row r="643" spans="1:36" x14ac:dyDescent="0.25">
      <c r="A643" s="16" t="str">
        <f>"260803"</f>
        <v>260803</v>
      </c>
      <c r="B643" s="16" t="s">
        <v>724</v>
      </c>
      <c r="C643" s="18">
        <v>71997349</v>
      </c>
      <c r="D643" s="18">
        <v>72371573</v>
      </c>
      <c r="E643" s="15">
        <v>0.52</v>
      </c>
      <c r="F643" s="19">
        <v>38290570</v>
      </c>
      <c r="G643" s="19">
        <v>39136194</v>
      </c>
      <c r="H643" s="19"/>
      <c r="I643" s="19"/>
      <c r="J643" s="19"/>
      <c r="K643" s="19"/>
      <c r="L643" s="19"/>
      <c r="M643" s="19"/>
      <c r="N643" s="19">
        <v>38290570</v>
      </c>
      <c r="O643" s="19">
        <v>39136194</v>
      </c>
      <c r="P643" s="15">
        <v>2.21</v>
      </c>
      <c r="Q643" s="19">
        <v>0</v>
      </c>
      <c r="R643" s="19">
        <v>0</v>
      </c>
      <c r="S643" s="19">
        <v>38290570</v>
      </c>
      <c r="T643" s="19">
        <v>39136194</v>
      </c>
      <c r="U643" s="19">
        <v>38290570</v>
      </c>
      <c r="V643" s="19">
        <v>39136194</v>
      </c>
      <c r="W643" s="19">
        <v>1000</v>
      </c>
      <c r="X643" s="19">
        <v>0</v>
      </c>
      <c r="Y643" s="19">
        <v>3577</v>
      </c>
      <c r="Z643" s="19">
        <v>3640</v>
      </c>
      <c r="AA643" s="15">
        <v>1.76</v>
      </c>
      <c r="AB643" s="19">
        <v>16131433</v>
      </c>
      <c r="AC643" s="19">
        <v>17035202</v>
      </c>
      <c r="AD643" s="19">
        <v>2594608</v>
      </c>
      <c r="AE643" s="19">
        <v>2754923</v>
      </c>
      <c r="AF643" s="19">
        <v>2879893</v>
      </c>
      <c r="AG643" s="19">
        <v>2894863</v>
      </c>
      <c r="AH643" s="15">
        <v>4</v>
      </c>
      <c r="AI643" s="15">
        <v>4</v>
      </c>
      <c r="AJ643" s="13"/>
    </row>
    <row r="644" spans="1:36" x14ac:dyDescent="0.25">
      <c r="A644" t="str">
        <f>"580509"</f>
        <v>580509</v>
      </c>
      <c r="B644" t="s">
        <v>725</v>
      </c>
      <c r="C644" s="10">
        <v>121129702</v>
      </c>
      <c r="D644" s="10">
        <v>122946823</v>
      </c>
      <c r="E644" s="11">
        <v>1.5</v>
      </c>
      <c r="F644" s="12">
        <v>80996142</v>
      </c>
      <c r="G644" s="12">
        <v>83529684</v>
      </c>
      <c r="H644" s="12"/>
      <c r="I644" s="12"/>
      <c r="J644" s="12"/>
      <c r="K644" s="12"/>
      <c r="L644" s="12"/>
      <c r="M644" s="12"/>
      <c r="N644" s="12">
        <v>80996142</v>
      </c>
      <c r="O644" s="12">
        <v>83529684</v>
      </c>
      <c r="P644" s="11">
        <v>3.13</v>
      </c>
      <c r="Q644" s="12">
        <v>1789702</v>
      </c>
      <c r="R644" s="12">
        <v>2739115</v>
      </c>
      <c r="S644" s="12">
        <v>79206440</v>
      </c>
      <c r="T644" s="12">
        <v>80790569</v>
      </c>
      <c r="U644" s="12">
        <v>79206440</v>
      </c>
      <c r="V644" s="12">
        <v>80790569</v>
      </c>
      <c r="W644" s="12">
        <v>0</v>
      </c>
      <c r="X644" s="12">
        <v>0</v>
      </c>
      <c r="Y644" s="12">
        <v>4210</v>
      </c>
      <c r="Z644" s="12">
        <v>4084</v>
      </c>
      <c r="AA644" s="11">
        <v>-2.99</v>
      </c>
      <c r="AB644" s="12">
        <v>13051008</v>
      </c>
      <c r="AC644" s="12">
        <v>12821361</v>
      </c>
      <c r="AD644" s="12">
        <v>1000000</v>
      </c>
      <c r="AE644" s="12">
        <v>1000000</v>
      </c>
      <c r="AF644" s="12">
        <v>4845187</v>
      </c>
      <c r="AG644" s="12">
        <v>4917873</v>
      </c>
      <c r="AH644" s="11">
        <v>4</v>
      </c>
      <c r="AI644" s="11">
        <v>4</v>
      </c>
      <c r="AJ644" s="13"/>
    </row>
    <row r="645" spans="1:36" x14ac:dyDescent="0.25">
      <c r="A645" t="str">
        <f>"142801"</f>
        <v>142801</v>
      </c>
      <c r="B645" t="s">
        <v>726</v>
      </c>
      <c r="C645" s="10">
        <v>116804058</v>
      </c>
      <c r="D645" s="10">
        <v>120816624</v>
      </c>
      <c r="E645" s="11">
        <v>3.44</v>
      </c>
      <c r="F645" s="12">
        <v>59879144</v>
      </c>
      <c r="G645" s="12">
        <v>61495793</v>
      </c>
      <c r="H645" s="12"/>
      <c r="I645" s="12"/>
      <c r="J645" s="12"/>
      <c r="K645" s="12"/>
      <c r="L645" s="12"/>
      <c r="M645" s="12"/>
      <c r="N645" s="12">
        <v>59879144</v>
      </c>
      <c r="O645" s="12">
        <v>61495793</v>
      </c>
      <c r="P645" s="11">
        <v>2.7</v>
      </c>
      <c r="Q645" s="12">
        <v>1894408</v>
      </c>
      <c r="R645" s="12">
        <v>1833805</v>
      </c>
      <c r="S645" s="12">
        <v>57984736</v>
      </c>
      <c r="T645" s="12">
        <v>59661988</v>
      </c>
      <c r="U645" s="12">
        <v>57984736</v>
      </c>
      <c r="V645" s="12">
        <v>59661988</v>
      </c>
      <c r="W645" s="12">
        <v>0</v>
      </c>
      <c r="X645" s="12">
        <v>0</v>
      </c>
      <c r="Y645" s="12">
        <v>6338</v>
      </c>
      <c r="Z645" s="12">
        <v>6282</v>
      </c>
      <c r="AA645" s="11">
        <v>-0.88</v>
      </c>
      <c r="AB645" s="12">
        <v>10231674</v>
      </c>
      <c r="AC645" s="12">
        <v>11504525</v>
      </c>
      <c r="AD645" s="12">
        <v>108650</v>
      </c>
      <c r="AE645" s="12">
        <v>1839769</v>
      </c>
      <c r="AF645" s="12">
        <v>4672162</v>
      </c>
      <c r="AG645" s="12">
        <v>4832665</v>
      </c>
      <c r="AH645" s="11">
        <v>4</v>
      </c>
      <c r="AI645" s="11">
        <v>4</v>
      </c>
      <c r="AJ645" s="13"/>
    </row>
    <row r="646" spans="1:36" x14ac:dyDescent="0.25">
      <c r="A646" t="str">
        <f>"040204"</f>
        <v>040204</v>
      </c>
      <c r="B646" t="s">
        <v>727</v>
      </c>
      <c r="C646" s="10">
        <v>9096196</v>
      </c>
      <c r="D646" s="10">
        <v>9184125</v>
      </c>
      <c r="E646" s="11">
        <v>0.97</v>
      </c>
      <c r="F646" s="12">
        <v>3003939</v>
      </c>
      <c r="G646" s="12">
        <v>3064164</v>
      </c>
      <c r="H646" s="12"/>
      <c r="I646" s="12"/>
      <c r="J646" s="12"/>
      <c r="K646" s="12"/>
      <c r="L646" s="12"/>
      <c r="M646" s="12"/>
      <c r="N646" s="12">
        <v>3003939</v>
      </c>
      <c r="O646" s="12">
        <v>3064164</v>
      </c>
      <c r="P646" s="11">
        <v>2</v>
      </c>
      <c r="Q646" s="12">
        <v>0</v>
      </c>
      <c r="R646" s="12">
        <v>0</v>
      </c>
      <c r="S646" s="12">
        <v>3309428</v>
      </c>
      <c r="T646" s="12">
        <v>3143494</v>
      </c>
      <c r="U646" s="12">
        <v>3003939</v>
      </c>
      <c r="V646" s="12">
        <v>3064164</v>
      </c>
      <c r="W646" s="12">
        <v>305489</v>
      </c>
      <c r="X646" s="12">
        <v>79330</v>
      </c>
      <c r="Y646" s="12">
        <v>245</v>
      </c>
      <c r="Z646" s="12">
        <v>242</v>
      </c>
      <c r="AA646" s="11">
        <v>-1.22</v>
      </c>
      <c r="AB646" s="12">
        <v>2297244</v>
      </c>
      <c r="AC646" s="12">
        <v>2579404</v>
      </c>
      <c r="AD646" s="12">
        <v>635708</v>
      </c>
      <c r="AE646" s="12">
        <v>557370</v>
      </c>
      <c r="AF646" s="12">
        <v>363848</v>
      </c>
      <c r="AG646" s="12">
        <v>367365</v>
      </c>
      <c r="AH646" s="11">
        <v>4</v>
      </c>
      <c r="AI646" s="11">
        <v>4</v>
      </c>
      <c r="AJ646" s="13"/>
    </row>
    <row r="647" spans="1:36" x14ac:dyDescent="0.25">
      <c r="A647" t="str">
        <f>"280401"</f>
        <v>280401</v>
      </c>
      <c r="B647" t="s">
        <v>728</v>
      </c>
      <c r="C647" s="10">
        <v>145295800</v>
      </c>
      <c r="D647" s="10">
        <v>151360739</v>
      </c>
      <c r="E647" s="11">
        <v>4.17</v>
      </c>
      <c r="F647" s="12">
        <v>77223323</v>
      </c>
      <c r="G647" s="12">
        <v>77223323</v>
      </c>
      <c r="H647" s="12"/>
      <c r="I647" s="12"/>
      <c r="J647" s="12"/>
      <c r="K647" s="12"/>
      <c r="L647" s="12"/>
      <c r="M647" s="12"/>
      <c r="N647" s="12">
        <v>77223323</v>
      </c>
      <c r="O647" s="12">
        <v>77223323</v>
      </c>
      <c r="P647" s="11">
        <v>0</v>
      </c>
      <c r="Q647" s="12">
        <v>0</v>
      </c>
      <c r="R647" s="12">
        <v>123702</v>
      </c>
      <c r="S647" s="12">
        <v>77476205</v>
      </c>
      <c r="T647" s="12">
        <v>78698021</v>
      </c>
      <c r="U647" s="12">
        <v>77223323</v>
      </c>
      <c r="V647" s="12">
        <v>77099621</v>
      </c>
      <c r="W647" s="12">
        <v>252882</v>
      </c>
      <c r="X647" s="12">
        <v>1598400</v>
      </c>
      <c r="Y647" s="12">
        <v>5363</v>
      </c>
      <c r="Z647" s="12">
        <v>5262</v>
      </c>
      <c r="AA647" s="11">
        <v>-1.88</v>
      </c>
      <c r="AB647" s="12">
        <v>22969330</v>
      </c>
      <c r="AC647" s="12">
        <v>21214752</v>
      </c>
      <c r="AD647" s="12">
        <v>10062723</v>
      </c>
      <c r="AE647" s="12">
        <v>12862723</v>
      </c>
      <c r="AF647" s="12">
        <v>4835063</v>
      </c>
      <c r="AG647" s="12">
        <v>400000</v>
      </c>
      <c r="AH647" s="11">
        <v>3.33</v>
      </c>
      <c r="AI647" s="11">
        <v>0.26</v>
      </c>
      <c r="AJ647" s="13"/>
    </row>
    <row r="648" spans="1:36" x14ac:dyDescent="0.25">
      <c r="A648" t="str">
        <f>"062901"</f>
        <v>062901</v>
      </c>
      <c r="B648" t="s">
        <v>729</v>
      </c>
      <c r="C648" s="10">
        <v>15881650</v>
      </c>
      <c r="D648" s="10">
        <v>16716034</v>
      </c>
      <c r="E648" s="11">
        <v>5.25</v>
      </c>
      <c r="F648" s="12">
        <v>6015691</v>
      </c>
      <c r="G648" s="12">
        <v>6136005</v>
      </c>
      <c r="H648" s="12"/>
      <c r="I648" s="12"/>
      <c r="J648" s="12"/>
      <c r="K648" s="12"/>
      <c r="L648" s="12"/>
      <c r="M648" s="12"/>
      <c r="N648" s="12">
        <v>6015691</v>
      </c>
      <c r="O648" s="12">
        <v>6136005</v>
      </c>
      <c r="P648" s="11">
        <v>2</v>
      </c>
      <c r="Q648" s="12">
        <v>0</v>
      </c>
      <c r="R648" s="12">
        <v>0</v>
      </c>
      <c r="S648" s="12">
        <v>6015691</v>
      </c>
      <c r="T648" s="12">
        <v>6148276</v>
      </c>
      <c r="U648" s="12">
        <v>6015691</v>
      </c>
      <c r="V648" s="12">
        <v>6136005</v>
      </c>
      <c r="W648" s="12">
        <v>0</v>
      </c>
      <c r="X648" s="12">
        <v>12271</v>
      </c>
      <c r="Y648" s="12">
        <v>661</v>
      </c>
      <c r="Z648" s="12">
        <v>683</v>
      </c>
      <c r="AA648" s="11">
        <v>3.33</v>
      </c>
      <c r="AB648" s="12">
        <v>2646859</v>
      </c>
      <c r="AC648" s="12">
        <v>2638859</v>
      </c>
      <c r="AD648" s="12">
        <v>625000</v>
      </c>
      <c r="AE648" s="12">
        <v>504368</v>
      </c>
      <c r="AF648" s="12">
        <v>1294269</v>
      </c>
      <c r="AG648" s="12">
        <v>1029269</v>
      </c>
      <c r="AH648" s="11">
        <v>8.15</v>
      </c>
      <c r="AI648" s="11">
        <v>6.16</v>
      </c>
      <c r="AJ648" s="13"/>
    </row>
    <row r="649" spans="1:36" x14ac:dyDescent="0.25">
      <c r="A649" t="str">
        <f>"580902"</f>
        <v>580902</v>
      </c>
      <c r="B649" t="s">
        <v>730</v>
      </c>
      <c r="C649" s="10">
        <v>56072052</v>
      </c>
      <c r="D649" s="10">
        <v>57112093</v>
      </c>
      <c r="E649" s="11">
        <v>1.85</v>
      </c>
      <c r="F649" s="12">
        <v>29133648</v>
      </c>
      <c r="G649" s="12">
        <v>30169774</v>
      </c>
      <c r="H649" s="12"/>
      <c r="I649" s="12"/>
      <c r="J649" s="12"/>
      <c r="K649" s="12"/>
      <c r="L649" s="12"/>
      <c r="M649" s="12"/>
      <c r="N649" s="12">
        <v>29133648</v>
      </c>
      <c r="O649" s="12">
        <v>30169774</v>
      </c>
      <c r="P649" s="11">
        <v>3.56</v>
      </c>
      <c r="Q649" s="12">
        <v>5041240</v>
      </c>
      <c r="R649" s="12">
        <v>5040501</v>
      </c>
      <c r="S649" s="12">
        <v>24110250</v>
      </c>
      <c r="T649" s="12">
        <v>25134533</v>
      </c>
      <c r="U649" s="12">
        <v>24092408</v>
      </c>
      <c r="V649" s="12">
        <v>25129273</v>
      </c>
      <c r="W649" s="12">
        <v>17842</v>
      </c>
      <c r="X649" s="12">
        <v>5260</v>
      </c>
      <c r="Y649" s="12">
        <v>1784</v>
      </c>
      <c r="Z649" s="12">
        <v>1780</v>
      </c>
      <c r="AA649" s="11">
        <v>-0.22</v>
      </c>
      <c r="AB649" s="12">
        <v>5373845</v>
      </c>
      <c r="AC649" s="12">
        <v>4647867</v>
      </c>
      <c r="AD649" s="12">
        <v>1200000</v>
      </c>
      <c r="AE649" s="12">
        <v>1200000</v>
      </c>
      <c r="AF649" s="12">
        <v>1989097</v>
      </c>
      <c r="AG649" s="12">
        <v>2284484</v>
      </c>
      <c r="AH649" s="11">
        <v>3.55</v>
      </c>
      <c r="AI649" s="11">
        <v>4</v>
      </c>
      <c r="AJ649" s="13"/>
    </row>
    <row r="650" spans="1:36" x14ac:dyDescent="0.25">
      <c r="A650" t="str">
        <f>"420701"</f>
        <v>420701</v>
      </c>
      <c r="B650" t="s">
        <v>731</v>
      </c>
      <c r="C650" s="10">
        <v>36882540</v>
      </c>
      <c r="D650" s="10">
        <v>38691005</v>
      </c>
      <c r="E650" s="11">
        <v>4.9000000000000004</v>
      </c>
      <c r="F650" s="12">
        <v>20836516</v>
      </c>
      <c r="G650" s="12">
        <v>21181514</v>
      </c>
      <c r="H650" s="12"/>
      <c r="I650" s="12"/>
      <c r="J650" s="12"/>
      <c r="K650" s="12"/>
      <c r="L650" s="12"/>
      <c r="M650" s="12"/>
      <c r="N650" s="12">
        <v>20836516</v>
      </c>
      <c r="O650" s="12">
        <v>21181514</v>
      </c>
      <c r="P650" s="11">
        <v>1.66</v>
      </c>
      <c r="Q650" s="12">
        <v>1137234</v>
      </c>
      <c r="R650" s="12">
        <v>1011736</v>
      </c>
      <c r="S650" s="12">
        <v>19699282</v>
      </c>
      <c r="T650" s="12">
        <v>20169778</v>
      </c>
      <c r="U650" s="12">
        <v>19699282</v>
      </c>
      <c r="V650" s="12">
        <v>20169778</v>
      </c>
      <c r="W650" s="12">
        <v>0</v>
      </c>
      <c r="X650" s="12">
        <v>0</v>
      </c>
      <c r="Y650" s="12">
        <v>1808</v>
      </c>
      <c r="Z650" s="12">
        <v>1815</v>
      </c>
      <c r="AA650" s="11">
        <v>0.39</v>
      </c>
      <c r="AB650" s="12">
        <v>3381272</v>
      </c>
      <c r="AC650" s="12">
        <v>4332518</v>
      </c>
      <c r="AD650" s="12">
        <v>1748344</v>
      </c>
      <c r="AE650" s="12">
        <v>1748344</v>
      </c>
      <c r="AF650" s="12">
        <v>3160980</v>
      </c>
      <c r="AG650" s="12">
        <v>3288455</v>
      </c>
      <c r="AH650" s="11">
        <v>8.57</v>
      </c>
      <c r="AI650" s="11">
        <v>8.5</v>
      </c>
      <c r="AJ650" s="13"/>
    </row>
    <row r="651" spans="1:36" x14ac:dyDescent="0.25">
      <c r="A651" t="str">
        <f>"412801"</f>
        <v>412801</v>
      </c>
      <c r="B651" t="s">
        <v>732</v>
      </c>
      <c r="C651" s="10">
        <v>21581035</v>
      </c>
      <c r="D651" s="10">
        <v>22128564</v>
      </c>
      <c r="E651" s="11">
        <v>2.54</v>
      </c>
      <c r="F651" s="12">
        <v>7945057</v>
      </c>
      <c r="G651" s="12">
        <v>8011795</v>
      </c>
      <c r="H651" s="12"/>
      <c r="I651" s="12"/>
      <c r="J651" s="12"/>
      <c r="K651" s="12"/>
      <c r="L651" s="12"/>
      <c r="M651" s="12"/>
      <c r="N651" s="12">
        <v>7945057</v>
      </c>
      <c r="O651" s="12">
        <v>8011795</v>
      </c>
      <c r="P651" s="11">
        <v>0.84</v>
      </c>
      <c r="Q651" s="12">
        <v>0</v>
      </c>
      <c r="R651" s="12">
        <v>0</v>
      </c>
      <c r="S651" s="12">
        <v>7945057</v>
      </c>
      <c r="T651" s="12">
        <v>8011795</v>
      </c>
      <c r="U651" s="12">
        <v>7945057</v>
      </c>
      <c r="V651" s="12">
        <v>8011795</v>
      </c>
      <c r="W651" s="12">
        <v>0</v>
      </c>
      <c r="X651" s="12">
        <v>0</v>
      </c>
      <c r="Y651" s="12">
        <v>880</v>
      </c>
      <c r="Z651" s="12">
        <v>880</v>
      </c>
      <c r="AA651" s="11">
        <v>0</v>
      </c>
      <c r="AB651" s="12">
        <v>3260705</v>
      </c>
      <c r="AC651" s="12">
        <v>3260705</v>
      </c>
      <c r="AD651" s="12">
        <v>1000000</v>
      </c>
      <c r="AE651" s="12">
        <v>1150000</v>
      </c>
      <c r="AF651" s="12">
        <v>863241</v>
      </c>
      <c r="AG651" s="12">
        <v>885142</v>
      </c>
      <c r="AH651" s="11">
        <v>4</v>
      </c>
      <c r="AI651" s="11">
        <v>4</v>
      </c>
      <c r="AJ651" s="13"/>
    </row>
    <row r="652" spans="1:36" x14ac:dyDescent="0.25">
      <c r="A652" t="str">
        <f>"151601"</f>
        <v>151601</v>
      </c>
      <c r="B652" t="s">
        <v>733</v>
      </c>
      <c r="C652" s="10">
        <v>6046000</v>
      </c>
      <c r="D652" s="10">
        <v>6562000</v>
      </c>
      <c r="E652" s="11">
        <v>8.5299999999999994</v>
      </c>
      <c r="F652" s="12">
        <v>3507096</v>
      </c>
      <c r="G652" s="12">
        <v>3856968</v>
      </c>
      <c r="H652" s="12"/>
      <c r="I652" s="12"/>
      <c r="J652" s="12"/>
      <c r="K652" s="12"/>
      <c r="L652" s="12"/>
      <c r="M652" s="12"/>
      <c r="N652" s="12">
        <v>3507096</v>
      </c>
      <c r="O652" s="12">
        <v>3856968</v>
      </c>
      <c r="P652" s="11">
        <v>9.98</v>
      </c>
      <c r="Q652" s="12">
        <v>0</v>
      </c>
      <c r="R652" s="12">
        <v>0</v>
      </c>
      <c r="S652" s="12">
        <v>3507096</v>
      </c>
      <c r="T652" s="12">
        <v>3591906</v>
      </c>
      <c r="U652" s="12">
        <v>3507096</v>
      </c>
      <c r="V652" s="12">
        <v>3856968</v>
      </c>
      <c r="W652" s="12">
        <v>0</v>
      </c>
      <c r="X652" s="12">
        <v>-265062</v>
      </c>
      <c r="Y652" s="12">
        <v>216</v>
      </c>
      <c r="Z652" s="12">
        <v>212</v>
      </c>
      <c r="AA652" s="11">
        <v>-1.85</v>
      </c>
      <c r="AB652" s="12">
        <v>1290607</v>
      </c>
      <c r="AC652" s="12">
        <v>1243280</v>
      </c>
      <c r="AD652" s="12">
        <v>87064</v>
      </c>
      <c r="AE652" s="12">
        <v>200000</v>
      </c>
      <c r="AF652" s="12">
        <v>403757</v>
      </c>
      <c r="AG652" s="12">
        <v>262480</v>
      </c>
      <c r="AH652" s="11">
        <v>6.68</v>
      </c>
      <c r="AI652" s="11">
        <v>4</v>
      </c>
      <c r="AJ652" s="13"/>
    </row>
    <row r="653" spans="1:36" x14ac:dyDescent="0.25">
      <c r="A653" t="str">
        <f>"262001"</f>
        <v>262001</v>
      </c>
      <c r="B653" t="s">
        <v>734</v>
      </c>
      <c r="C653" s="10">
        <v>18405290</v>
      </c>
      <c r="D653" s="10">
        <v>18767487</v>
      </c>
      <c r="E653" s="11">
        <v>1.97</v>
      </c>
      <c r="F653" s="12">
        <v>9305529</v>
      </c>
      <c r="G653" s="12">
        <v>9305529</v>
      </c>
      <c r="H653" s="12"/>
      <c r="I653" s="12"/>
      <c r="J653" s="12"/>
      <c r="K653" s="12"/>
      <c r="L653" s="12"/>
      <c r="M653" s="12"/>
      <c r="N653" s="12">
        <v>9305529</v>
      </c>
      <c r="O653" s="12">
        <v>9305529</v>
      </c>
      <c r="P653" s="11">
        <v>0</v>
      </c>
      <c r="Q653" s="12">
        <v>100719</v>
      </c>
      <c r="R653" s="12">
        <v>333745</v>
      </c>
      <c r="S653" s="12">
        <v>9209284</v>
      </c>
      <c r="T653" s="12">
        <v>9389295</v>
      </c>
      <c r="U653" s="12">
        <v>9204810</v>
      </c>
      <c r="V653" s="12">
        <v>8971784</v>
      </c>
      <c r="W653" s="12">
        <v>4474</v>
      </c>
      <c r="X653" s="12">
        <v>417511</v>
      </c>
      <c r="Y653" s="12">
        <v>676</v>
      </c>
      <c r="Z653" s="12">
        <v>679</v>
      </c>
      <c r="AA653" s="11">
        <v>0.44</v>
      </c>
      <c r="AB653" s="12">
        <v>3915483</v>
      </c>
      <c r="AC653" s="12">
        <v>2647024</v>
      </c>
      <c r="AD653" s="12">
        <v>670130</v>
      </c>
      <c r="AE653" s="12">
        <v>394838</v>
      </c>
      <c r="AF653" s="12">
        <v>733750</v>
      </c>
      <c r="AG653" s="12">
        <v>750699</v>
      </c>
      <c r="AH653" s="11">
        <v>3.99</v>
      </c>
      <c r="AI653" s="11">
        <v>4</v>
      </c>
      <c r="AJ653" s="13"/>
    </row>
    <row r="654" spans="1:36" x14ac:dyDescent="0.25">
      <c r="A654" t="str">
        <f>"170301"</f>
        <v>170301</v>
      </c>
      <c r="B654" t="s">
        <v>735</v>
      </c>
      <c r="C654" s="10">
        <v>4375305</v>
      </c>
      <c r="D654" s="10">
        <v>4437539</v>
      </c>
      <c r="E654" s="11">
        <v>1.42</v>
      </c>
      <c r="F654" s="12">
        <v>2235861</v>
      </c>
      <c r="G654" s="12">
        <v>2280578</v>
      </c>
      <c r="H654" s="12"/>
      <c r="I654" s="12"/>
      <c r="J654" s="12"/>
      <c r="K654" s="12"/>
      <c r="L654" s="12"/>
      <c r="M654" s="12"/>
      <c r="N654" s="12">
        <v>2235861</v>
      </c>
      <c r="O654" s="12">
        <v>2280578</v>
      </c>
      <c r="P654" s="11">
        <v>2</v>
      </c>
      <c r="Q654" s="12">
        <v>0</v>
      </c>
      <c r="R654" s="12">
        <v>17946</v>
      </c>
      <c r="S654" s="12">
        <v>2248084</v>
      </c>
      <c r="T654" s="12">
        <v>2287876</v>
      </c>
      <c r="U654" s="12">
        <v>2235861</v>
      </c>
      <c r="V654" s="12">
        <v>2262632</v>
      </c>
      <c r="W654" s="12">
        <v>12223</v>
      </c>
      <c r="X654" s="12">
        <v>25244</v>
      </c>
      <c r="Y654" s="12">
        <v>133</v>
      </c>
      <c r="Z654" s="12">
        <v>121</v>
      </c>
      <c r="AA654" s="11">
        <v>-9.02</v>
      </c>
      <c r="AB654" s="12">
        <v>409334</v>
      </c>
      <c r="AC654" s="12">
        <v>389334</v>
      </c>
      <c r="AD654" s="12">
        <v>490000</v>
      </c>
      <c r="AE654" s="12">
        <v>490000</v>
      </c>
      <c r="AF654" s="12">
        <v>496268</v>
      </c>
      <c r="AG654" s="12">
        <v>516268</v>
      </c>
      <c r="AH654" s="11">
        <v>11.34</v>
      </c>
      <c r="AI654" s="11">
        <v>11.63</v>
      </c>
      <c r="AJ654" s="13"/>
    </row>
    <row r="655" spans="1:36" x14ac:dyDescent="0.25">
      <c r="A655" t="str">
        <f>"662200"</f>
        <v>662200</v>
      </c>
      <c r="B655" t="s">
        <v>736</v>
      </c>
      <c r="C655" s="10">
        <v>214135854</v>
      </c>
      <c r="D655" s="10">
        <v>218593020</v>
      </c>
      <c r="E655" s="11">
        <v>2.08</v>
      </c>
      <c r="F655" s="12">
        <v>176975345</v>
      </c>
      <c r="G655" s="12">
        <v>183020060</v>
      </c>
      <c r="H655" s="12"/>
      <c r="I655" s="12"/>
      <c r="J655" s="12"/>
      <c r="K655" s="12"/>
      <c r="L655" s="12"/>
      <c r="M655" s="12"/>
      <c r="N655" s="12">
        <v>176975345</v>
      </c>
      <c r="O655" s="12">
        <v>183020060</v>
      </c>
      <c r="P655" s="11">
        <v>3.42</v>
      </c>
      <c r="Q655" s="12">
        <v>6606593</v>
      </c>
      <c r="R655" s="12">
        <v>6311974</v>
      </c>
      <c r="S655" s="12">
        <v>170368752</v>
      </c>
      <c r="T655" s="12">
        <v>176708086</v>
      </c>
      <c r="U655" s="12">
        <v>170368752</v>
      </c>
      <c r="V655" s="12">
        <v>176708086</v>
      </c>
      <c r="W655" s="12">
        <v>0</v>
      </c>
      <c r="X655" s="12">
        <v>0</v>
      </c>
      <c r="Y655" s="12">
        <v>7198</v>
      </c>
      <c r="Z655" s="12">
        <v>7245</v>
      </c>
      <c r="AA655" s="11">
        <v>0.65</v>
      </c>
      <c r="AB655" s="12">
        <v>70334208</v>
      </c>
      <c r="AC655" s="12">
        <v>76895036</v>
      </c>
      <c r="AD655" s="12">
        <v>4131856</v>
      </c>
      <c r="AE655" s="12">
        <v>0</v>
      </c>
      <c r="AF655" s="12">
        <v>8565433</v>
      </c>
      <c r="AG655" s="12">
        <v>8743721</v>
      </c>
      <c r="AH655" s="11">
        <v>4</v>
      </c>
      <c r="AI655" s="11">
        <v>4</v>
      </c>
      <c r="AJ655" s="13"/>
    </row>
    <row r="656" spans="1:36" x14ac:dyDescent="0.25">
      <c r="A656" t="str">
        <f>"641701"</f>
        <v>641701</v>
      </c>
      <c r="B656" t="s">
        <v>737</v>
      </c>
      <c r="C656" s="10">
        <v>15956820</v>
      </c>
      <c r="D656" s="10">
        <v>16519099</v>
      </c>
      <c r="E656" s="11">
        <v>3.52</v>
      </c>
      <c r="F656" s="12">
        <v>5448221</v>
      </c>
      <c r="G656" s="12">
        <v>5546289</v>
      </c>
      <c r="H656" s="12"/>
      <c r="I656" s="12"/>
      <c r="J656" s="12"/>
      <c r="K656" s="12"/>
      <c r="L656" s="12"/>
      <c r="M656" s="12"/>
      <c r="N656" s="12">
        <v>5448221</v>
      </c>
      <c r="O656" s="12">
        <v>5546289</v>
      </c>
      <c r="P656" s="11">
        <v>1.8</v>
      </c>
      <c r="Q656" s="12">
        <v>0</v>
      </c>
      <c r="R656" s="12">
        <v>0</v>
      </c>
      <c r="S656" s="12">
        <v>5475039</v>
      </c>
      <c r="T656" s="12">
        <v>5597134</v>
      </c>
      <c r="U656" s="12">
        <v>5448221</v>
      </c>
      <c r="V656" s="12">
        <v>5546289</v>
      </c>
      <c r="W656" s="12">
        <v>26818</v>
      </c>
      <c r="X656" s="12">
        <v>50845</v>
      </c>
      <c r="Y656" s="12">
        <v>787</v>
      </c>
      <c r="Z656" s="12">
        <v>792</v>
      </c>
      <c r="AA656" s="11">
        <v>0.64</v>
      </c>
      <c r="AB656" s="12">
        <v>5944228</v>
      </c>
      <c r="AC656" s="12">
        <v>5926845</v>
      </c>
      <c r="AD656" s="12">
        <v>630873</v>
      </c>
      <c r="AE656" s="12">
        <v>615000</v>
      </c>
      <c r="AF656" s="12">
        <v>644610</v>
      </c>
      <c r="AG656" s="12">
        <v>660763</v>
      </c>
      <c r="AH656" s="11">
        <v>4.04</v>
      </c>
      <c r="AI656" s="11">
        <v>4</v>
      </c>
      <c r="AJ656" s="13"/>
    </row>
    <row r="657" spans="1:36" x14ac:dyDescent="0.25">
      <c r="A657" t="str">
        <f>"412902"</f>
        <v>412902</v>
      </c>
      <c r="B657" t="s">
        <v>738</v>
      </c>
      <c r="C657" s="10">
        <v>66916633</v>
      </c>
      <c r="D657" s="10">
        <v>67909498</v>
      </c>
      <c r="E657" s="11">
        <v>1.48</v>
      </c>
      <c r="F657" s="12">
        <v>30851875</v>
      </c>
      <c r="G657" s="12">
        <v>31427924</v>
      </c>
      <c r="H657" s="12"/>
      <c r="I657" s="12"/>
      <c r="J657" s="12"/>
      <c r="K657" s="12"/>
      <c r="L657" s="12"/>
      <c r="M657" s="12"/>
      <c r="N657" s="12">
        <v>30851875</v>
      </c>
      <c r="O657" s="12">
        <v>31427924</v>
      </c>
      <c r="P657" s="11">
        <v>1.87</v>
      </c>
      <c r="Q657" s="12">
        <v>1211479</v>
      </c>
      <c r="R657" s="12">
        <v>1100034</v>
      </c>
      <c r="S657" s="12">
        <v>30851875</v>
      </c>
      <c r="T657" s="12">
        <v>31427924</v>
      </c>
      <c r="U657" s="12">
        <v>29640396</v>
      </c>
      <c r="V657" s="12">
        <v>30327890</v>
      </c>
      <c r="W657" s="12">
        <v>1211479</v>
      </c>
      <c r="X657" s="12">
        <v>1100034</v>
      </c>
      <c r="Y657" s="12">
        <v>3383</v>
      </c>
      <c r="Z657" s="12">
        <v>3380</v>
      </c>
      <c r="AA657" s="11">
        <v>-0.09</v>
      </c>
      <c r="AB657" s="12">
        <v>6308997</v>
      </c>
      <c r="AC657" s="12">
        <v>6313983</v>
      </c>
      <c r="AD657" s="12">
        <v>4898200</v>
      </c>
      <c r="AE657" s="12">
        <v>4790000</v>
      </c>
      <c r="AF657" s="12">
        <v>3576895</v>
      </c>
      <c r="AG657" s="12">
        <v>2716000</v>
      </c>
      <c r="AH657" s="11">
        <v>5.35</v>
      </c>
      <c r="AI657" s="11">
        <v>4</v>
      </c>
      <c r="AJ657" s="13"/>
    </row>
    <row r="658" spans="1:36" x14ac:dyDescent="0.25">
      <c r="A658" t="str">
        <f>"022101"</f>
        <v>022101</v>
      </c>
      <c r="B658" t="s">
        <v>739</v>
      </c>
      <c r="C658" s="10">
        <v>6535457</v>
      </c>
      <c r="D658" s="10">
        <v>6397500</v>
      </c>
      <c r="E658" s="11">
        <v>-2.11</v>
      </c>
      <c r="F658" s="12">
        <v>1373910</v>
      </c>
      <c r="G658" s="12">
        <v>1373910</v>
      </c>
      <c r="H658" s="12"/>
      <c r="I658" s="12"/>
      <c r="J658" s="12"/>
      <c r="K658" s="12"/>
      <c r="L658" s="12"/>
      <c r="M658" s="12"/>
      <c r="N658" s="12">
        <v>1373910</v>
      </c>
      <c r="O658" s="12">
        <v>1373910</v>
      </c>
      <c r="P658" s="11">
        <v>0</v>
      </c>
      <c r="Q658" s="12">
        <v>0</v>
      </c>
      <c r="R658" s="12">
        <v>0</v>
      </c>
      <c r="S658" s="12">
        <v>1430490</v>
      </c>
      <c r="T658" s="12">
        <v>1422649</v>
      </c>
      <c r="U658" s="12">
        <v>1373910</v>
      </c>
      <c r="V658" s="12">
        <v>1373910</v>
      </c>
      <c r="W658" s="12">
        <v>56580</v>
      </c>
      <c r="X658" s="12">
        <v>48739</v>
      </c>
      <c r="Y658" s="12">
        <v>215</v>
      </c>
      <c r="Z658" s="12">
        <v>215</v>
      </c>
      <c r="AA658" s="11">
        <v>0</v>
      </c>
      <c r="AB658" s="12">
        <v>2110325</v>
      </c>
      <c r="AC658" s="12">
        <v>1891480</v>
      </c>
      <c r="AD658" s="12">
        <v>59140</v>
      </c>
      <c r="AE658" s="12">
        <v>54497</v>
      </c>
      <c r="AF658" s="12">
        <v>582228</v>
      </c>
      <c r="AG658" s="12">
        <v>590000</v>
      </c>
      <c r="AH658" s="11">
        <v>8.91</v>
      </c>
      <c r="AI658" s="11">
        <v>9.2200000000000006</v>
      </c>
      <c r="AJ658" s="13"/>
    </row>
    <row r="659" spans="1:36" x14ac:dyDescent="0.25">
      <c r="A659" t="str">
        <f>"031401"</f>
        <v>031401</v>
      </c>
      <c r="B659" t="s">
        <v>740</v>
      </c>
      <c r="C659" s="10">
        <v>35088746</v>
      </c>
      <c r="D659" s="10">
        <v>36668962</v>
      </c>
      <c r="E659" s="11">
        <v>4.5</v>
      </c>
      <c r="F659" s="12">
        <v>7961608</v>
      </c>
      <c r="G659" s="12">
        <v>8085410</v>
      </c>
      <c r="H659" s="12"/>
      <c r="I659" s="12"/>
      <c r="J659" s="12"/>
      <c r="K659" s="12"/>
      <c r="L659" s="12"/>
      <c r="M659" s="12"/>
      <c r="N659" s="12">
        <v>7961608</v>
      </c>
      <c r="O659" s="12">
        <v>8085410</v>
      </c>
      <c r="P659" s="11">
        <v>1.55</v>
      </c>
      <c r="Q659" s="12">
        <v>384287</v>
      </c>
      <c r="R659" s="12">
        <v>332992</v>
      </c>
      <c r="S659" s="12">
        <v>7577321</v>
      </c>
      <c r="T659" s="12">
        <v>7752418</v>
      </c>
      <c r="U659" s="12">
        <v>7577321</v>
      </c>
      <c r="V659" s="12">
        <v>7752418</v>
      </c>
      <c r="W659" s="12">
        <v>0</v>
      </c>
      <c r="X659" s="12">
        <v>0</v>
      </c>
      <c r="Y659" s="12">
        <v>1383</v>
      </c>
      <c r="Z659" s="12">
        <v>1383</v>
      </c>
      <c r="AA659" s="11">
        <v>0</v>
      </c>
      <c r="AB659" s="12">
        <v>5605976</v>
      </c>
      <c r="AC659" s="12">
        <v>5478773</v>
      </c>
      <c r="AD659" s="12">
        <v>500000</v>
      </c>
      <c r="AE659" s="12">
        <v>500000</v>
      </c>
      <c r="AF659" s="12">
        <v>1334260</v>
      </c>
      <c r="AG659" s="12">
        <v>1340144</v>
      </c>
      <c r="AH659" s="11">
        <v>3.8</v>
      </c>
      <c r="AI659" s="11">
        <v>3.65</v>
      </c>
      <c r="AJ659" s="13"/>
    </row>
    <row r="660" spans="1:36" x14ac:dyDescent="0.25">
      <c r="A660" t="str">
        <f>"580232"</f>
        <v>580232</v>
      </c>
      <c r="B660" t="s">
        <v>741</v>
      </c>
      <c r="C660" s="10">
        <v>236326899</v>
      </c>
      <c r="D660" s="10">
        <v>240038811</v>
      </c>
      <c r="E660" s="11">
        <v>1.57</v>
      </c>
      <c r="F660" s="12">
        <v>97660190</v>
      </c>
      <c r="G660" s="12">
        <v>99641391</v>
      </c>
      <c r="H660" s="12"/>
      <c r="I660" s="12"/>
      <c r="J660" s="12"/>
      <c r="K660" s="12"/>
      <c r="L660" s="12"/>
      <c r="M660" s="12"/>
      <c r="N660" s="12">
        <v>97660190</v>
      </c>
      <c r="O660" s="12">
        <v>99641391</v>
      </c>
      <c r="P660" s="11">
        <v>2.0299999999999998</v>
      </c>
      <c r="Q660" s="12">
        <v>0</v>
      </c>
      <c r="R660" s="12">
        <v>0</v>
      </c>
      <c r="S660" s="12">
        <v>98660190</v>
      </c>
      <c r="T660" s="12">
        <v>100975964</v>
      </c>
      <c r="U660" s="12">
        <v>97660190</v>
      </c>
      <c r="V660" s="12">
        <v>99641391</v>
      </c>
      <c r="W660" s="12">
        <v>1000000</v>
      </c>
      <c r="X660" s="12">
        <v>1334573</v>
      </c>
      <c r="Y660" s="12">
        <v>8936</v>
      </c>
      <c r="Z660" s="12">
        <v>8951</v>
      </c>
      <c r="AA660" s="11">
        <v>0.17</v>
      </c>
      <c r="AB660" s="12">
        <v>32782016</v>
      </c>
      <c r="AC660" s="12">
        <v>31919497</v>
      </c>
      <c r="AD660" s="12">
        <v>13250000</v>
      </c>
      <c r="AE660" s="12">
        <v>9650000</v>
      </c>
      <c r="AF660" s="12">
        <v>9453076</v>
      </c>
      <c r="AG660" s="12">
        <v>9601552</v>
      </c>
      <c r="AH660" s="11">
        <v>4</v>
      </c>
      <c r="AI660" s="11">
        <v>4</v>
      </c>
      <c r="AJ660" s="13"/>
    </row>
    <row r="661" spans="1:36" x14ac:dyDescent="0.25">
      <c r="A661" t="str">
        <f>"651402"</f>
        <v>651402</v>
      </c>
      <c r="B661" t="s">
        <v>742</v>
      </c>
      <c r="C661" s="10">
        <v>23099790</v>
      </c>
      <c r="D661" s="10">
        <v>23616150</v>
      </c>
      <c r="E661" s="11">
        <v>2.2400000000000002</v>
      </c>
      <c r="F661" s="12">
        <v>10150790</v>
      </c>
      <c r="G661" s="12">
        <v>10328650</v>
      </c>
      <c r="H661" s="12"/>
      <c r="I661" s="12"/>
      <c r="J661" s="12"/>
      <c r="K661" s="12"/>
      <c r="L661" s="12"/>
      <c r="M661" s="12"/>
      <c r="N661" s="12">
        <v>10150790</v>
      </c>
      <c r="O661" s="12">
        <v>10328650</v>
      </c>
      <c r="P661" s="11">
        <v>1.75</v>
      </c>
      <c r="Q661" s="12">
        <v>0</v>
      </c>
      <c r="R661" s="12">
        <v>0</v>
      </c>
      <c r="S661" s="12">
        <v>10164776</v>
      </c>
      <c r="T661" s="12">
        <v>10339500</v>
      </c>
      <c r="U661" s="12">
        <v>10150790</v>
      </c>
      <c r="V661" s="12">
        <v>10328650</v>
      </c>
      <c r="W661" s="12">
        <v>13986</v>
      </c>
      <c r="X661" s="12">
        <v>10850</v>
      </c>
      <c r="Y661" s="12">
        <v>1024</v>
      </c>
      <c r="Z661" s="12">
        <v>1024</v>
      </c>
      <c r="AA661" s="11">
        <v>0</v>
      </c>
      <c r="AB661" s="12">
        <v>6411474</v>
      </c>
      <c r="AC661" s="12">
        <v>5875000</v>
      </c>
      <c r="AD661" s="12">
        <v>150000</v>
      </c>
      <c r="AE661" s="12">
        <v>150000</v>
      </c>
      <c r="AF661" s="12">
        <v>905000</v>
      </c>
      <c r="AG661" s="12">
        <v>900000</v>
      </c>
      <c r="AH661" s="11">
        <v>3.92</v>
      </c>
      <c r="AI661" s="11">
        <v>3.81</v>
      </c>
      <c r="AJ661" s="13"/>
    </row>
    <row r="662" spans="1:36" x14ac:dyDescent="0.25">
      <c r="A662" t="str">
        <f>"140203"</f>
        <v>140203</v>
      </c>
      <c r="B662" t="s">
        <v>743</v>
      </c>
      <c r="C662" s="10">
        <v>186135210</v>
      </c>
      <c r="D662" s="10">
        <v>190815689</v>
      </c>
      <c r="E662" s="11">
        <v>2.5099999999999998</v>
      </c>
      <c r="F662" s="12">
        <v>120353000</v>
      </c>
      <c r="G662" s="12">
        <v>123050851</v>
      </c>
      <c r="H662" s="12"/>
      <c r="I662" s="12"/>
      <c r="J662" s="12"/>
      <c r="K662" s="12"/>
      <c r="L662" s="12"/>
      <c r="M662" s="12"/>
      <c r="N662" s="12">
        <v>120353000</v>
      </c>
      <c r="O662" s="12">
        <v>123050851</v>
      </c>
      <c r="P662" s="11">
        <v>2.2400000000000002</v>
      </c>
      <c r="Q662" s="12">
        <v>0</v>
      </c>
      <c r="R662" s="12">
        <v>0</v>
      </c>
      <c r="S662" s="12">
        <v>120353851</v>
      </c>
      <c r="T662" s="12">
        <v>123070450</v>
      </c>
      <c r="U662" s="12">
        <v>120353000</v>
      </c>
      <c r="V662" s="12">
        <v>123050851</v>
      </c>
      <c r="W662" s="12">
        <v>851</v>
      </c>
      <c r="X662" s="12">
        <v>19599</v>
      </c>
      <c r="Y662" s="12">
        <v>9967</v>
      </c>
      <c r="Z662" s="12">
        <v>9980</v>
      </c>
      <c r="AA662" s="11">
        <v>0.13</v>
      </c>
      <c r="AB662" s="12">
        <v>48609886</v>
      </c>
      <c r="AC662" s="12">
        <v>53600000</v>
      </c>
      <c r="AD662" s="12">
        <v>8773556</v>
      </c>
      <c r="AE662" s="12">
        <v>8700000</v>
      </c>
      <c r="AF662" s="12">
        <v>7440000</v>
      </c>
      <c r="AG662" s="12">
        <v>7630000</v>
      </c>
      <c r="AH662" s="11">
        <v>4</v>
      </c>
      <c r="AI662" s="11">
        <v>4</v>
      </c>
      <c r="AJ662" s="13"/>
    </row>
    <row r="663" spans="1:36" x14ac:dyDescent="0.25">
      <c r="A663" t="str">
        <f>"151701"</f>
        <v>151701</v>
      </c>
      <c r="B663" t="s">
        <v>744</v>
      </c>
      <c r="C663" s="10">
        <v>8495998</v>
      </c>
      <c r="D663" s="10">
        <v>9259356</v>
      </c>
      <c r="E663" s="11">
        <v>8.98</v>
      </c>
      <c r="F663" s="12">
        <v>5141119</v>
      </c>
      <c r="G663" s="12">
        <v>5254570</v>
      </c>
      <c r="H663" s="12"/>
      <c r="I663" s="12"/>
      <c r="J663" s="12"/>
      <c r="K663" s="12"/>
      <c r="L663" s="12"/>
      <c r="M663" s="12"/>
      <c r="N663" s="12">
        <v>5141119</v>
      </c>
      <c r="O663" s="12">
        <v>5254570</v>
      </c>
      <c r="P663" s="11">
        <v>2.21</v>
      </c>
      <c r="Q663" s="12">
        <v>473730</v>
      </c>
      <c r="R663" s="12">
        <v>479464</v>
      </c>
      <c r="S663" s="12">
        <v>4784830</v>
      </c>
      <c r="T663" s="12">
        <v>4775106</v>
      </c>
      <c r="U663" s="12">
        <v>4667389</v>
      </c>
      <c r="V663" s="12">
        <v>4775106</v>
      </c>
      <c r="W663" s="12">
        <v>117441</v>
      </c>
      <c r="X663" s="12">
        <v>0</v>
      </c>
      <c r="Y663" s="12">
        <v>258</v>
      </c>
      <c r="Z663" s="12">
        <v>265</v>
      </c>
      <c r="AA663" s="11">
        <v>2.71</v>
      </c>
      <c r="AB663" s="12">
        <v>1262908</v>
      </c>
      <c r="AC663" s="12">
        <v>1260061</v>
      </c>
      <c r="AD663" s="12">
        <v>830182</v>
      </c>
      <c r="AE663" s="12">
        <v>1111542</v>
      </c>
      <c r="AF663" s="12">
        <v>1593971</v>
      </c>
      <c r="AG663" s="12">
        <v>1178630</v>
      </c>
      <c r="AH663" s="11">
        <v>18.760000000000002</v>
      </c>
      <c r="AI663" s="11">
        <v>12.73</v>
      </c>
      <c r="AJ663" s="13"/>
    </row>
    <row r="664" spans="1:36" x14ac:dyDescent="0.25">
      <c r="A664" t="str">
        <f>"401501"</f>
        <v>401501</v>
      </c>
      <c r="B664" t="s">
        <v>745</v>
      </c>
      <c r="C664" s="10">
        <v>26438683</v>
      </c>
      <c r="D664" s="10">
        <v>27419858</v>
      </c>
      <c r="E664" s="11">
        <v>3.71</v>
      </c>
      <c r="F664" s="12">
        <v>11534513</v>
      </c>
      <c r="G664" s="12">
        <v>11822876</v>
      </c>
      <c r="H664" s="12"/>
      <c r="I664" s="12"/>
      <c r="J664" s="12"/>
      <c r="K664" s="12"/>
      <c r="L664" s="12"/>
      <c r="M664" s="12"/>
      <c r="N664" s="12">
        <v>11534513</v>
      </c>
      <c r="O664" s="12">
        <v>11822876</v>
      </c>
      <c r="P664" s="11">
        <v>2.5</v>
      </c>
      <c r="Q664" s="12">
        <v>0</v>
      </c>
      <c r="R664" s="12">
        <v>0</v>
      </c>
      <c r="S664" s="12">
        <v>11631760</v>
      </c>
      <c r="T664" s="12">
        <v>11904751</v>
      </c>
      <c r="U664" s="12">
        <v>11534513</v>
      </c>
      <c r="V664" s="12">
        <v>11822876</v>
      </c>
      <c r="W664" s="12">
        <v>97247</v>
      </c>
      <c r="X664" s="12">
        <v>81875</v>
      </c>
      <c r="Y664" s="12">
        <v>1139</v>
      </c>
      <c r="Z664" s="12">
        <v>1119</v>
      </c>
      <c r="AA664" s="11">
        <v>-1.76</v>
      </c>
      <c r="AB664" s="12">
        <v>11326699</v>
      </c>
      <c r="AC664" s="12">
        <v>12601030</v>
      </c>
      <c r="AD664" s="12">
        <v>500000</v>
      </c>
      <c r="AE664" s="12">
        <v>500000</v>
      </c>
      <c r="AF664" s="12">
        <v>1057180</v>
      </c>
      <c r="AG664" s="12">
        <v>1096794</v>
      </c>
      <c r="AH664" s="11">
        <v>4</v>
      </c>
      <c r="AI664" s="11">
        <v>4</v>
      </c>
      <c r="AJ664" s="13"/>
    </row>
    <row r="665" spans="1:36" x14ac:dyDescent="0.25">
      <c r="A665" t="str">
        <f>"191401"</f>
        <v>191401</v>
      </c>
      <c r="B665" t="s">
        <v>746</v>
      </c>
      <c r="C665" s="10">
        <v>11957611</v>
      </c>
      <c r="D665" s="10">
        <v>12154650</v>
      </c>
      <c r="E665" s="11">
        <v>1.65</v>
      </c>
      <c r="F665" s="12">
        <v>9851998</v>
      </c>
      <c r="G665" s="12">
        <v>10035400</v>
      </c>
      <c r="H665" s="12"/>
      <c r="I665" s="12"/>
      <c r="J665" s="12"/>
      <c r="K665" s="12"/>
      <c r="L665" s="12"/>
      <c r="M665" s="12"/>
      <c r="N665" s="12">
        <v>9851998</v>
      </c>
      <c r="O665" s="12">
        <v>10035400</v>
      </c>
      <c r="P665" s="11">
        <v>1.86</v>
      </c>
      <c r="Q665" s="12">
        <v>1263711</v>
      </c>
      <c r="R665" s="12">
        <v>1338737</v>
      </c>
      <c r="S665" s="12">
        <v>8671377</v>
      </c>
      <c r="T665" s="12">
        <v>8839143</v>
      </c>
      <c r="U665" s="12">
        <v>8588287</v>
      </c>
      <c r="V665" s="12">
        <v>8696663</v>
      </c>
      <c r="W665" s="12">
        <v>83090</v>
      </c>
      <c r="X665" s="12">
        <v>142480</v>
      </c>
      <c r="Y665" s="12">
        <v>300</v>
      </c>
      <c r="Z665" s="12">
        <v>305</v>
      </c>
      <c r="AA665" s="11">
        <v>1.67</v>
      </c>
      <c r="AB665" s="12">
        <v>1080875</v>
      </c>
      <c r="AC665" s="12">
        <v>1100000</v>
      </c>
      <c r="AD665" s="12">
        <v>250000</v>
      </c>
      <c r="AE665" s="12">
        <v>250000</v>
      </c>
      <c r="AF665" s="12">
        <v>478304</v>
      </c>
      <c r="AG665" s="12">
        <v>486186</v>
      </c>
      <c r="AH665" s="11">
        <v>4</v>
      </c>
      <c r="AI665" s="11">
        <v>4</v>
      </c>
      <c r="AJ665" s="13"/>
    </row>
    <row r="666" spans="1:36" x14ac:dyDescent="0.25">
      <c r="A666" t="str">
        <f>"031701"</f>
        <v>031701</v>
      </c>
      <c r="B666" t="s">
        <v>747</v>
      </c>
      <c r="C666" s="10">
        <v>38286973</v>
      </c>
      <c r="D666" s="10">
        <v>39344117</v>
      </c>
      <c r="E666" s="11">
        <v>2.76</v>
      </c>
      <c r="F666" s="12">
        <v>14350584</v>
      </c>
      <c r="G666" s="12">
        <v>14882157</v>
      </c>
      <c r="H666" s="12"/>
      <c r="I666" s="12"/>
      <c r="J666" s="12"/>
      <c r="K666" s="12"/>
      <c r="L666" s="12"/>
      <c r="M666" s="12"/>
      <c r="N666" s="12">
        <v>14350584</v>
      </c>
      <c r="O666" s="12">
        <v>14882157</v>
      </c>
      <c r="P666" s="11">
        <v>3.7</v>
      </c>
      <c r="Q666" s="12">
        <v>550233</v>
      </c>
      <c r="R666" s="12">
        <v>481024</v>
      </c>
      <c r="S666" s="12">
        <v>13800351</v>
      </c>
      <c r="T666" s="12">
        <v>14401133</v>
      </c>
      <c r="U666" s="12">
        <v>13800351</v>
      </c>
      <c r="V666" s="12">
        <v>14401133</v>
      </c>
      <c r="W666" s="12">
        <v>0</v>
      </c>
      <c r="X666" s="12">
        <v>0</v>
      </c>
      <c r="Y666" s="12">
        <v>1611</v>
      </c>
      <c r="Z666" s="12">
        <v>1611</v>
      </c>
      <c r="AA666" s="11">
        <v>0</v>
      </c>
      <c r="AB666" s="12">
        <v>2242283</v>
      </c>
      <c r="AC666" s="12">
        <v>2845451</v>
      </c>
      <c r="AD666" s="12">
        <v>500000</v>
      </c>
      <c r="AE666" s="12">
        <v>500000</v>
      </c>
      <c r="AF666" s="12">
        <v>1400561</v>
      </c>
      <c r="AG666" s="12">
        <v>1463338</v>
      </c>
      <c r="AH666" s="11">
        <v>3.66</v>
      </c>
      <c r="AI666" s="11">
        <v>3.72</v>
      </c>
      <c r="AJ666" s="13"/>
    </row>
    <row r="667" spans="1:36" x14ac:dyDescent="0.25">
      <c r="A667" t="str">
        <f>"472506"</f>
        <v>472506</v>
      </c>
      <c r="B667" t="s">
        <v>748</v>
      </c>
      <c r="C667" s="10">
        <v>11256480</v>
      </c>
      <c r="D667" s="10">
        <v>11439829</v>
      </c>
      <c r="E667" s="11">
        <v>1.63</v>
      </c>
      <c r="F667" s="12">
        <v>3276444</v>
      </c>
      <c r="G667" s="12">
        <v>3341972</v>
      </c>
      <c r="H667" s="12"/>
      <c r="I667" s="12"/>
      <c r="J667" s="12"/>
      <c r="K667" s="12"/>
      <c r="L667" s="12"/>
      <c r="M667" s="12"/>
      <c r="N667" s="12">
        <v>3276444</v>
      </c>
      <c r="O667" s="12">
        <v>3341972</v>
      </c>
      <c r="P667" s="11">
        <v>2</v>
      </c>
      <c r="Q667" s="12">
        <v>455368</v>
      </c>
      <c r="R667" s="12">
        <v>453520</v>
      </c>
      <c r="S667" s="12">
        <v>2821076</v>
      </c>
      <c r="T667" s="12">
        <v>2888452</v>
      </c>
      <c r="U667" s="12">
        <v>2821076</v>
      </c>
      <c r="V667" s="12">
        <v>2888452</v>
      </c>
      <c r="W667" s="12">
        <v>0</v>
      </c>
      <c r="X667" s="12">
        <v>0</v>
      </c>
      <c r="Y667" s="12">
        <v>367</v>
      </c>
      <c r="Z667" s="12">
        <v>354</v>
      </c>
      <c r="AA667" s="11">
        <v>-3.54</v>
      </c>
      <c r="AB667" s="12">
        <v>1016301</v>
      </c>
      <c r="AC667" s="12">
        <v>836331</v>
      </c>
      <c r="AD667" s="12">
        <v>1106814</v>
      </c>
      <c r="AE667" s="12">
        <v>985000</v>
      </c>
      <c r="AF667" s="12">
        <v>1042232</v>
      </c>
      <c r="AG667" s="12">
        <v>752654</v>
      </c>
      <c r="AH667" s="11">
        <v>9.26</v>
      </c>
      <c r="AI667" s="11">
        <v>6.58</v>
      </c>
      <c r="AJ667" s="13"/>
    </row>
    <row r="668" spans="1:36" x14ac:dyDescent="0.25">
      <c r="A668" t="str">
        <f>"580109"</f>
        <v>580109</v>
      </c>
      <c r="B668" t="s">
        <v>749</v>
      </c>
      <c r="C668" s="10">
        <v>68730714</v>
      </c>
      <c r="D668" s="10">
        <v>71318257</v>
      </c>
      <c r="E668" s="11">
        <v>3.76</v>
      </c>
      <c r="F668" s="12">
        <v>21358673</v>
      </c>
      <c r="G668" s="12">
        <v>21657606</v>
      </c>
      <c r="H668" s="12">
        <v>234613</v>
      </c>
      <c r="I668" s="12">
        <v>233388</v>
      </c>
      <c r="J668" s="12"/>
      <c r="K668" s="12"/>
      <c r="L668" s="12"/>
      <c r="M668" s="12"/>
      <c r="N668" s="12">
        <v>21593286</v>
      </c>
      <c r="O668" s="12">
        <v>21890994</v>
      </c>
      <c r="P668" s="11">
        <v>1.38</v>
      </c>
      <c r="Q668" s="12">
        <v>417190</v>
      </c>
      <c r="R668" s="12">
        <v>310214</v>
      </c>
      <c r="S668" s="12">
        <v>20941483</v>
      </c>
      <c r="T668" s="12">
        <v>21347392</v>
      </c>
      <c r="U668" s="12">
        <v>20941483</v>
      </c>
      <c r="V668" s="12">
        <v>21347392</v>
      </c>
      <c r="W668" s="12">
        <v>0</v>
      </c>
      <c r="X668" s="12">
        <v>0</v>
      </c>
      <c r="Y668" s="12">
        <v>2670</v>
      </c>
      <c r="Z668" s="12">
        <v>2763</v>
      </c>
      <c r="AA668" s="11">
        <v>3.48</v>
      </c>
      <c r="AB668" s="12">
        <v>1651500</v>
      </c>
      <c r="AC668" s="12">
        <v>1651500</v>
      </c>
      <c r="AD668" s="12">
        <v>433632</v>
      </c>
      <c r="AE668" s="12">
        <v>877611</v>
      </c>
      <c r="AF668" s="12">
        <v>2706598</v>
      </c>
      <c r="AG668" s="12">
        <v>2852746</v>
      </c>
      <c r="AH668" s="11">
        <v>3.94</v>
      </c>
      <c r="AI668" s="11">
        <v>4</v>
      </c>
      <c r="AJ668" s="13"/>
    </row>
    <row r="669" spans="1:36" x14ac:dyDescent="0.25">
      <c r="A669" t="str">
        <f>"490804"</f>
        <v>490804</v>
      </c>
      <c r="B669" t="s">
        <v>750</v>
      </c>
      <c r="C669" s="10">
        <v>9037839</v>
      </c>
      <c r="D669" s="10">
        <v>9446308</v>
      </c>
      <c r="E669" s="11">
        <v>4.5199999999999996</v>
      </c>
      <c r="F669" s="12">
        <v>5194661</v>
      </c>
      <c r="G669" s="12">
        <v>5313920</v>
      </c>
      <c r="H669" s="12"/>
      <c r="I669" s="12"/>
      <c r="J669" s="12"/>
      <c r="K669" s="12"/>
      <c r="L669" s="12"/>
      <c r="M669" s="12"/>
      <c r="N669" s="12">
        <v>5194661</v>
      </c>
      <c r="O669" s="12">
        <v>5313920</v>
      </c>
      <c r="P669" s="11">
        <v>2.2999999999999998</v>
      </c>
      <c r="Q669" s="12">
        <v>0</v>
      </c>
      <c r="R669" s="12">
        <v>0</v>
      </c>
      <c r="S669" s="12">
        <v>5194661</v>
      </c>
      <c r="T669" s="12">
        <v>5313920</v>
      </c>
      <c r="U669" s="12">
        <v>5194661</v>
      </c>
      <c r="V669" s="12">
        <v>5313920</v>
      </c>
      <c r="W669" s="12">
        <v>0</v>
      </c>
      <c r="X669" s="12">
        <v>0</v>
      </c>
      <c r="Y669" s="12">
        <v>379</v>
      </c>
      <c r="Z669" s="12">
        <v>380</v>
      </c>
      <c r="AA669" s="11">
        <v>0.26</v>
      </c>
      <c r="AB669" s="12">
        <v>1909650</v>
      </c>
      <c r="AC669" s="12">
        <v>1365961</v>
      </c>
      <c r="AD669" s="12">
        <v>156000</v>
      </c>
      <c r="AE669" s="12">
        <v>156000</v>
      </c>
      <c r="AF669" s="12">
        <v>361438</v>
      </c>
      <c r="AG669" s="12">
        <v>377852</v>
      </c>
      <c r="AH669" s="11">
        <v>4</v>
      </c>
      <c r="AI669" s="11">
        <v>4</v>
      </c>
      <c r="AJ669" s="13"/>
    </row>
    <row r="670" spans="1:36" x14ac:dyDescent="0.25">
      <c r="A670" t="str">
        <f>"671002"</f>
        <v>671002</v>
      </c>
      <c r="B670" t="s">
        <v>751</v>
      </c>
      <c r="C670" s="10">
        <v>5323397</v>
      </c>
      <c r="D670" s="10">
        <v>5447082</v>
      </c>
      <c r="E670" s="11">
        <v>2.3199999999999998</v>
      </c>
      <c r="F670" s="12">
        <v>2141769</v>
      </c>
      <c r="G670" s="12">
        <v>2181566</v>
      </c>
      <c r="H670" s="12"/>
      <c r="I670" s="12"/>
      <c r="J670" s="12"/>
      <c r="K670" s="12"/>
      <c r="L670" s="12"/>
      <c r="M670" s="12"/>
      <c r="N670" s="12">
        <v>2141769</v>
      </c>
      <c r="O670" s="12">
        <v>2181566</v>
      </c>
      <c r="P670" s="11">
        <v>1.86</v>
      </c>
      <c r="Q670" s="12">
        <v>0</v>
      </c>
      <c r="R670" s="12">
        <v>0</v>
      </c>
      <c r="S670" s="12">
        <v>2302726</v>
      </c>
      <c r="T670" s="12">
        <v>2225262</v>
      </c>
      <c r="U670" s="12">
        <v>2141769</v>
      </c>
      <c r="V670" s="12">
        <v>2181566</v>
      </c>
      <c r="W670" s="12">
        <v>160957</v>
      </c>
      <c r="X670" s="12">
        <v>43696</v>
      </c>
      <c r="Y670" s="12">
        <v>112</v>
      </c>
      <c r="Z670" s="12">
        <v>114</v>
      </c>
      <c r="AA670" s="11">
        <v>1.79</v>
      </c>
      <c r="AB670" s="12">
        <v>1418438</v>
      </c>
      <c r="AC670" s="12">
        <v>2100000</v>
      </c>
      <c r="AD670" s="12">
        <v>427234</v>
      </c>
      <c r="AE670" s="12">
        <v>455000</v>
      </c>
      <c r="AF670" s="12">
        <v>1131448</v>
      </c>
      <c r="AG670" s="12">
        <v>653650</v>
      </c>
      <c r="AH670" s="11">
        <v>21.25</v>
      </c>
      <c r="AI670" s="11">
        <v>12</v>
      </c>
      <c r="AJ670" s="13"/>
    </row>
    <row r="671" spans="1:36" x14ac:dyDescent="0.25">
      <c r="A671" t="str">
        <f>"241701"</f>
        <v>241701</v>
      </c>
      <c r="B671" t="s">
        <v>752</v>
      </c>
      <c r="C671" s="10">
        <v>16626226</v>
      </c>
      <c r="D671" s="10">
        <v>16771418</v>
      </c>
      <c r="E671" s="11">
        <v>0.87</v>
      </c>
      <c r="F671" s="12">
        <v>5694931</v>
      </c>
      <c r="G671" s="12">
        <v>5707459</v>
      </c>
      <c r="H671" s="12"/>
      <c r="I671" s="12"/>
      <c r="J671" s="12"/>
      <c r="K671" s="12"/>
      <c r="L671" s="12"/>
      <c r="M671" s="12"/>
      <c r="N671" s="12">
        <v>5694931</v>
      </c>
      <c r="O671" s="12">
        <v>5707459</v>
      </c>
      <c r="P671" s="11">
        <v>0.22</v>
      </c>
      <c r="Q671" s="12">
        <v>215250</v>
      </c>
      <c r="R671" s="12">
        <v>0</v>
      </c>
      <c r="S671" s="12">
        <v>6033294</v>
      </c>
      <c r="T671" s="12">
        <v>5720112</v>
      </c>
      <c r="U671" s="12">
        <v>5479681</v>
      </c>
      <c r="V671" s="12">
        <v>5707459</v>
      </c>
      <c r="W671" s="12">
        <v>553613</v>
      </c>
      <c r="X671" s="12">
        <v>12653</v>
      </c>
      <c r="Y671" s="12">
        <v>728</v>
      </c>
      <c r="Z671" s="12">
        <v>724</v>
      </c>
      <c r="AA671" s="11">
        <v>-0.55000000000000004</v>
      </c>
      <c r="AB671" s="12">
        <v>4311844</v>
      </c>
      <c r="AC671" s="12">
        <v>4972344</v>
      </c>
      <c r="AD671" s="12">
        <v>575000</v>
      </c>
      <c r="AE671" s="12">
        <v>525000</v>
      </c>
      <c r="AF671" s="12">
        <v>665049</v>
      </c>
      <c r="AG671" s="12">
        <v>670856</v>
      </c>
      <c r="AH671" s="11">
        <v>4</v>
      </c>
      <c r="AI671" s="11">
        <v>4</v>
      </c>
      <c r="AJ671" s="13"/>
    </row>
    <row r="672" spans="1:36" x14ac:dyDescent="0.25">
      <c r="A672" t="str">
        <f>"043501"</f>
        <v>043501</v>
      </c>
      <c r="B672" t="s">
        <v>753</v>
      </c>
      <c r="C672" s="10">
        <v>54617182</v>
      </c>
      <c r="D672" s="10">
        <v>56080538</v>
      </c>
      <c r="E672" s="11">
        <v>2.68</v>
      </c>
      <c r="F672" s="12">
        <v>12483023</v>
      </c>
      <c r="G672" s="12">
        <v>12729707</v>
      </c>
      <c r="H672" s="12"/>
      <c r="I672" s="12"/>
      <c r="J672" s="12"/>
      <c r="K672" s="12"/>
      <c r="L672" s="12"/>
      <c r="M672" s="12"/>
      <c r="N672" s="12">
        <v>12483023</v>
      </c>
      <c r="O672" s="12">
        <v>12729707</v>
      </c>
      <c r="P672" s="11">
        <v>1.98</v>
      </c>
      <c r="Q672" s="12">
        <v>229866</v>
      </c>
      <c r="R672" s="12">
        <v>174576</v>
      </c>
      <c r="S672" s="12">
        <v>12253157</v>
      </c>
      <c r="T672" s="12">
        <v>12555131</v>
      </c>
      <c r="U672" s="12">
        <v>12253157</v>
      </c>
      <c r="V672" s="12">
        <v>12555131</v>
      </c>
      <c r="W672" s="12">
        <v>0</v>
      </c>
      <c r="X672" s="12">
        <v>0</v>
      </c>
      <c r="Y672" s="12">
        <v>2348</v>
      </c>
      <c r="Z672" s="12">
        <v>2327</v>
      </c>
      <c r="AA672" s="11">
        <v>-0.89</v>
      </c>
      <c r="AB672" s="12">
        <v>1839813</v>
      </c>
      <c r="AC672" s="12">
        <v>1121813</v>
      </c>
      <c r="AD672" s="12">
        <v>3365000</v>
      </c>
      <c r="AE672" s="12">
        <v>3300000</v>
      </c>
      <c r="AF672" s="12">
        <v>4886458</v>
      </c>
      <c r="AG672" s="12">
        <v>4861458</v>
      </c>
      <c r="AH672" s="11">
        <v>8.9499999999999993</v>
      </c>
      <c r="AI672" s="11">
        <v>8.67</v>
      </c>
      <c r="AJ672" s="13"/>
    </row>
    <row r="673" spans="1:36" x14ac:dyDescent="0.25">
      <c r="A673" t="s">
        <v>5749</v>
      </c>
      <c r="B673" t="s">
        <v>5750</v>
      </c>
      <c r="C673" s="10">
        <v>98170000</v>
      </c>
      <c r="D673" s="10">
        <v>97930000</v>
      </c>
      <c r="E673" s="11">
        <v>-0.24</v>
      </c>
      <c r="F673" s="12">
        <v>77667220</v>
      </c>
      <c r="G673" s="12">
        <v>77736783</v>
      </c>
      <c r="H673" s="12"/>
      <c r="I673" s="12"/>
      <c r="J673" s="12"/>
      <c r="K673" s="12"/>
      <c r="L673" s="12"/>
      <c r="M673" s="12"/>
      <c r="N673" s="12">
        <v>77667220</v>
      </c>
      <c r="O673" s="12">
        <v>77736783</v>
      </c>
      <c r="P673" s="11">
        <v>0.09</v>
      </c>
      <c r="Q673" s="12">
        <v>3887076</v>
      </c>
      <c r="R673" s="12">
        <v>2124544</v>
      </c>
      <c r="S673" s="12">
        <v>75490853</v>
      </c>
      <c r="T673" s="12">
        <v>75612239</v>
      </c>
      <c r="U673" s="12">
        <v>73780144</v>
      </c>
      <c r="V673" s="12">
        <v>75612239</v>
      </c>
      <c r="W673" s="12">
        <v>1710709</v>
      </c>
      <c r="X673" s="12">
        <v>0</v>
      </c>
      <c r="Y673" s="12">
        <v>3455</v>
      </c>
      <c r="Z673" s="12">
        <v>3433</v>
      </c>
      <c r="AA673" s="11">
        <v>-0.64</v>
      </c>
      <c r="AB673" s="12">
        <v>15347855</v>
      </c>
      <c r="AC673" s="12">
        <v>11670000</v>
      </c>
      <c r="AD673" s="12">
        <v>1070000</v>
      </c>
      <c r="AE673" s="12">
        <v>1500000</v>
      </c>
      <c r="AF673" s="12">
        <v>3925922</v>
      </c>
      <c r="AG673" s="12">
        <v>3922000</v>
      </c>
      <c r="AH673" s="11">
        <v>4</v>
      </c>
      <c r="AI673" s="11">
        <v>4</v>
      </c>
      <c r="AJ673" s="13"/>
    </row>
    <row r="674" spans="1:36" x14ac:dyDescent="0.25">
      <c r="A674" s="45"/>
      <c r="B674" s="46"/>
      <c r="C674" s="47"/>
      <c r="D674" s="47"/>
      <c r="E674" s="47"/>
      <c r="F674" s="48"/>
      <c r="G674" s="48"/>
      <c r="H674" s="48"/>
      <c r="I674" s="48"/>
      <c r="J674" s="48"/>
      <c r="K674" s="48"/>
      <c r="L674" s="48"/>
      <c r="M674" s="48"/>
      <c r="N674" s="48"/>
      <c r="O674" s="48"/>
      <c r="P674" s="48"/>
      <c r="Q674" s="47"/>
      <c r="R674" s="47"/>
      <c r="S674" s="47"/>
      <c r="T674" s="47"/>
      <c r="U674" s="47"/>
      <c r="V674" s="47"/>
      <c r="W674" s="49"/>
      <c r="X674" s="49"/>
      <c r="Y674" s="47"/>
      <c r="Z674" s="47"/>
      <c r="AA674" s="47"/>
      <c r="AB674" s="47"/>
      <c r="AC674" s="47"/>
      <c r="AD674" s="47"/>
      <c r="AE674" s="47"/>
      <c r="AF674" s="47"/>
      <c r="AG674" s="47"/>
      <c r="AH674" s="47"/>
      <c r="AI674" s="47"/>
      <c r="AJ674" s="13"/>
    </row>
    <row r="676" spans="1:36" x14ac:dyDescent="0.25">
      <c r="A676" s="44" t="s">
        <v>5743</v>
      </c>
    </row>
    <row r="677" spans="1:36" x14ac:dyDescent="0.25">
      <c r="A677" s="44" t="s">
        <v>5751</v>
      </c>
    </row>
    <row r="678" spans="1:36" x14ac:dyDescent="0.25">
      <c r="A678" s="44" t="s">
        <v>5752</v>
      </c>
    </row>
  </sheetData>
  <sortState ref="A5:AI674">
    <sortCondition ref="B5:B674"/>
  </sortState>
  <printOptions horizontalCentered="1"/>
  <pageMargins left="0.45" right="0.45"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02D74-FA59-4B50-89F5-784C678C8B74}">
  <sheetPr>
    <pageSetUpPr fitToPage="1"/>
  </sheetPr>
  <dimension ref="A1:H4817"/>
  <sheetViews>
    <sheetView topLeftCell="B1" workbookViewId="0">
      <selection activeCell="D11" sqref="D11"/>
    </sheetView>
  </sheetViews>
  <sheetFormatPr defaultColWidth="31" defaultRowHeight="12.75" x14ac:dyDescent="0.2"/>
  <cols>
    <col min="1" max="1" width="8.7109375" style="41" customWidth="1"/>
    <col min="2" max="2" width="43.28515625" style="30" bestFit="1" customWidth="1"/>
    <col min="3" max="3" width="31" style="30" bestFit="1" customWidth="1"/>
    <col min="4" max="4" width="46.42578125" style="30" bestFit="1" customWidth="1"/>
    <col min="5" max="5" width="55.7109375" style="30" customWidth="1"/>
    <col min="6" max="6" width="18.42578125" style="30" bestFit="1" customWidth="1"/>
    <col min="7" max="7" width="18" style="30" bestFit="1" customWidth="1"/>
    <col min="8" max="8" width="55.7109375" style="30" customWidth="1"/>
    <col min="9" max="256" width="31" style="30"/>
    <col min="257" max="257" width="8.7109375" style="30" customWidth="1"/>
    <col min="258" max="258" width="43.28515625" style="30" bestFit="1" customWidth="1"/>
    <col min="259" max="259" width="31" style="30"/>
    <col min="260" max="260" width="46.42578125" style="30" bestFit="1" customWidth="1"/>
    <col min="261" max="261" width="55.7109375" style="30" customWidth="1"/>
    <col min="262" max="262" width="18.42578125" style="30" bestFit="1" customWidth="1"/>
    <col min="263" max="263" width="18" style="30" bestFit="1" customWidth="1"/>
    <col min="264" max="264" width="92.7109375" style="30" customWidth="1"/>
    <col min="265" max="512" width="31" style="30"/>
    <col min="513" max="513" width="8.7109375" style="30" customWidth="1"/>
    <col min="514" max="514" width="43.28515625" style="30" bestFit="1" customWidth="1"/>
    <col min="515" max="515" width="31" style="30"/>
    <col min="516" max="516" width="46.42578125" style="30" bestFit="1" customWidth="1"/>
    <col min="517" max="517" width="55.7109375" style="30" customWidth="1"/>
    <col min="518" max="518" width="18.42578125" style="30" bestFit="1" customWidth="1"/>
    <col min="519" max="519" width="18" style="30" bestFit="1" customWidth="1"/>
    <col min="520" max="520" width="92.7109375" style="30" customWidth="1"/>
    <col min="521" max="768" width="31" style="30"/>
    <col min="769" max="769" width="8.7109375" style="30" customWidth="1"/>
    <col min="770" max="770" width="43.28515625" style="30" bestFit="1" customWidth="1"/>
    <col min="771" max="771" width="31" style="30"/>
    <col min="772" max="772" width="46.42578125" style="30" bestFit="1" customWidth="1"/>
    <col min="773" max="773" width="55.7109375" style="30" customWidth="1"/>
    <col min="774" max="774" width="18.42578125" style="30" bestFit="1" customWidth="1"/>
    <col min="775" max="775" width="18" style="30" bestFit="1" customWidth="1"/>
    <col min="776" max="776" width="92.7109375" style="30" customWidth="1"/>
    <col min="777" max="1024" width="31" style="30"/>
    <col min="1025" max="1025" width="8.7109375" style="30" customWidth="1"/>
    <col min="1026" max="1026" width="43.28515625" style="30" bestFit="1" customWidth="1"/>
    <col min="1027" max="1027" width="31" style="30"/>
    <col min="1028" max="1028" width="46.42578125" style="30" bestFit="1" customWidth="1"/>
    <col min="1029" max="1029" width="55.7109375" style="30" customWidth="1"/>
    <col min="1030" max="1030" width="18.42578125" style="30" bestFit="1" customWidth="1"/>
    <col min="1031" max="1031" width="18" style="30" bestFit="1" customWidth="1"/>
    <col min="1032" max="1032" width="92.7109375" style="30" customWidth="1"/>
    <col min="1033" max="1280" width="31" style="30"/>
    <col min="1281" max="1281" width="8.7109375" style="30" customWidth="1"/>
    <col min="1282" max="1282" width="43.28515625" style="30" bestFit="1" customWidth="1"/>
    <col min="1283" max="1283" width="31" style="30"/>
    <col min="1284" max="1284" width="46.42578125" style="30" bestFit="1" customWidth="1"/>
    <col min="1285" max="1285" width="55.7109375" style="30" customWidth="1"/>
    <col min="1286" max="1286" width="18.42578125" style="30" bestFit="1" customWidth="1"/>
    <col min="1287" max="1287" width="18" style="30" bestFit="1" customWidth="1"/>
    <col min="1288" max="1288" width="92.7109375" style="30" customWidth="1"/>
    <col min="1289" max="1536" width="31" style="30"/>
    <col min="1537" max="1537" width="8.7109375" style="30" customWidth="1"/>
    <col min="1538" max="1538" width="43.28515625" style="30" bestFit="1" customWidth="1"/>
    <col min="1539" max="1539" width="31" style="30"/>
    <col min="1540" max="1540" width="46.42578125" style="30" bestFit="1" customWidth="1"/>
    <col min="1541" max="1541" width="55.7109375" style="30" customWidth="1"/>
    <col min="1542" max="1542" width="18.42578125" style="30" bestFit="1" customWidth="1"/>
    <col min="1543" max="1543" width="18" style="30" bestFit="1" customWidth="1"/>
    <col min="1544" max="1544" width="92.7109375" style="30" customWidth="1"/>
    <col min="1545" max="1792" width="31" style="30"/>
    <col min="1793" max="1793" width="8.7109375" style="30" customWidth="1"/>
    <col min="1794" max="1794" width="43.28515625" style="30" bestFit="1" customWidth="1"/>
    <col min="1795" max="1795" width="31" style="30"/>
    <col min="1796" max="1796" width="46.42578125" style="30" bestFit="1" customWidth="1"/>
    <col min="1797" max="1797" width="55.7109375" style="30" customWidth="1"/>
    <col min="1798" max="1798" width="18.42578125" style="30" bestFit="1" customWidth="1"/>
    <col min="1799" max="1799" width="18" style="30" bestFit="1" customWidth="1"/>
    <col min="1800" max="1800" width="92.7109375" style="30" customWidth="1"/>
    <col min="1801" max="2048" width="31" style="30"/>
    <col min="2049" max="2049" width="8.7109375" style="30" customWidth="1"/>
    <col min="2050" max="2050" width="43.28515625" style="30" bestFit="1" customWidth="1"/>
    <col min="2051" max="2051" width="31" style="30"/>
    <col min="2052" max="2052" width="46.42578125" style="30" bestFit="1" customWidth="1"/>
    <col min="2053" max="2053" width="55.7109375" style="30" customWidth="1"/>
    <col min="2054" max="2054" width="18.42578125" style="30" bestFit="1" customWidth="1"/>
    <col min="2055" max="2055" width="18" style="30" bestFit="1" customWidth="1"/>
    <col min="2056" max="2056" width="92.7109375" style="30" customWidth="1"/>
    <col min="2057" max="2304" width="31" style="30"/>
    <col min="2305" max="2305" width="8.7109375" style="30" customWidth="1"/>
    <col min="2306" max="2306" width="43.28515625" style="30" bestFit="1" customWidth="1"/>
    <col min="2307" max="2307" width="31" style="30"/>
    <col min="2308" max="2308" width="46.42578125" style="30" bestFit="1" customWidth="1"/>
    <col min="2309" max="2309" width="55.7109375" style="30" customWidth="1"/>
    <col min="2310" max="2310" width="18.42578125" style="30" bestFit="1" customWidth="1"/>
    <col min="2311" max="2311" width="18" style="30" bestFit="1" customWidth="1"/>
    <col min="2312" max="2312" width="92.7109375" style="30" customWidth="1"/>
    <col min="2313" max="2560" width="31" style="30"/>
    <col min="2561" max="2561" width="8.7109375" style="30" customWidth="1"/>
    <col min="2562" max="2562" width="43.28515625" style="30" bestFit="1" customWidth="1"/>
    <col min="2563" max="2563" width="31" style="30"/>
    <col min="2564" max="2564" width="46.42578125" style="30" bestFit="1" customWidth="1"/>
    <col min="2565" max="2565" width="55.7109375" style="30" customWidth="1"/>
    <col min="2566" max="2566" width="18.42578125" style="30" bestFit="1" customWidth="1"/>
    <col min="2567" max="2567" width="18" style="30" bestFit="1" customWidth="1"/>
    <col min="2568" max="2568" width="92.7109375" style="30" customWidth="1"/>
    <col min="2569" max="2816" width="31" style="30"/>
    <col min="2817" max="2817" width="8.7109375" style="30" customWidth="1"/>
    <col min="2818" max="2818" width="43.28515625" style="30" bestFit="1" customWidth="1"/>
    <col min="2819" max="2819" width="31" style="30"/>
    <col min="2820" max="2820" width="46.42578125" style="30" bestFit="1" customWidth="1"/>
    <col min="2821" max="2821" width="55.7109375" style="30" customWidth="1"/>
    <col min="2822" max="2822" width="18.42578125" style="30" bestFit="1" customWidth="1"/>
    <col min="2823" max="2823" width="18" style="30" bestFit="1" customWidth="1"/>
    <col min="2824" max="2824" width="92.7109375" style="30" customWidth="1"/>
    <col min="2825" max="3072" width="31" style="30"/>
    <col min="3073" max="3073" width="8.7109375" style="30" customWidth="1"/>
    <col min="3074" max="3074" width="43.28515625" style="30" bestFit="1" customWidth="1"/>
    <col min="3075" max="3075" width="31" style="30"/>
    <col min="3076" max="3076" width="46.42578125" style="30" bestFit="1" customWidth="1"/>
    <col min="3077" max="3077" width="55.7109375" style="30" customWidth="1"/>
    <col min="3078" max="3078" width="18.42578125" style="30" bestFit="1" customWidth="1"/>
    <col min="3079" max="3079" width="18" style="30" bestFit="1" customWidth="1"/>
    <col min="3080" max="3080" width="92.7109375" style="30" customWidth="1"/>
    <col min="3081" max="3328" width="31" style="30"/>
    <col min="3329" max="3329" width="8.7109375" style="30" customWidth="1"/>
    <col min="3330" max="3330" width="43.28515625" style="30" bestFit="1" customWidth="1"/>
    <col min="3331" max="3331" width="31" style="30"/>
    <col min="3332" max="3332" width="46.42578125" style="30" bestFit="1" customWidth="1"/>
    <col min="3333" max="3333" width="55.7109375" style="30" customWidth="1"/>
    <col min="3334" max="3334" width="18.42578125" style="30" bestFit="1" customWidth="1"/>
    <col min="3335" max="3335" width="18" style="30" bestFit="1" customWidth="1"/>
    <col min="3336" max="3336" width="92.7109375" style="30" customWidth="1"/>
    <col min="3337" max="3584" width="31" style="30"/>
    <col min="3585" max="3585" width="8.7109375" style="30" customWidth="1"/>
    <col min="3586" max="3586" width="43.28515625" style="30" bestFit="1" customWidth="1"/>
    <col min="3587" max="3587" width="31" style="30"/>
    <col min="3588" max="3588" width="46.42578125" style="30" bestFit="1" customWidth="1"/>
    <col min="3589" max="3589" width="55.7109375" style="30" customWidth="1"/>
    <col min="3590" max="3590" width="18.42578125" style="30" bestFit="1" customWidth="1"/>
    <col min="3591" max="3591" width="18" style="30" bestFit="1" customWidth="1"/>
    <col min="3592" max="3592" width="92.7109375" style="30" customWidth="1"/>
    <col min="3593" max="3840" width="31" style="30"/>
    <col min="3841" max="3841" width="8.7109375" style="30" customWidth="1"/>
    <col min="3842" max="3842" width="43.28515625" style="30" bestFit="1" customWidth="1"/>
    <col min="3843" max="3843" width="31" style="30"/>
    <col min="3844" max="3844" width="46.42578125" style="30" bestFit="1" customWidth="1"/>
    <col min="3845" max="3845" width="55.7109375" style="30" customWidth="1"/>
    <col min="3846" max="3846" width="18.42578125" style="30" bestFit="1" customWidth="1"/>
    <col min="3847" max="3847" width="18" style="30" bestFit="1" customWidth="1"/>
    <col min="3848" max="3848" width="92.7109375" style="30" customWidth="1"/>
    <col min="3849" max="4096" width="31" style="30"/>
    <col min="4097" max="4097" width="8.7109375" style="30" customWidth="1"/>
    <col min="4098" max="4098" width="43.28515625" style="30" bestFit="1" customWidth="1"/>
    <col min="4099" max="4099" width="31" style="30"/>
    <col min="4100" max="4100" width="46.42578125" style="30" bestFit="1" customWidth="1"/>
    <col min="4101" max="4101" width="55.7109375" style="30" customWidth="1"/>
    <col min="4102" max="4102" width="18.42578125" style="30" bestFit="1" customWidth="1"/>
    <col min="4103" max="4103" width="18" style="30" bestFit="1" customWidth="1"/>
    <col min="4104" max="4104" width="92.7109375" style="30" customWidth="1"/>
    <col min="4105" max="4352" width="31" style="30"/>
    <col min="4353" max="4353" width="8.7109375" style="30" customWidth="1"/>
    <col min="4354" max="4354" width="43.28515625" style="30" bestFit="1" customWidth="1"/>
    <col min="4355" max="4355" width="31" style="30"/>
    <col min="4356" max="4356" width="46.42578125" style="30" bestFit="1" customWidth="1"/>
    <col min="4357" max="4357" width="55.7109375" style="30" customWidth="1"/>
    <col min="4358" max="4358" width="18.42578125" style="30" bestFit="1" customWidth="1"/>
    <col min="4359" max="4359" width="18" style="30" bestFit="1" customWidth="1"/>
    <col min="4360" max="4360" width="92.7109375" style="30" customWidth="1"/>
    <col min="4361" max="4608" width="31" style="30"/>
    <col min="4609" max="4609" width="8.7109375" style="30" customWidth="1"/>
    <col min="4610" max="4610" width="43.28515625" style="30" bestFit="1" customWidth="1"/>
    <col min="4611" max="4611" width="31" style="30"/>
    <col min="4612" max="4612" width="46.42578125" style="30" bestFit="1" customWidth="1"/>
    <col min="4613" max="4613" width="55.7109375" style="30" customWidth="1"/>
    <col min="4614" max="4614" width="18.42578125" style="30" bestFit="1" customWidth="1"/>
    <col min="4615" max="4615" width="18" style="30" bestFit="1" customWidth="1"/>
    <col min="4616" max="4616" width="92.7109375" style="30" customWidth="1"/>
    <col min="4617" max="4864" width="31" style="30"/>
    <col min="4865" max="4865" width="8.7109375" style="30" customWidth="1"/>
    <col min="4866" max="4866" width="43.28515625" style="30" bestFit="1" customWidth="1"/>
    <col min="4867" max="4867" width="31" style="30"/>
    <col min="4868" max="4868" width="46.42578125" style="30" bestFit="1" customWidth="1"/>
    <col min="4869" max="4869" width="55.7109375" style="30" customWidth="1"/>
    <col min="4870" max="4870" width="18.42578125" style="30" bestFit="1" customWidth="1"/>
    <col min="4871" max="4871" width="18" style="30" bestFit="1" customWidth="1"/>
    <col min="4872" max="4872" width="92.7109375" style="30" customWidth="1"/>
    <col min="4873" max="5120" width="31" style="30"/>
    <col min="5121" max="5121" width="8.7109375" style="30" customWidth="1"/>
    <col min="5122" max="5122" width="43.28515625" style="30" bestFit="1" customWidth="1"/>
    <col min="5123" max="5123" width="31" style="30"/>
    <col min="5124" max="5124" width="46.42578125" style="30" bestFit="1" customWidth="1"/>
    <col min="5125" max="5125" width="55.7109375" style="30" customWidth="1"/>
    <col min="5126" max="5126" width="18.42578125" style="30" bestFit="1" customWidth="1"/>
    <col min="5127" max="5127" width="18" style="30" bestFit="1" customWidth="1"/>
    <col min="5128" max="5128" width="92.7109375" style="30" customWidth="1"/>
    <col min="5129" max="5376" width="31" style="30"/>
    <col min="5377" max="5377" width="8.7109375" style="30" customWidth="1"/>
    <col min="5378" max="5378" width="43.28515625" style="30" bestFit="1" customWidth="1"/>
    <col min="5379" max="5379" width="31" style="30"/>
    <col min="5380" max="5380" width="46.42578125" style="30" bestFit="1" customWidth="1"/>
    <col min="5381" max="5381" width="55.7109375" style="30" customWidth="1"/>
    <col min="5382" max="5382" width="18.42578125" style="30" bestFit="1" customWidth="1"/>
    <col min="5383" max="5383" width="18" style="30" bestFit="1" customWidth="1"/>
    <col min="5384" max="5384" width="92.7109375" style="30" customWidth="1"/>
    <col min="5385" max="5632" width="31" style="30"/>
    <col min="5633" max="5633" width="8.7109375" style="30" customWidth="1"/>
    <col min="5634" max="5634" width="43.28515625" style="30" bestFit="1" customWidth="1"/>
    <col min="5635" max="5635" width="31" style="30"/>
    <col min="5636" max="5636" width="46.42578125" style="30" bestFit="1" customWidth="1"/>
    <col min="5637" max="5637" width="55.7109375" style="30" customWidth="1"/>
    <col min="5638" max="5638" width="18.42578125" style="30" bestFit="1" customWidth="1"/>
    <col min="5639" max="5639" width="18" style="30" bestFit="1" customWidth="1"/>
    <col min="5640" max="5640" width="92.7109375" style="30" customWidth="1"/>
    <col min="5641" max="5888" width="31" style="30"/>
    <col min="5889" max="5889" width="8.7109375" style="30" customWidth="1"/>
    <col min="5890" max="5890" width="43.28515625" style="30" bestFit="1" customWidth="1"/>
    <col min="5891" max="5891" width="31" style="30"/>
    <col min="5892" max="5892" width="46.42578125" style="30" bestFit="1" customWidth="1"/>
    <col min="5893" max="5893" width="55.7109375" style="30" customWidth="1"/>
    <col min="5894" max="5894" width="18.42578125" style="30" bestFit="1" customWidth="1"/>
    <col min="5895" max="5895" width="18" style="30" bestFit="1" customWidth="1"/>
    <col min="5896" max="5896" width="92.7109375" style="30" customWidth="1"/>
    <col min="5897" max="6144" width="31" style="30"/>
    <col min="6145" max="6145" width="8.7109375" style="30" customWidth="1"/>
    <col min="6146" max="6146" width="43.28515625" style="30" bestFit="1" customWidth="1"/>
    <col min="6147" max="6147" width="31" style="30"/>
    <col min="6148" max="6148" width="46.42578125" style="30" bestFit="1" customWidth="1"/>
    <col min="6149" max="6149" width="55.7109375" style="30" customWidth="1"/>
    <col min="6150" max="6150" width="18.42578125" style="30" bestFit="1" customWidth="1"/>
    <col min="6151" max="6151" width="18" style="30" bestFit="1" customWidth="1"/>
    <col min="6152" max="6152" width="92.7109375" style="30" customWidth="1"/>
    <col min="6153" max="6400" width="31" style="30"/>
    <col min="6401" max="6401" width="8.7109375" style="30" customWidth="1"/>
    <col min="6402" max="6402" width="43.28515625" style="30" bestFit="1" customWidth="1"/>
    <col min="6403" max="6403" width="31" style="30"/>
    <col min="6404" max="6404" width="46.42578125" style="30" bestFit="1" customWidth="1"/>
    <col min="6405" max="6405" width="55.7109375" style="30" customWidth="1"/>
    <col min="6406" max="6406" width="18.42578125" style="30" bestFit="1" customWidth="1"/>
    <col min="6407" max="6407" width="18" style="30" bestFit="1" customWidth="1"/>
    <col min="6408" max="6408" width="92.7109375" style="30" customWidth="1"/>
    <col min="6409" max="6656" width="31" style="30"/>
    <col min="6657" max="6657" width="8.7109375" style="30" customWidth="1"/>
    <col min="6658" max="6658" width="43.28515625" style="30" bestFit="1" customWidth="1"/>
    <col min="6659" max="6659" width="31" style="30"/>
    <col min="6660" max="6660" width="46.42578125" style="30" bestFit="1" customWidth="1"/>
    <col min="6661" max="6661" width="55.7109375" style="30" customWidth="1"/>
    <col min="6662" max="6662" width="18.42578125" style="30" bestFit="1" customWidth="1"/>
    <col min="6663" max="6663" width="18" style="30" bestFit="1" customWidth="1"/>
    <col min="6664" max="6664" width="92.7109375" style="30" customWidth="1"/>
    <col min="6665" max="6912" width="31" style="30"/>
    <col min="6913" max="6913" width="8.7109375" style="30" customWidth="1"/>
    <col min="6914" max="6914" width="43.28515625" style="30" bestFit="1" customWidth="1"/>
    <col min="6915" max="6915" width="31" style="30"/>
    <col min="6916" max="6916" width="46.42578125" style="30" bestFit="1" customWidth="1"/>
    <col min="6917" max="6917" width="55.7109375" style="30" customWidth="1"/>
    <col min="6918" max="6918" width="18.42578125" style="30" bestFit="1" customWidth="1"/>
    <col min="6919" max="6919" width="18" style="30" bestFit="1" customWidth="1"/>
    <col min="6920" max="6920" width="92.7109375" style="30" customWidth="1"/>
    <col min="6921" max="7168" width="31" style="30"/>
    <col min="7169" max="7169" width="8.7109375" style="30" customWidth="1"/>
    <col min="7170" max="7170" width="43.28515625" style="30" bestFit="1" customWidth="1"/>
    <col min="7171" max="7171" width="31" style="30"/>
    <col min="7172" max="7172" width="46.42578125" style="30" bestFit="1" customWidth="1"/>
    <col min="7173" max="7173" width="55.7109375" style="30" customWidth="1"/>
    <col min="7174" max="7174" width="18.42578125" style="30" bestFit="1" customWidth="1"/>
    <col min="7175" max="7175" width="18" style="30" bestFit="1" customWidth="1"/>
    <col min="7176" max="7176" width="92.7109375" style="30" customWidth="1"/>
    <col min="7177" max="7424" width="31" style="30"/>
    <col min="7425" max="7425" width="8.7109375" style="30" customWidth="1"/>
    <col min="7426" max="7426" width="43.28515625" style="30" bestFit="1" customWidth="1"/>
    <col min="7427" max="7427" width="31" style="30"/>
    <col min="7428" max="7428" width="46.42578125" style="30" bestFit="1" customWidth="1"/>
    <col min="7429" max="7429" width="55.7109375" style="30" customWidth="1"/>
    <col min="7430" max="7430" width="18.42578125" style="30" bestFit="1" customWidth="1"/>
    <col min="7431" max="7431" width="18" style="30" bestFit="1" customWidth="1"/>
    <col min="7432" max="7432" width="92.7109375" style="30" customWidth="1"/>
    <col min="7433" max="7680" width="31" style="30"/>
    <col min="7681" max="7681" width="8.7109375" style="30" customWidth="1"/>
    <col min="7682" max="7682" width="43.28515625" style="30" bestFit="1" customWidth="1"/>
    <col min="7683" max="7683" width="31" style="30"/>
    <col min="7684" max="7684" width="46.42578125" style="30" bestFit="1" customWidth="1"/>
    <col min="7685" max="7685" width="55.7109375" style="30" customWidth="1"/>
    <col min="7686" max="7686" width="18.42578125" style="30" bestFit="1" customWidth="1"/>
    <col min="7687" max="7687" width="18" style="30" bestFit="1" customWidth="1"/>
    <col min="7688" max="7688" width="92.7109375" style="30" customWidth="1"/>
    <col min="7689" max="7936" width="31" style="30"/>
    <col min="7937" max="7937" width="8.7109375" style="30" customWidth="1"/>
    <col min="7938" max="7938" width="43.28515625" style="30" bestFit="1" customWidth="1"/>
    <col min="7939" max="7939" width="31" style="30"/>
    <col min="7940" max="7940" width="46.42578125" style="30" bestFit="1" customWidth="1"/>
    <col min="7941" max="7941" width="55.7109375" style="30" customWidth="1"/>
    <col min="7942" max="7942" width="18.42578125" style="30" bestFit="1" customWidth="1"/>
    <col min="7943" max="7943" width="18" style="30" bestFit="1" customWidth="1"/>
    <col min="7944" max="7944" width="92.7109375" style="30" customWidth="1"/>
    <col min="7945" max="8192" width="31" style="30"/>
    <col min="8193" max="8193" width="8.7109375" style="30" customWidth="1"/>
    <col min="8194" max="8194" width="43.28515625" style="30" bestFit="1" customWidth="1"/>
    <col min="8195" max="8195" width="31" style="30"/>
    <col min="8196" max="8196" width="46.42578125" style="30" bestFit="1" customWidth="1"/>
    <col min="8197" max="8197" width="55.7109375" style="30" customWidth="1"/>
    <col min="8198" max="8198" width="18.42578125" style="30" bestFit="1" customWidth="1"/>
    <col min="8199" max="8199" width="18" style="30" bestFit="1" customWidth="1"/>
    <col min="8200" max="8200" width="92.7109375" style="30" customWidth="1"/>
    <col min="8201" max="8448" width="31" style="30"/>
    <col min="8449" max="8449" width="8.7109375" style="30" customWidth="1"/>
    <col min="8450" max="8450" width="43.28515625" style="30" bestFit="1" customWidth="1"/>
    <col min="8451" max="8451" width="31" style="30"/>
    <col min="8452" max="8452" width="46.42578125" style="30" bestFit="1" customWidth="1"/>
    <col min="8453" max="8453" width="55.7109375" style="30" customWidth="1"/>
    <col min="8454" max="8454" width="18.42578125" style="30" bestFit="1" customWidth="1"/>
    <col min="8455" max="8455" width="18" style="30" bestFit="1" customWidth="1"/>
    <col min="8456" max="8456" width="92.7109375" style="30" customWidth="1"/>
    <col min="8457" max="8704" width="31" style="30"/>
    <col min="8705" max="8705" width="8.7109375" style="30" customWidth="1"/>
    <col min="8706" max="8706" width="43.28515625" style="30" bestFit="1" customWidth="1"/>
    <col min="8707" max="8707" width="31" style="30"/>
    <col min="8708" max="8708" width="46.42578125" style="30" bestFit="1" customWidth="1"/>
    <col min="8709" max="8709" width="55.7109375" style="30" customWidth="1"/>
    <col min="8710" max="8710" width="18.42578125" style="30" bestFit="1" customWidth="1"/>
    <col min="8711" max="8711" width="18" style="30" bestFit="1" customWidth="1"/>
    <col min="8712" max="8712" width="92.7109375" style="30" customWidth="1"/>
    <col min="8713" max="8960" width="31" style="30"/>
    <col min="8961" max="8961" width="8.7109375" style="30" customWidth="1"/>
    <col min="8962" max="8962" width="43.28515625" style="30" bestFit="1" customWidth="1"/>
    <col min="8963" max="8963" width="31" style="30"/>
    <col min="8964" max="8964" width="46.42578125" style="30" bestFit="1" customWidth="1"/>
    <col min="8965" max="8965" width="55.7109375" style="30" customWidth="1"/>
    <col min="8966" max="8966" width="18.42578125" style="30" bestFit="1" customWidth="1"/>
    <col min="8967" max="8967" width="18" style="30" bestFit="1" customWidth="1"/>
    <col min="8968" max="8968" width="92.7109375" style="30" customWidth="1"/>
    <col min="8969" max="9216" width="31" style="30"/>
    <col min="9217" max="9217" width="8.7109375" style="30" customWidth="1"/>
    <col min="9218" max="9218" width="43.28515625" style="30" bestFit="1" customWidth="1"/>
    <col min="9219" max="9219" width="31" style="30"/>
    <col min="9220" max="9220" width="46.42578125" style="30" bestFit="1" customWidth="1"/>
    <col min="9221" max="9221" width="55.7109375" style="30" customWidth="1"/>
    <col min="9222" max="9222" width="18.42578125" style="30" bestFit="1" customWidth="1"/>
    <col min="9223" max="9223" width="18" style="30" bestFit="1" customWidth="1"/>
    <col min="9224" max="9224" width="92.7109375" style="30" customWidth="1"/>
    <col min="9225" max="9472" width="31" style="30"/>
    <col min="9473" max="9473" width="8.7109375" style="30" customWidth="1"/>
    <col min="9474" max="9474" width="43.28515625" style="30" bestFit="1" customWidth="1"/>
    <col min="9475" max="9475" width="31" style="30"/>
    <col min="9476" max="9476" width="46.42578125" style="30" bestFit="1" customWidth="1"/>
    <col min="9477" max="9477" width="55.7109375" style="30" customWidth="1"/>
    <col min="9478" max="9478" width="18.42578125" style="30" bestFit="1" customWidth="1"/>
    <col min="9479" max="9479" width="18" style="30" bestFit="1" customWidth="1"/>
    <col min="9480" max="9480" width="92.7109375" style="30" customWidth="1"/>
    <col min="9481" max="9728" width="31" style="30"/>
    <col min="9729" max="9729" width="8.7109375" style="30" customWidth="1"/>
    <col min="9730" max="9730" width="43.28515625" style="30" bestFit="1" customWidth="1"/>
    <col min="9731" max="9731" width="31" style="30"/>
    <col min="9732" max="9732" width="46.42578125" style="30" bestFit="1" customWidth="1"/>
    <col min="9733" max="9733" width="55.7109375" style="30" customWidth="1"/>
    <col min="9734" max="9734" width="18.42578125" style="30" bestFit="1" customWidth="1"/>
    <col min="9735" max="9735" width="18" style="30" bestFit="1" customWidth="1"/>
    <col min="9736" max="9736" width="92.7109375" style="30" customWidth="1"/>
    <col min="9737" max="9984" width="31" style="30"/>
    <col min="9985" max="9985" width="8.7109375" style="30" customWidth="1"/>
    <col min="9986" max="9986" width="43.28515625" style="30" bestFit="1" customWidth="1"/>
    <col min="9987" max="9987" width="31" style="30"/>
    <col min="9988" max="9988" width="46.42578125" style="30" bestFit="1" customWidth="1"/>
    <col min="9989" max="9989" width="55.7109375" style="30" customWidth="1"/>
    <col min="9990" max="9990" width="18.42578125" style="30" bestFit="1" customWidth="1"/>
    <col min="9991" max="9991" width="18" style="30" bestFit="1" customWidth="1"/>
    <col min="9992" max="9992" width="92.7109375" style="30" customWidth="1"/>
    <col min="9993" max="10240" width="31" style="30"/>
    <col min="10241" max="10241" width="8.7109375" style="30" customWidth="1"/>
    <col min="10242" max="10242" width="43.28515625" style="30" bestFit="1" customWidth="1"/>
    <col min="10243" max="10243" width="31" style="30"/>
    <col min="10244" max="10244" width="46.42578125" style="30" bestFit="1" customWidth="1"/>
    <col min="10245" max="10245" width="55.7109375" style="30" customWidth="1"/>
    <col min="10246" max="10246" width="18.42578125" style="30" bestFit="1" customWidth="1"/>
    <col min="10247" max="10247" width="18" style="30" bestFit="1" customWidth="1"/>
    <col min="10248" max="10248" width="92.7109375" style="30" customWidth="1"/>
    <col min="10249" max="10496" width="31" style="30"/>
    <col min="10497" max="10497" width="8.7109375" style="30" customWidth="1"/>
    <col min="10498" max="10498" width="43.28515625" style="30" bestFit="1" customWidth="1"/>
    <col min="10499" max="10499" width="31" style="30"/>
    <col min="10500" max="10500" width="46.42578125" style="30" bestFit="1" customWidth="1"/>
    <col min="10501" max="10501" width="55.7109375" style="30" customWidth="1"/>
    <col min="10502" max="10502" width="18.42578125" style="30" bestFit="1" customWidth="1"/>
    <col min="10503" max="10503" width="18" style="30" bestFit="1" customWidth="1"/>
    <col min="10504" max="10504" width="92.7109375" style="30" customWidth="1"/>
    <col min="10505" max="10752" width="31" style="30"/>
    <col min="10753" max="10753" width="8.7109375" style="30" customWidth="1"/>
    <col min="10754" max="10754" width="43.28515625" style="30" bestFit="1" customWidth="1"/>
    <col min="10755" max="10755" width="31" style="30"/>
    <col min="10756" max="10756" width="46.42578125" style="30" bestFit="1" customWidth="1"/>
    <col min="10757" max="10757" width="55.7109375" style="30" customWidth="1"/>
    <col min="10758" max="10758" width="18.42578125" style="30" bestFit="1" customWidth="1"/>
    <col min="10759" max="10759" width="18" style="30" bestFit="1" customWidth="1"/>
    <col min="10760" max="10760" width="92.7109375" style="30" customWidth="1"/>
    <col min="10761" max="11008" width="31" style="30"/>
    <col min="11009" max="11009" width="8.7109375" style="30" customWidth="1"/>
    <col min="11010" max="11010" width="43.28515625" style="30" bestFit="1" customWidth="1"/>
    <col min="11011" max="11011" width="31" style="30"/>
    <col min="11012" max="11012" width="46.42578125" style="30" bestFit="1" customWidth="1"/>
    <col min="11013" max="11013" width="55.7109375" style="30" customWidth="1"/>
    <col min="11014" max="11014" width="18.42578125" style="30" bestFit="1" customWidth="1"/>
    <col min="11015" max="11015" width="18" style="30" bestFit="1" customWidth="1"/>
    <col min="11016" max="11016" width="92.7109375" style="30" customWidth="1"/>
    <col min="11017" max="11264" width="31" style="30"/>
    <col min="11265" max="11265" width="8.7109375" style="30" customWidth="1"/>
    <col min="11266" max="11266" width="43.28515625" style="30" bestFit="1" customWidth="1"/>
    <col min="11267" max="11267" width="31" style="30"/>
    <col min="11268" max="11268" width="46.42578125" style="30" bestFit="1" customWidth="1"/>
    <col min="11269" max="11269" width="55.7109375" style="30" customWidth="1"/>
    <col min="11270" max="11270" width="18.42578125" style="30" bestFit="1" customWidth="1"/>
    <col min="11271" max="11271" width="18" style="30" bestFit="1" customWidth="1"/>
    <col min="11272" max="11272" width="92.7109375" style="30" customWidth="1"/>
    <col min="11273" max="11520" width="31" style="30"/>
    <col min="11521" max="11521" width="8.7109375" style="30" customWidth="1"/>
    <col min="11522" max="11522" width="43.28515625" style="30" bestFit="1" customWidth="1"/>
    <col min="11523" max="11523" width="31" style="30"/>
    <col min="11524" max="11524" width="46.42578125" style="30" bestFit="1" customWidth="1"/>
    <col min="11525" max="11525" width="55.7109375" style="30" customWidth="1"/>
    <col min="11526" max="11526" width="18.42578125" style="30" bestFit="1" customWidth="1"/>
    <col min="11527" max="11527" width="18" style="30" bestFit="1" customWidth="1"/>
    <col min="11528" max="11528" width="92.7109375" style="30" customWidth="1"/>
    <col min="11529" max="11776" width="31" style="30"/>
    <col min="11777" max="11777" width="8.7109375" style="30" customWidth="1"/>
    <col min="11778" max="11778" width="43.28515625" style="30" bestFit="1" customWidth="1"/>
    <col min="11779" max="11779" width="31" style="30"/>
    <col min="11780" max="11780" width="46.42578125" style="30" bestFit="1" customWidth="1"/>
    <col min="11781" max="11781" width="55.7109375" style="30" customWidth="1"/>
    <col min="11782" max="11782" width="18.42578125" style="30" bestFit="1" customWidth="1"/>
    <col min="11783" max="11783" width="18" style="30" bestFit="1" customWidth="1"/>
    <col min="11784" max="11784" width="92.7109375" style="30" customWidth="1"/>
    <col min="11785" max="12032" width="31" style="30"/>
    <col min="12033" max="12033" width="8.7109375" style="30" customWidth="1"/>
    <col min="12034" max="12034" width="43.28515625" style="30" bestFit="1" customWidth="1"/>
    <col min="12035" max="12035" width="31" style="30"/>
    <col min="12036" max="12036" width="46.42578125" style="30" bestFit="1" customWidth="1"/>
    <col min="12037" max="12037" width="55.7109375" style="30" customWidth="1"/>
    <col min="12038" max="12038" width="18.42578125" style="30" bestFit="1" customWidth="1"/>
    <col min="12039" max="12039" width="18" style="30" bestFit="1" customWidth="1"/>
    <col min="12040" max="12040" width="92.7109375" style="30" customWidth="1"/>
    <col min="12041" max="12288" width="31" style="30"/>
    <col min="12289" max="12289" width="8.7109375" style="30" customWidth="1"/>
    <col min="12290" max="12290" width="43.28515625" style="30" bestFit="1" customWidth="1"/>
    <col min="12291" max="12291" width="31" style="30"/>
    <col min="12292" max="12292" width="46.42578125" style="30" bestFit="1" customWidth="1"/>
    <col min="12293" max="12293" width="55.7109375" style="30" customWidth="1"/>
    <col min="12294" max="12294" width="18.42578125" style="30" bestFit="1" customWidth="1"/>
    <col min="12295" max="12295" width="18" style="30" bestFit="1" customWidth="1"/>
    <col min="12296" max="12296" width="92.7109375" style="30" customWidth="1"/>
    <col min="12297" max="12544" width="31" style="30"/>
    <col min="12545" max="12545" width="8.7109375" style="30" customWidth="1"/>
    <col min="12546" max="12546" width="43.28515625" style="30" bestFit="1" customWidth="1"/>
    <col min="12547" max="12547" width="31" style="30"/>
    <col min="12548" max="12548" width="46.42578125" style="30" bestFit="1" customWidth="1"/>
    <col min="12549" max="12549" width="55.7109375" style="30" customWidth="1"/>
    <col min="12550" max="12550" width="18.42578125" style="30" bestFit="1" customWidth="1"/>
    <col min="12551" max="12551" width="18" style="30" bestFit="1" customWidth="1"/>
    <col min="12552" max="12552" width="92.7109375" style="30" customWidth="1"/>
    <col min="12553" max="12800" width="31" style="30"/>
    <col min="12801" max="12801" width="8.7109375" style="30" customWidth="1"/>
    <col min="12802" max="12802" width="43.28515625" style="30" bestFit="1" customWidth="1"/>
    <col min="12803" max="12803" width="31" style="30"/>
    <col min="12804" max="12804" width="46.42578125" style="30" bestFit="1" customWidth="1"/>
    <col min="12805" max="12805" width="55.7109375" style="30" customWidth="1"/>
    <col min="12806" max="12806" width="18.42578125" style="30" bestFit="1" customWidth="1"/>
    <col min="12807" max="12807" width="18" style="30" bestFit="1" customWidth="1"/>
    <col min="12808" max="12808" width="92.7109375" style="30" customWidth="1"/>
    <col min="12809" max="13056" width="31" style="30"/>
    <col min="13057" max="13057" width="8.7109375" style="30" customWidth="1"/>
    <col min="13058" max="13058" width="43.28515625" style="30" bestFit="1" customWidth="1"/>
    <col min="13059" max="13059" width="31" style="30"/>
    <col min="13060" max="13060" width="46.42578125" style="30" bestFit="1" customWidth="1"/>
    <col min="13061" max="13061" width="55.7109375" style="30" customWidth="1"/>
    <col min="13062" max="13062" width="18.42578125" style="30" bestFit="1" customWidth="1"/>
    <col min="13063" max="13063" width="18" style="30" bestFit="1" customWidth="1"/>
    <col min="13064" max="13064" width="92.7109375" style="30" customWidth="1"/>
    <col min="13065" max="13312" width="31" style="30"/>
    <col min="13313" max="13313" width="8.7109375" style="30" customWidth="1"/>
    <col min="13314" max="13314" width="43.28515625" style="30" bestFit="1" customWidth="1"/>
    <col min="13315" max="13315" width="31" style="30"/>
    <col min="13316" max="13316" width="46.42578125" style="30" bestFit="1" customWidth="1"/>
    <col min="13317" max="13317" width="55.7109375" style="30" customWidth="1"/>
    <col min="13318" max="13318" width="18.42578125" style="30" bestFit="1" customWidth="1"/>
    <col min="13319" max="13319" width="18" style="30" bestFit="1" customWidth="1"/>
    <col min="13320" max="13320" width="92.7109375" style="30" customWidth="1"/>
    <col min="13321" max="13568" width="31" style="30"/>
    <col min="13569" max="13569" width="8.7109375" style="30" customWidth="1"/>
    <col min="13570" max="13570" width="43.28515625" style="30" bestFit="1" customWidth="1"/>
    <col min="13571" max="13571" width="31" style="30"/>
    <col min="13572" max="13572" width="46.42578125" style="30" bestFit="1" customWidth="1"/>
    <col min="13573" max="13573" width="55.7109375" style="30" customWidth="1"/>
    <col min="13574" max="13574" width="18.42578125" style="30" bestFit="1" customWidth="1"/>
    <col min="13575" max="13575" width="18" style="30" bestFit="1" customWidth="1"/>
    <col min="13576" max="13576" width="92.7109375" style="30" customWidth="1"/>
    <col min="13577" max="13824" width="31" style="30"/>
    <col min="13825" max="13825" width="8.7109375" style="30" customWidth="1"/>
    <col min="13826" max="13826" width="43.28515625" style="30" bestFit="1" customWidth="1"/>
    <col min="13827" max="13827" width="31" style="30"/>
    <col min="13828" max="13828" width="46.42578125" style="30" bestFit="1" customWidth="1"/>
    <col min="13829" max="13829" width="55.7109375" style="30" customWidth="1"/>
    <col min="13830" max="13830" width="18.42578125" style="30" bestFit="1" customWidth="1"/>
    <col min="13831" max="13831" width="18" style="30" bestFit="1" customWidth="1"/>
    <col min="13832" max="13832" width="92.7109375" style="30" customWidth="1"/>
    <col min="13833" max="14080" width="31" style="30"/>
    <col min="14081" max="14081" width="8.7109375" style="30" customWidth="1"/>
    <col min="14082" max="14082" width="43.28515625" style="30" bestFit="1" customWidth="1"/>
    <col min="14083" max="14083" width="31" style="30"/>
    <col min="14084" max="14084" width="46.42578125" style="30" bestFit="1" customWidth="1"/>
    <col min="14085" max="14085" width="55.7109375" style="30" customWidth="1"/>
    <col min="14086" max="14086" width="18.42578125" style="30" bestFit="1" customWidth="1"/>
    <col min="14087" max="14087" width="18" style="30" bestFit="1" customWidth="1"/>
    <col min="14088" max="14088" width="92.7109375" style="30" customWidth="1"/>
    <col min="14089" max="14336" width="31" style="30"/>
    <col min="14337" max="14337" width="8.7109375" style="30" customWidth="1"/>
    <col min="14338" max="14338" width="43.28515625" style="30" bestFit="1" customWidth="1"/>
    <col min="14339" max="14339" width="31" style="30"/>
    <col min="14340" max="14340" width="46.42578125" style="30" bestFit="1" customWidth="1"/>
    <col min="14341" max="14341" width="55.7109375" style="30" customWidth="1"/>
    <col min="14342" max="14342" width="18.42578125" style="30" bestFit="1" customWidth="1"/>
    <col min="14343" max="14343" width="18" style="30" bestFit="1" customWidth="1"/>
    <col min="14344" max="14344" width="92.7109375" style="30" customWidth="1"/>
    <col min="14345" max="14592" width="31" style="30"/>
    <col min="14593" max="14593" width="8.7109375" style="30" customWidth="1"/>
    <col min="14594" max="14594" width="43.28515625" style="30" bestFit="1" customWidth="1"/>
    <col min="14595" max="14595" width="31" style="30"/>
    <col min="14596" max="14596" width="46.42578125" style="30" bestFit="1" customWidth="1"/>
    <col min="14597" max="14597" width="55.7109375" style="30" customWidth="1"/>
    <col min="14598" max="14598" width="18.42578125" style="30" bestFit="1" customWidth="1"/>
    <col min="14599" max="14599" width="18" style="30" bestFit="1" customWidth="1"/>
    <col min="14600" max="14600" width="92.7109375" style="30" customWidth="1"/>
    <col min="14601" max="14848" width="31" style="30"/>
    <col min="14849" max="14849" width="8.7109375" style="30" customWidth="1"/>
    <col min="14850" max="14850" width="43.28515625" style="30" bestFit="1" customWidth="1"/>
    <col min="14851" max="14851" width="31" style="30"/>
    <col min="14852" max="14852" width="46.42578125" style="30" bestFit="1" customWidth="1"/>
    <col min="14853" max="14853" width="55.7109375" style="30" customWidth="1"/>
    <col min="14854" max="14854" width="18.42578125" style="30" bestFit="1" customWidth="1"/>
    <col min="14855" max="14855" width="18" style="30" bestFit="1" customWidth="1"/>
    <col min="14856" max="14856" width="92.7109375" style="30" customWidth="1"/>
    <col min="14857" max="15104" width="31" style="30"/>
    <col min="15105" max="15105" width="8.7109375" style="30" customWidth="1"/>
    <col min="15106" max="15106" width="43.28515625" style="30" bestFit="1" customWidth="1"/>
    <col min="15107" max="15107" width="31" style="30"/>
    <col min="15108" max="15108" width="46.42578125" style="30" bestFit="1" customWidth="1"/>
    <col min="15109" max="15109" width="55.7109375" style="30" customWidth="1"/>
    <col min="15110" max="15110" width="18.42578125" style="30" bestFit="1" customWidth="1"/>
    <col min="15111" max="15111" width="18" style="30" bestFit="1" customWidth="1"/>
    <col min="15112" max="15112" width="92.7109375" style="30" customWidth="1"/>
    <col min="15113" max="15360" width="31" style="30"/>
    <col min="15361" max="15361" width="8.7109375" style="30" customWidth="1"/>
    <col min="15362" max="15362" width="43.28515625" style="30" bestFit="1" customWidth="1"/>
    <col min="15363" max="15363" width="31" style="30"/>
    <col min="15364" max="15364" width="46.42578125" style="30" bestFit="1" customWidth="1"/>
    <col min="15365" max="15365" width="55.7109375" style="30" customWidth="1"/>
    <col min="15366" max="15366" width="18.42578125" style="30" bestFit="1" customWidth="1"/>
    <col min="15367" max="15367" width="18" style="30" bestFit="1" customWidth="1"/>
    <col min="15368" max="15368" width="92.7109375" style="30" customWidth="1"/>
    <col min="15369" max="15616" width="31" style="30"/>
    <col min="15617" max="15617" width="8.7109375" style="30" customWidth="1"/>
    <col min="15618" max="15618" width="43.28515625" style="30" bestFit="1" customWidth="1"/>
    <col min="15619" max="15619" width="31" style="30"/>
    <col min="15620" max="15620" width="46.42578125" style="30" bestFit="1" customWidth="1"/>
    <col min="15621" max="15621" width="55.7109375" style="30" customWidth="1"/>
    <col min="15622" max="15622" width="18.42578125" style="30" bestFit="1" customWidth="1"/>
    <col min="15623" max="15623" width="18" style="30" bestFit="1" customWidth="1"/>
    <col min="15624" max="15624" width="92.7109375" style="30" customWidth="1"/>
    <col min="15625" max="15872" width="31" style="30"/>
    <col min="15873" max="15873" width="8.7109375" style="30" customWidth="1"/>
    <col min="15874" max="15874" width="43.28515625" style="30" bestFit="1" customWidth="1"/>
    <col min="15875" max="15875" width="31" style="30"/>
    <col min="15876" max="15876" width="46.42578125" style="30" bestFit="1" customWidth="1"/>
    <col min="15877" max="15877" width="55.7109375" style="30" customWidth="1"/>
    <col min="15878" max="15878" width="18.42578125" style="30" bestFit="1" customWidth="1"/>
    <col min="15879" max="15879" width="18" style="30" bestFit="1" customWidth="1"/>
    <col min="15880" max="15880" width="92.7109375" style="30" customWidth="1"/>
    <col min="15881" max="16128" width="31" style="30"/>
    <col min="16129" max="16129" width="8.7109375" style="30" customWidth="1"/>
    <col min="16130" max="16130" width="43.28515625" style="30" bestFit="1" customWidth="1"/>
    <col min="16131" max="16131" width="31" style="30"/>
    <col min="16132" max="16132" width="46.42578125" style="30" bestFit="1" customWidth="1"/>
    <col min="16133" max="16133" width="55.7109375" style="30" customWidth="1"/>
    <col min="16134" max="16134" width="18.42578125" style="30" bestFit="1" customWidth="1"/>
    <col min="16135" max="16135" width="18" style="30" bestFit="1" customWidth="1"/>
    <col min="16136" max="16136" width="92.7109375" style="30" customWidth="1"/>
    <col min="16137" max="16384" width="31" style="30"/>
  </cols>
  <sheetData>
    <row r="1" spans="1:8" s="24" customFormat="1" ht="27.6" customHeight="1" thickBot="1" x14ac:dyDescent="0.25">
      <c r="A1" s="20" t="s">
        <v>754</v>
      </c>
      <c r="B1" s="21" t="s">
        <v>755</v>
      </c>
      <c r="C1" s="21" t="s">
        <v>756</v>
      </c>
      <c r="D1" s="21" t="s">
        <v>757</v>
      </c>
      <c r="E1" s="21" t="s">
        <v>758</v>
      </c>
      <c r="F1" s="22" t="s">
        <v>759</v>
      </c>
      <c r="G1" s="22" t="s">
        <v>760</v>
      </c>
      <c r="H1" s="23" t="s">
        <v>761</v>
      </c>
    </row>
    <row r="2" spans="1:8" ht="27" customHeight="1" x14ac:dyDescent="0.2">
      <c r="A2" s="25" t="s">
        <v>762</v>
      </c>
      <c r="B2" s="26" t="s">
        <v>98</v>
      </c>
      <c r="C2" s="26" t="s">
        <v>763</v>
      </c>
      <c r="D2" s="26" t="s">
        <v>763</v>
      </c>
      <c r="E2" s="27" t="s">
        <v>764</v>
      </c>
      <c r="F2" s="28">
        <v>6444000</v>
      </c>
      <c r="G2" s="28">
        <v>11944000</v>
      </c>
      <c r="H2" s="29" t="s">
        <v>765</v>
      </c>
    </row>
    <row r="3" spans="1:8" ht="27" customHeight="1" x14ac:dyDescent="0.2">
      <c r="A3" s="31" t="s">
        <v>762</v>
      </c>
      <c r="B3" s="32" t="s">
        <v>98</v>
      </c>
      <c r="C3" s="32" t="s">
        <v>766</v>
      </c>
      <c r="D3" s="32" t="s">
        <v>767</v>
      </c>
      <c r="E3" s="33" t="s">
        <v>768</v>
      </c>
      <c r="F3" s="34">
        <v>1294717</v>
      </c>
      <c r="G3" s="34">
        <v>1127739</v>
      </c>
      <c r="H3" s="35" t="s">
        <v>769</v>
      </c>
    </row>
    <row r="4" spans="1:8" ht="27" customHeight="1" x14ac:dyDescent="0.2">
      <c r="A4" s="31" t="s">
        <v>762</v>
      </c>
      <c r="B4" s="32" t="s">
        <v>98</v>
      </c>
      <c r="C4" s="32" t="s">
        <v>770</v>
      </c>
      <c r="D4" s="32" t="s">
        <v>771</v>
      </c>
      <c r="E4" s="33" t="s">
        <v>772</v>
      </c>
      <c r="F4" s="34">
        <v>9840000</v>
      </c>
      <c r="G4" s="34">
        <v>9840000</v>
      </c>
      <c r="H4" s="35" t="s">
        <v>765</v>
      </c>
    </row>
    <row r="5" spans="1:8" ht="27" customHeight="1" x14ac:dyDescent="0.2">
      <c r="A5" s="31" t="s">
        <v>762</v>
      </c>
      <c r="B5" s="32" t="s">
        <v>98</v>
      </c>
      <c r="C5" s="32" t="s">
        <v>773</v>
      </c>
      <c r="D5" s="32" t="s">
        <v>774</v>
      </c>
      <c r="E5" s="33" t="s">
        <v>775</v>
      </c>
      <c r="F5" s="34">
        <v>753618</v>
      </c>
      <c r="G5" s="34">
        <v>753618</v>
      </c>
      <c r="H5" s="35" t="s">
        <v>765</v>
      </c>
    </row>
    <row r="6" spans="1:8" ht="27" customHeight="1" x14ac:dyDescent="0.2">
      <c r="A6" s="31" t="s">
        <v>762</v>
      </c>
      <c r="B6" s="32" t="s">
        <v>98</v>
      </c>
      <c r="C6" s="32" t="s">
        <v>776</v>
      </c>
      <c r="D6" s="32" t="s">
        <v>776</v>
      </c>
      <c r="E6" s="33" t="s">
        <v>777</v>
      </c>
      <c r="F6" s="34">
        <v>2287752</v>
      </c>
      <c r="G6" s="34">
        <v>2287752</v>
      </c>
      <c r="H6" s="35" t="s">
        <v>778</v>
      </c>
    </row>
    <row r="7" spans="1:8" ht="27" customHeight="1" x14ac:dyDescent="0.2">
      <c r="A7" s="31" t="s">
        <v>762</v>
      </c>
      <c r="B7" s="32" t="s">
        <v>98</v>
      </c>
      <c r="C7" s="32" t="s">
        <v>779</v>
      </c>
      <c r="D7" s="32" t="s">
        <v>779</v>
      </c>
      <c r="E7" s="33" t="s">
        <v>780</v>
      </c>
      <c r="F7" s="34">
        <v>41567</v>
      </c>
      <c r="G7" s="34">
        <v>41567</v>
      </c>
      <c r="H7" s="35" t="s">
        <v>781</v>
      </c>
    </row>
    <row r="8" spans="1:8" ht="27" customHeight="1" x14ac:dyDescent="0.2">
      <c r="A8" s="31" t="s">
        <v>762</v>
      </c>
      <c r="B8" s="32" t="s">
        <v>98</v>
      </c>
      <c r="C8" s="32" t="s">
        <v>782</v>
      </c>
      <c r="D8" s="32" t="s">
        <v>783</v>
      </c>
      <c r="E8" s="33" t="s">
        <v>784</v>
      </c>
      <c r="F8" s="34">
        <v>170000</v>
      </c>
      <c r="G8" s="34">
        <v>170000</v>
      </c>
      <c r="H8" s="35" t="s">
        <v>785</v>
      </c>
    </row>
    <row r="9" spans="1:8" ht="27" customHeight="1" x14ac:dyDescent="0.2">
      <c r="A9" s="31" t="s">
        <v>786</v>
      </c>
      <c r="B9" s="32" t="s">
        <v>787</v>
      </c>
      <c r="C9" s="32" t="s">
        <v>763</v>
      </c>
      <c r="D9" s="32" t="s">
        <v>788</v>
      </c>
      <c r="E9" s="33" t="s">
        <v>764</v>
      </c>
      <c r="F9" s="34">
        <v>341838</v>
      </c>
      <c r="G9" s="34">
        <v>341838</v>
      </c>
      <c r="H9" s="35" t="s">
        <v>789</v>
      </c>
    </row>
    <row r="10" spans="1:8" ht="27" customHeight="1" x14ac:dyDescent="0.2">
      <c r="A10" s="31" t="s">
        <v>786</v>
      </c>
      <c r="B10" s="32" t="s">
        <v>787</v>
      </c>
      <c r="C10" s="32" t="s">
        <v>763</v>
      </c>
      <c r="D10" s="32" t="s">
        <v>790</v>
      </c>
      <c r="E10" s="33" t="s">
        <v>764</v>
      </c>
      <c r="F10" s="34">
        <v>2000000</v>
      </c>
      <c r="G10" s="34">
        <v>2000000</v>
      </c>
      <c r="H10" s="35" t="s">
        <v>791</v>
      </c>
    </row>
    <row r="11" spans="1:8" ht="27" customHeight="1" x14ac:dyDescent="0.2">
      <c r="A11" s="31" t="s">
        <v>786</v>
      </c>
      <c r="B11" s="32" t="s">
        <v>787</v>
      </c>
      <c r="C11" s="32" t="s">
        <v>766</v>
      </c>
      <c r="D11" s="32" t="s">
        <v>792</v>
      </c>
      <c r="E11" s="33" t="s">
        <v>768</v>
      </c>
      <c r="F11" s="34">
        <v>62690</v>
      </c>
      <c r="G11" s="34">
        <v>37690</v>
      </c>
      <c r="H11" s="35" t="s">
        <v>793</v>
      </c>
    </row>
    <row r="12" spans="1:8" ht="27" customHeight="1" x14ac:dyDescent="0.2">
      <c r="A12" s="31" t="s">
        <v>786</v>
      </c>
      <c r="B12" s="32" t="s">
        <v>787</v>
      </c>
      <c r="C12" s="32" t="s">
        <v>770</v>
      </c>
      <c r="D12" s="32" t="s">
        <v>794</v>
      </c>
      <c r="E12" s="33" t="s">
        <v>772</v>
      </c>
      <c r="F12" s="34">
        <v>409108</v>
      </c>
      <c r="G12" s="34">
        <v>309108</v>
      </c>
      <c r="H12" s="35" t="s">
        <v>795</v>
      </c>
    </row>
    <row r="13" spans="1:8" ht="27" customHeight="1" x14ac:dyDescent="0.2">
      <c r="A13" s="31" t="s">
        <v>786</v>
      </c>
      <c r="B13" s="32" t="s">
        <v>787</v>
      </c>
      <c r="C13" s="32" t="s">
        <v>796</v>
      </c>
      <c r="D13" s="32" t="s">
        <v>796</v>
      </c>
      <c r="E13" s="33" t="s">
        <v>772</v>
      </c>
      <c r="F13" s="34">
        <v>936424</v>
      </c>
      <c r="G13" s="34">
        <v>836424</v>
      </c>
      <c r="H13" s="35" t="s">
        <v>797</v>
      </c>
    </row>
    <row r="14" spans="1:8" ht="27" customHeight="1" x14ac:dyDescent="0.2">
      <c r="A14" s="31" t="s">
        <v>786</v>
      </c>
      <c r="B14" s="32" t="s">
        <v>787</v>
      </c>
      <c r="C14" s="32" t="s">
        <v>798</v>
      </c>
      <c r="D14" s="32" t="s">
        <v>799</v>
      </c>
      <c r="E14" s="33" t="s">
        <v>800</v>
      </c>
      <c r="F14" s="34">
        <v>20473</v>
      </c>
      <c r="G14" s="34">
        <v>14473</v>
      </c>
      <c r="H14" s="35" t="s">
        <v>801</v>
      </c>
    </row>
    <row r="15" spans="1:8" ht="27" customHeight="1" x14ac:dyDescent="0.2">
      <c r="A15" s="31" t="s">
        <v>786</v>
      </c>
      <c r="B15" s="32" t="s">
        <v>787</v>
      </c>
      <c r="C15" s="32" t="s">
        <v>779</v>
      </c>
      <c r="D15" s="32" t="s">
        <v>802</v>
      </c>
      <c r="E15" s="33" t="s">
        <v>780</v>
      </c>
      <c r="F15" s="34">
        <v>141973</v>
      </c>
      <c r="G15" s="34">
        <v>141973</v>
      </c>
      <c r="H15" s="35" t="s">
        <v>803</v>
      </c>
    </row>
    <row r="16" spans="1:8" ht="27" customHeight="1" x14ac:dyDescent="0.2">
      <c r="A16" s="31" t="s">
        <v>804</v>
      </c>
      <c r="B16" s="32" t="s">
        <v>805</v>
      </c>
      <c r="C16" s="32" t="s">
        <v>763</v>
      </c>
      <c r="D16" s="32" t="s">
        <v>806</v>
      </c>
      <c r="E16" s="33" t="s">
        <v>764</v>
      </c>
      <c r="F16" s="34">
        <v>7200000</v>
      </c>
      <c r="G16" s="34">
        <v>9339000</v>
      </c>
      <c r="H16" s="35" t="s">
        <v>807</v>
      </c>
    </row>
    <row r="17" spans="1:8" ht="27" customHeight="1" x14ac:dyDescent="0.2">
      <c r="A17" s="31" t="s">
        <v>804</v>
      </c>
      <c r="B17" s="32" t="s">
        <v>805</v>
      </c>
      <c r="C17" s="32" t="s">
        <v>766</v>
      </c>
      <c r="D17" s="32" t="s">
        <v>808</v>
      </c>
      <c r="E17" s="33" t="s">
        <v>768</v>
      </c>
      <c r="F17" s="34">
        <v>227746</v>
      </c>
      <c r="G17" s="34">
        <v>182370</v>
      </c>
      <c r="H17" s="35" t="s">
        <v>809</v>
      </c>
    </row>
    <row r="18" spans="1:8" ht="27" customHeight="1" x14ac:dyDescent="0.2">
      <c r="A18" s="31" t="s">
        <v>804</v>
      </c>
      <c r="B18" s="32" t="s">
        <v>805</v>
      </c>
      <c r="C18" s="32" t="s">
        <v>770</v>
      </c>
      <c r="D18" s="32" t="s">
        <v>810</v>
      </c>
      <c r="E18" s="33" t="s">
        <v>772</v>
      </c>
      <c r="F18" s="34">
        <v>1400000</v>
      </c>
      <c r="G18" s="34">
        <v>1400000</v>
      </c>
      <c r="H18" s="35" t="s">
        <v>809</v>
      </c>
    </row>
    <row r="19" spans="1:8" ht="27" customHeight="1" x14ac:dyDescent="0.2">
      <c r="A19" s="31" t="s">
        <v>804</v>
      </c>
      <c r="B19" s="32" t="s">
        <v>805</v>
      </c>
      <c r="C19" s="32" t="s">
        <v>796</v>
      </c>
      <c r="D19" s="32" t="s">
        <v>811</v>
      </c>
      <c r="E19" s="33" t="s">
        <v>772</v>
      </c>
      <c r="F19" s="34">
        <v>2677000</v>
      </c>
      <c r="G19" s="34">
        <v>2677000</v>
      </c>
      <c r="H19" s="35" t="s">
        <v>809</v>
      </c>
    </row>
    <row r="20" spans="1:8" ht="27" customHeight="1" x14ac:dyDescent="0.2">
      <c r="A20" s="31" t="s">
        <v>804</v>
      </c>
      <c r="B20" s="32" t="s">
        <v>805</v>
      </c>
      <c r="C20" s="32" t="s">
        <v>776</v>
      </c>
      <c r="D20" s="32" t="s">
        <v>812</v>
      </c>
      <c r="E20" s="33" t="s">
        <v>777</v>
      </c>
      <c r="F20" s="34">
        <v>300000</v>
      </c>
      <c r="G20" s="34">
        <v>300000</v>
      </c>
      <c r="H20" s="35" t="s">
        <v>809</v>
      </c>
    </row>
    <row r="21" spans="1:8" ht="27" customHeight="1" x14ac:dyDescent="0.2">
      <c r="A21" s="31" t="s">
        <v>804</v>
      </c>
      <c r="B21" s="32" t="s">
        <v>805</v>
      </c>
      <c r="C21" s="32" t="s">
        <v>782</v>
      </c>
      <c r="D21" s="32" t="s">
        <v>813</v>
      </c>
      <c r="E21" s="33" t="s">
        <v>784</v>
      </c>
      <c r="F21" s="34">
        <v>1440000</v>
      </c>
      <c r="G21" s="34">
        <v>1440000</v>
      </c>
      <c r="H21" s="35" t="s">
        <v>809</v>
      </c>
    </row>
    <row r="22" spans="1:8" ht="27" customHeight="1" x14ac:dyDescent="0.2">
      <c r="A22" s="31" t="s">
        <v>814</v>
      </c>
      <c r="B22" s="32" t="s">
        <v>815</v>
      </c>
      <c r="C22" s="32" t="s">
        <v>763</v>
      </c>
      <c r="D22" s="32" t="s">
        <v>816</v>
      </c>
      <c r="E22" s="33" t="s">
        <v>764</v>
      </c>
      <c r="F22" s="34">
        <v>782288</v>
      </c>
      <c r="G22" s="34">
        <v>1282288</v>
      </c>
      <c r="H22" s="35" t="s">
        <v>817</v>
      </c>
    </row>
    <row r="23" spans="1:8" ht="27" customHeight="1" x14ac:dyDescent="0.2">
      <c r="A23" s="31" t="s">
        <v>814</v>
      </c>
      <c r="B23" s="32" t="s">
        <v>815</v>
      </c>
      <c r="C23" s="32" t="s">
        <v>766</v>
      </c>
      <c r="D23" s="32" t="s">
        <v>818</v>
      </c>
      <c r="E23" s="33" t="s">
        <v>768</v>
      </c>
      <c r="F23" s="34">
        <v>156615</v>
      </c>
      <c r="G23" s="34">
        <v>136000</v>
      </c>
      <c r="H23" s="35" t="s">
        <v>819</v>
      </c>
    </row>
    <row r="24" spans="1:8" ht="27" customHeight="1" x14ac:dyDescent="0.2">
      <c r="A24" s="31" t="s">
        <v>814</v>
      </c>
      <c r="B24" s="32" t="s">
        <v>815</v>
      </c>
      <c r="C24" s="32" t="s">
        <v>770</v>
      </c>
      <c r="D24" s="32" t="s">
        <v>820</v>
      </c>
      <c r="E24" s="33" t="s">
        <v>772</v>
      </c>
      <c r="F24" s="34">
        <v>3503648</v>
      </c>
      <c r="G24" s="34">
        <v>3703648</v>
      </c>
      <c r="H24" s="35" t="s">
        <v>821</v>
      </c>
    </row>
    <row r="25" spans="1:8" ht="27" customHeight="1" x14ac:dyDescent="0.2">
      <c r="A25" s="31" t="s">
        <v>814</v>
      </c>
      <c r="B25" s="32" t="s">
        <v>815</v>
      </c>
      <c r="C25" s="32" t="s">
        <v>796</v>
      </c>
      <c r="D25" s="32" t="s">
        <v>822</v>
      </c>
      <c r="E25" s="33" t="s">
        <v>823</v>
      </c>
      <c r="F25" s="34">
        <v>0</v>
      </c>
      <c r="G25" s="34">
        <v>300000</v>
      </c>
      <c r="H25" s="35" t="s">
        <v>824</v>
      </c>
    </row>
    <row r="26" spans="1:8" ht="27" customHeight="1" x14ac:dyDescent="0.2">
      <c r="A26" s="31" t="s">
        <v>814</v>
      </c>
      <c r="B26" s="32" t="s">
        <v>815</v>
      </c>
      <c r="C26" s="32" t="s">
        <v>776</v>
      </c>
      <c r="D26" s="32" t="s">
        <v>812</v>
      </c>
      <c r="E26" s="33" t="s">
        <v>777</v>
      </c>
      <c r="F26" s="34">
        <v>500000</v>
      </c>
      <c r="G26" s="34">
        <v>500000</v>
      </c>
      <c r="H26" s="35" t="s">
        <v>825</v>
      </c>
    </row>
    <row r="27" spans="1:8" ht="27" customHeight="1" x14ac:dyDescent="0.2">
      <c r="A27" s="31" t="s">
        <v>814</v>
      </c>
      <c r="B27" s="32" t="s">
        <v>815</v>
      </c>
      <c r="C27" s="32" t="s">
        <v>779</v>
      </c>
      <c r="D27" s="32" t="s">
        <v>826</v>
      </c>
      <c r="E27" s="33" t="s">
        <v>780</v>
      </c>
      <c r="F27" s="34">
        <v>25028</v>
      </c>
      <c r="G27" s="34">
        <v>25200</v>
      </c>
      <c r="H27" s="35" t="s">
        <v>827</v>
      </c>
    </row>
    <row r="28" spans="1:8" ht="27" customHeight="1" x14ac:dyDescent="0.2">
      <c r="A28" s="31" t="s">
        <v>828</v>
      </c>
      <c r="B28" s="32" t="s">
        <v>215</v>
      </c>
      <c r="C28" s="32" t="s">
        <v>763</v>
      </c>
      <c r="D28" s="32" t="s">
        <v>816</v>
      </c>
      <c r="E28" s="33" t="s">
        <v>764</v>
      </c>
      <c r="F28" s="34">
        <v>39120</v>
      </c>
      <c r="G28" s="34">
        <v>39120</v>
      </c>
      <c r="H28" s="35" t="s">
        <v>829</v>
      </c>
    </row>
    <row r="29" spans="1:8" ht="27" customHeight="1" x14ac:dyDescent="0.2">
      <c r="A29" s="31" t="s">
        <v>828</v>
      </c>
      <c r="B29" s="32" t="s">
        <v>215</v>
      </c>
      <c r="C29" s="32" t="s">
        <v>770</v>
      </c>
      <c r="D29" s="32" t="s">
        <v>830</v>
      </c>
      <c r="E29" s="33" t="s">
        <v>772</v>
      </c>
      <c r="F29" s="34">
        <v>731029</v>
      </c>
      <c r="G29" s="34">
        <v>731029</v>
      </c>
      <c r="H29" s="35" t="s">
        <v>829</v>
      </c>
    </row>
    <row r="30" spans="1:8" ht="27" customHeight="1" x14ac:dyDescent="0.2">
      <c r="A30" s="31" t="s">
        <v>828</v>
      </c>
      <c r="B30" s="32" t="s">
        <v>215</v>
      </c>
      <c r="C30" s="32" t="s">
        <v>831</v>
      </c>
      <c r="D30" s="32" t="s">
        <v>832</v>
      </c>
      <c r="E30" s="33" t="s">
        <v>833</v>
      </c>
      <c r="F30" s="34">
        <v>2235300</v>
      </c>
      <c r="G30" s="34">
        <v>1459244</v>
      </c>
      <c r="H30" s="35" t="s">
        <v>834</v>
      </c>
    </row>
    <row r="31" spans="1:8" ht="27" customHeight="1" x14ac:dyDescent="0.2">
      <c r="A31" s="31" t="s">
        <v>828</v>
      </c>
      <c r="B31" s="32" t="s">
        <v>215</v>
      </c>
      <c r="C31" s="32" t="s">
        <v>796</v>
      </c>
      <c r="D31" s="32" t="s">
        <v>835</v>
      </c>
      <c r="E31" s="33" t="s">
        <v>772</v>
      </c>
      <c r="F31" s="34">
        <v>1412225</v>
      </c>
      <c r="G31" s="34">
        <v>1004551</v>
      </c>
      <c r="H31" s="35" t="s">
        <v>836</v>
      </c>
    </row>
    <row r="32" spans="1:8" ht="27" customHeight="1" x14ac:dyDescent="0.2">
      <c r="A32" s="31" t="s">
        <v>828</v>
      </c>
      <c r="B32" s="32" t="s">
        <v>215</v>
      </c>
      <c r="C32" s="32" t="s">
        <v>776</v>
      </c>
      <c r="D32" s="32" t="s">
        <v>837</v>
      </c>
      <c r="E32" s="33" t="s">
        <v>777</v>
      </c>
      <c r="F32" s="34">
        <v>495733</v>
      </c>
      <c r="G32" s="34">
        <v>495733</v>
      </c>
      <c r="H32" s="35" t="s">
        <v>829</v>
      </c>
    </row>
    <row r="33" spans="1:8" ht="27" customHeight="1" x14ac:dyDescent="0.2">
      <c r="A33" s="31" t="s">
        <v>828</v>
      </c>
      <c r="B33" s="32" t="s">
        <v>215</v>
      </c>
      <c r="C33" s="32" t="s">
        <v>779</v>
      </c>
      <c r="D33" s="32" t="s">
        <v>826</v>
      </c>
      <c r="E33" s="33" t="s">
        <v>780</v>
      </c>
      <c r="F33" s="34">
        <v>100159</v>
      </c>
      <c r="G33" s="34">
        <v>85159</v>
      </c>
      <c r="H33" s="35" t="s">
        <v>838</v>
      </c>
    </row>
    <row r="34" spans="1:8" ht="27" customHeight="1" x14ac:dyDescent="0.2">
      <c r="A34" s="31" t="s">
        <v>828</v>
      </c>
      <c r="B34" s="32" t="s">
        <v>215</v>
      </c>
      <c r="C34" s="32" t="s">
        <v>782</v>
      </c>
      <c r="D34" s="32" t="s">
        <v>839</v>
      </c>
      <c r="E34" s="33" t="s">
        <v>784</v>
      </c>
      <c r="F34" s="34">
        <v>448500</v>
      </c>
      <c r="G34" s="34">
        <v>448500</v>
      </c>
      <c r="H34" s="35" t="s">
        <v>829</v>
      </c>
    </row>
    <row r="35" spans="1:8" ht="27" customHeight="1" x14ac:dyDescent="0.2">
      <c r="A35" s="31" t="s">
        <v>840</v>
      </c>
      <c r="B35" s="32" t="s">
        <v>841</v>
      </c>
      <c r="C35" s="32" t="s">
        <v>763</v>
      </c>
      <c r="D35" s="32" t="s">
        <v>763</v>
      </c>
      <c r="E35" s="33" t="s">
        <v>764</v>
      </c>
      <c r="F35" s="34">
        <v>0</v>
      </c>
      <c r="G35" s="34">
        <v>600000</v>
      </c>
      <c r="H35" s="35" t="s">
        <v>842</v>
      </c>
    </row>
    <row r="36" spans="1:8" ht="27" customHeight="1" x14ac:dyDescent="0.2">
      <c r="A36" s="31" t="s">
        <v>840</v>
      </c>
      <c r="B36" s="32" t="s">
        <v>841</v>
      </c>
      <c r="C36" s="32" t="s">
        <v>770</v>
      </c>
      <c r="D36" s="32" t="s">
        <v>771</v>
      </c>
      <c r="E36" s="33" t="s">
        <v>772</v>
      </c>
      <c r="F36" s="34">
        <v>563371</v>
      </c>
      <c r="G36" s="34">
        <v>550000</v>
      </c>
      <c r="H36" s="35" t="s">
        <v>843</v>
      </c>
    </row>
    <row r="37" spans="1:8" ht="27" customHeight="1" x14ac:dyDescent="0.2">
      <c r="A37" s="31" t="s">
        <v>840</v>
      </c>
      <c r="B37" s="32" t="s">
        <v>841</v>
      </c>
      <c r="C37" s="32" t="s">
        <v>844</v>
      </c>
      <c r="D37" s="32" t="s">
        <v>845</v>
      </c>
      <c r="E37" s="33" t="s">
        <v>846</v>
      </c>
      <c r="F37" s="34">
        <v>47467</v>
      </c>
      <c r="G37" s="34">
        <v>48000</v>
      </c>
      <c r="H37" s="35" t="s">
        <v>847</v>
      </c>
    </row>
    <row r="38" spans="1:8" ht="27" customHeight="1" x14ac:dyDescent="0.2">
      <c r="A38" s="31" t="s">
        <v>840</v>
      </c>
      <c r="B38" s="32" t="s">
        <v>841</v>
      </c>
      <c r="C38" s="32" t="s">
        <v>773</v>
      </c>
      <c r="D38" s="32" t="s">
        <v>848</v>
      </c>
      <c r="E38" s="33" t="s">
        <v>775</v>
      </c>
      <c r="F38" s="34">
        <v>152741</v>
      </c>
      <c r="G38" s="34">
        <v>155000</v>
      </c>
      <c r="H38" s="35" t="s">
        <v>849</v>
      </c>
    </row>
    <row r="39" spans="1:8" ht="27" customHeight="1" x14ac:dyDescent="0.2">
      <c r="A39" s="31" t="s">
        <v>840</v>
      </c>
      <c r="B39" s="32" t="s">
        <v>841</v>
      </c>
      <c r="C39" s="32" t="s">
        <v>796</v>
      </c>
      <c r="D39" s="32" t="s">
        <v>850</v>
      </c>
      <c r="E39" s="33" t="s">
        <v>772</v>
      </c>
      <c r="F39" s="34">
        <v>2703262</v>
      </c>
      <c r="G39" s="34">
        <v>2700000</v>
      </c>
      <c r="H39" s="35" t="s">
        <v>851</v>
      </c>
    </row>
    <row r="40" spans="1:8" ht="27" customHeight="1" x14ac:dyDescent="0.2">
      <c r="A40" s="31" t="s">
        <v>840</v>
      </c>
      <c r="B40" s="32" t="s">
        <v>841</v>
      </c>
      <c r="C40" s="32" t="s">
        <v>776</v>
      </c>
      <c r="D40" s="32" t="s">
        <v>852</v>
      </c>
      <c r="E40" s="33" t="s">
        <v>777</v>
      </c>
      <c r="F40" s="34">
        <v>2632995</v>
      </c>
      <c r="G40" s="34">
        <v>2000000</v>
      </c>
      <c r="H40" s="35" t="s">
        <v>853</v>
      </c>
    </row>
    <row r="41" spans="1:8" ht="27" customHeight="1" x14ac:dyDescent="0.2">
      <c r="A41" s="31" t="s">
        <v>840</v>
      </c>
      <c r="B41" s="32" t="s">
        <v>841</v>
      </c>
      <c r="C41" s="32" t="s">
        <v>779</v>
      </c>
      <c r="D41" s="32" t="s">
        <v>779</v>
      </c>
      <c r="E41" s="33" t="s">
        <v>780</v>
      </c>
      <c r="F41" s="34">
        <v>321468</v>
      </c>
      <c r="G41" s="34">
        <v>320000</v>
      </c>
      <c r="H41" s="35" t="s">
        <v>854</v>
      </c>
    </row>
    <row r="42" spans="1:8" ht="27" customHeight="1" x14ac:dyDescent="0.2">
      <c r="A42" s="31" t="s">
        <v>840</v>
      </c>
      <c r="B42" s="32" t="s">
        <v>841</v>
      </c>
      <c r="C42" s="32" t="s">
        <v>782</v>
      </c>
      <c r="D42" s="32" t="s">
        <v>783</v>
      </c>
      <c r="E42" s="33" t="s">
        <v>784</v>
      </c>
      <c r="F42" s="34">
        <v>1102788</v>
      </c>
      <c r="G42" s="34">
        <v>1120000</v>
      </c>
      <c r="H42" s="35" t="s">
        <v>855</v>
      </c>
    </row>
    <row r="43" spans="1:8" ht="27" customHeight="1" x14ac:dyDescent="0.2">
      <c r="A43" s="31" t="s">
        <v>856</v>
      </c>
      <c r="B43" s="32" t="s">
        <v>857</v>
      </c>
      <c r="C43" s="32" t="s">
        <v>770</v>
      </c>
      <c r="D43" s="32" t="s">
        <v>858</v>
      </c>
      <c r="E43" s="33" t="s">
        <v>772</v>
      </c>
      <c r="F43" s="34">
        <v>22604</v>
      </c>
      <c r="G43" s="34">
        <v>22604</v>
      </c>
      <c r="H43" s="35" t="s">
        <v>859</v>
      </c>
    </row>
    <row r="44" spans="1:8" ht="27" customHeight="1" x14ac:dyDescent="0.2">
      <c r="A44" s="31" t="s">
        <v>856</v>
      </c>
      <c r="B44" s="32" t="s">
        <v>857</v>
      </c>
      <c r="C44" s="32" t="s">
        <v>860</v>
      </c>
      <c r="D44" s="32" t="s">
        <v>860</v>
      </c>
      <c r="E44" s="33" t="s">
        <v>861</v>
      </c>
      <c r="F44" s="34">
        <v>50970</v>
      </c>
      <c r="G44" s="34">
        <v>50970</v>
      </c>
      <c r="H44" s="35" t="s">
        <v>859</v>
      </c>
    </row>
    <row r="45" spans="1:8" ht="27" customHeight="1" x14ac:dyDescent="0.2">
      <c r="A45" s="31" t="s">
        <v>856</v>
      </c>
      <c r="B45" s="32" t="s">
        <v>857</v>
      </c>
      <c r="C45" s="32" t="s">
        <v>796</v>
      </c>
      <c r="D45" s="32" t="s">
        <v>862</v>
      </c>
      <c r="E45" s="33" t="s">
        <v>772</v>
      </c>
      <c r="F45" s="34">
        <v>152000</v>
      </c>
      <c r="G45" s="34">
        <v>152000</v>
      </c>
      <c r="H45" s="35" t="s">
        <v>863</v>
      </c>
    </row>
    <row r="46" spans="1:8" ht="27" customHeight="1" x14ac:dyDescent="0.2">
      <c r="A46" s="31" t="s">
        <v>856</v>
      </c>
      <c r="B46" s="32" t="s">
        <v>857</v>
      </c>
      <c r="C46" s="32" t="s">
        <v>776</v>
      </c>
      <c r="D46" s="32" t="s">
        <v>776</v>
      </c>
      <c r="E46" s="33" t="s">
        <v>777</v>
      </c>
      <c r="F46" s="34">
        <v>173964</v>
      </c>
      <c r="G46" s="34">
        <v>173964</v>
      </c>
      <c r="H46" s="35" t="s">
        <v>864</v>
      </c>
    </row>
    <row r="47" spans="1:8" ht="27" customHeight="1" x14ac:dyDescent="0.2">
      <c r="A47" s="31" t="s">
        <v>856</v>
      </c>
      <c r="B47" s="32" t="s">
        <v>857</v>
      </c>
      <c r="C47" s="32" t="s">
        <v>779</v>
      </c>
      <c r="D47" s="32" t="s">
        <v>779</v>
      </c>
      <c r="E47" s="33" t="s">
        <v>780</v>
      </c>
      <c r="F47" s="34">
        <v>25000</v>
      </c>
      <c r="G47" s="34">
        <v>25000</v>
      </c>
      <c r="H47" s="35" t="s">
        <v>859</v>
      </c>
    </row>
    <row r="48" spans="1:8" ht="27" customHeight="1" x14ac:dyDescent="0.2">
      <c r="A48" s="31" t="s">
        <v>856</v>
      </c>
      <c r="B48" s="32" t="s">
        <v>857</v>
      </c>
      <c r="C48" s="32" t="s">
        <v>782</v>
      </c>
      <c r="D48" s="32" t="s">
        <v>865</v>
      </c>
      <c r="E48" s="33" t="s">
        <v>784</v>
      </c>
      <c r="F48" s="34">
        <v>30000</v>
      </c>
      <c r="G48" s="34">
        <v>30000</v>
      </c>
      <c r="H48" s="35" t="s">
        <v>859</v>
      </c>
    </row>
    <row r="49" spans="1:8" ht="27" customHeight="1" x14ac:dyDescent="0.2">
      <c r="A49" s="31" t="s">
        <v>866</v>
      </c>
      <c r="B49" s="32" t="s">
        <v>867</v>
      </c>
      <c r="C49" s="32" t="s">
        <v>763</v>
      </c>
      <c r="D49" s="32" t="s">
        <v>868</v>
      </c>
      <c r="E49" s="33" t="s">
        <v>764</v>
      </c>
      <c r="F49" s="34">
        <v>0</v>
      </c>
      <c r="G49" s="34">
        <v>3000000</v>
      </c>
      <c r="H49" s="35" t="s">
        <v>869</v>
      </c>
    </row>
    <row r="50" spans="1:8" ht="27" customHeight="1" x14ac:dyDescent="0.2">
      <c r="A50" s="31" t="s">
        <v>866</v>
      </c>
      <c r="B50" s="32" t="s">
        <v>867</v>
      </c>
      <c r="C50" s="32" t="s">
        <v>766</v>
      </c>
      <c r="D50" s="32" t="s">
        <v>870</v>
      </c>
      <c r="E50" s="33" t="s">
        <v>768</v>
      </c>
      <c r="F50" s="34">
        <v>1208639</v>
      </c>
      <c r="G50" s="34">
        <v>1209000</v>
      </c>
      <c r="H50" s="35" t="s">
        <v>871</v>
      </c>
    </row>
    <row r="51" spans="1:8" ht="27" customHeight="1" x14ac:dyDescent="0.2">
      <c r="A51" s="31" t="s">
        <v>866</v>
      </c>
      <c r="B51" s="32" t="s">
        <v>867</v>
      </c>
      <c r="C51" s="32" t="s">
        <v>770</v>
      </c>
      <c r="D51" s="32" t="s">
        <v>872</v>
      </c>
      <c r="E51" s="33" t="s">
        <v>772</v>
      </c>
      <c r="F51" s="34">
        <v>1630828</v>
      </c>
      <c r="G51" s="34">
        <v>1650000</v>
      </c>
      <c r="H51" s="35" t="s">
        <v>873</v>
      </c>
    </row>
    <row r="52" spans="1:8" ht="27" customHeight="1" x14ac:dyDescent="0.2">
      <c r="A52" s="31" t="s">
        <v>866</v>
      </c>
      <c r="B52" s="32" t="s">
        <v>867</v>
      </c>
      <c r="C52" s="32" t="s">
        <v>796</v>
      </c>
      <c r="D52" s="32" t="s">
        <v>811</v>
      </c>
      <c r="E52" s="33" t="s">
        <v>823</v>
      </c>
      <c r="F52" s="34">
        <v>2200770</v>
      </c>
      <c r="G52" s="34">
        <v>2000000</v>
      </c>
      <c r="H52" s="35" t="s">
        <v>874</v>
      </c>
    </row>
    <row r="53" spans="1:8" ht="27" customHeight="1" x14ac:dyDescent="0.2">
      <c r="A53" s="31" t="s">
        <v>866</v>
      </c>
      <c r="B53" s="32" t="s">
        <v>867</v>
      </c>
      <c r="C53" s="32" t="s">
        <v>776</v>
      </c>
      <c r="D53" s="32" t="s">
        <v>812</v>
      </c>
      <c r="E53" s="33" t="s">
        <v>777</v>
      </c>
      <c r="F53" s="34">
        <v>946280</v>
      </c>
      <c r="G53" s="34">
        <v>1000000</v>
      </c>
      <c r="H53" s="35" t="s">
        <v>875</v>
      </c>
    </row>
    <row r="54" spans="1:8" ht="27" customHeight="1" x14ac:dyDescent="0.2">
      <c r="A54" s="31" t="s">
        <v>866</v>
      </c>
      <c r="B54" s="32" t="s">
        <v>867</v>
      </c>
      <c r="C54" s="32" t="s">
        <v>779</v>
      </c>
      <c r="D54" s="32" t="s">
        <v>876</v>
      </c>
      <c r="E54" s="33" t="s">
        <v>780</v>
      </c>
      <c r="F54" s="34">
        <v>41415</v>
      </c>
      <c r="G54" s="34">
        <v>41500</v>
      </c>
      <c r="H54" s="35" t="s">
        <v>877</v>
      </c>
    </row>
    <row r="55" spans="1:8" ht="27" customHeight="1" x14ac:dyDescent="0.2">
      <c r="A55" s="31" t="s">
        <v>866</v>
      </c>
      <c r="B55" s="32" t="s">
        <v>867</v>
      </c>
      <c r="C55" s="32" t="s">
        <v>782</v>
      </c>
      <c r="D55" s="32" t="s">
        <v>839</v>
      </c>
      <c r="E55" s="33" t="s">
        <v>784</v>
      </c>
      <c r="F55" s="34">
        <v>496176</v>
      </c>
      <c r="G55" s="34">
        <v>500000</v>
      </c>
      <c r="H55" s="35" t="s">
        <v>878</v>
      </c>
    </row>
    <row r="56" spans="1:8" ht="27" customHeight="1" x14ac:dyDescent="0.2">
      <c r="A56" s="31" t="s">
        <v>879</v>
      </c>
      <c r="B56" s="32" t="s">
        <v>880</v>
      </c>
      <c r="C56" s="32" t="s">
        <v>763</v>
      </c>
      <c r="D56" s="32" t="s">
        <v>829</v>
      </c>
      <c r="E56" s="33" t="s">
        <v>764</v>
      </c>
      <c r="F56" s="34">
        <v>0</v>
      </c>
      <c r="G56" s="34">
        <v>0</v>
      </c>
      <c r="H56" s="35" t="s">
        <v>881</v>
      </c>
    </row>
    <row r="57" spans="1:8" ht="27" customHeight="1" x14ac:dyDescent="0.2">
      <c r="A57" s="31" t="s">
        <v>879</v>
      </c>
      <c r="B57" s="32" t="s">
        <v>880</v>
      </c>
      <c r="C57" s="32" t="s">
        <v>766</v>
      </c>
      <c r="D57" s="32" t="s">
        <v>829</v>
      </c>
      <c r="E57" s="33" t="s">
        <v>768</v>
      </c>
      <c r="F57" s="34">
        <v>0</v>
      </c>
      <c r="G57" s="34">
        <v>0</v>
      </c>
      <c r="H57" s="35" t="s">
        <v>881</v>
      </c>
    </row>
    <row r="58" spans="1:8" ht="27" customHeight="1" x14ac:dyDescent="0.2">
      <c r="A58" s="31" t="s">
        <v>879</v>
      </c>
      <c r="B58" s="32" t="s">
        <v>880</v>
      </c>
      <c r="C58" s="32" t="s">
        <v>770</v>
      </c>
      <c r="D58" s="32" t="s">
        <v>882</v>
      </c>
      <c r="E58" s="33" t="s">
        <v>772</v>
      </c>
      <c r="F58" s="34">
        <v>80689</v>
      </c>
      <c r="G58" s="34">
        <v>97557</v>
      </c>
      <c r="H58" s="35" t="s">
        <v>883</v>
      </c>
    </row>
    <row r="59" spans="1:8" ht="27" customHeight="1" x14ac:dyDescent="0.2">
      <c r="A59" s="31" t="s">
        <v>879</v>
      </c>
      <c r="B59" s="32" t="s">
        <v>880</v>
      </c>
      <c r="C59" s="32" t="s">
        <v>884</v>
      </c>
      <c r="D59" s="32" t="s">
        <v>829</v>
      </c>
      <c r="E59" s="33" t="s">
        <v>885</v>
      </c>
      <c r="F59" s="34">
        <v>0</v>
      </c>
      <c r="G59" s="34">
        <v>0</v>
      </c>
      <c r="H59" s="35" t="s">
        <v>881</v>
      </c>
    </row>
    <row r="60" spans="1:8" ht="27" customHeight="1" x14ac:dyDescent="0.2">
      <c r="A60" s="31" t="s">
        <v>879</v>
      </c>
      <c r="B60" s="32" t="s">
        <v>880</v>
      </c>
      <c r="C60" s="32" t="s">
        <v>844</v>
      </c>
      <c r="D60" s="32" t="s">
        <v>829</v>
      </c>
      <c r="E60" s="33" t="s">
        <v>846</v>
      </c>
      <c r="F60" s="34">
        <v>0</v>
      </c>
      <c r="G60" s="34">
        <v>0</v>
      </c>
      <c r="H60" s="35" t="s">
        <v>881</v>
      </c>
    </row>
    <row r="61" spans="1:8" ht="27" customHeight="1" x14ac:dyDescent="0.2">
      <c r="A61" s="31" t="s">
        <v>879</v>
      </c>
      <c r="B61" s="32" t="s">
        <v>880</v>
      </c>
      <c r="C61" s="32" t="s">
        <v>773</v>
      </c>
      <c r="D61" s="32" t="s">
        <v>829</v>
      </c>
      <c r="E61" s="33" t="s">
        <v>775</v>
      </c>
      <c r="F61" s="34">
        <v>0</v>
      </c>
      <c r="G61" s="34">
        <v>0</v>
      </c>
      <c r="H61" s="35" t="s">
        <v>881</v>
      </c>
    </row>
    <row r="62" spans="1:8" ht="27" customHeight="1" x14ac:dyDescent="0.2">
      <c r="A62" s="31" t="s">
        <v>879</v>
      </c>
      <c r="B62" s="32" t="s">
        <v>880</v>
      </c>
      <c r="C62" s="32" t="s">
        <v>886</v>
      </c>
      <c r="D62" s="32" t="s">
        <v>829</v>
      </c>
      <c r="E62" s="33" t="s">
        <v>887</v>
      </c>
      <c r="F62" s="34">
        <v>0</v>
      </c>
      <c r="G62" s="34">
        <v>0</v>
      </c>
      <c r="H62" s="35" t="s">
        <v>881</v>
      </c>
    </row>
    <row r="63" spans="1:8" ht="27" customHeight="1" x14ac:dyDescent="0.2">
      <c r="A63" s="31" t="s">
        <v>879</v>
      </c>
      <c r="B63" s="32" t="s">
        <v>880</v>
      </c>
      <c r="C63" s="32" t="s">
        <v>860</v>
      </c>
      <c r="D63" s="32" t="s">
        <v>888</v>
      </c>
      <c r="E63" s="33" t="s">
        <v>861</v>
      </c>
      <c r="F63" s="34">
        <v>17443</v>
      </c>
      <c r="G63" s="34">
        <v>17443</v>
      </c>
      <c r="H63" s="35" t="s">
        <v>889</v>
      </c>
    </row>
    <row r="64" spans="1:8" ht="27" customHeight="1" x14ac:dyDescent="0.2">
      <c r="A64" s="31" t="s">
        <v>879</v>
      </c>
      <c r="B64" s="32" t="s">
        <v>880</v>
      </c>
      <c r="C64" s="32" t="s">
        <v>796</v>
      </c>
      <c r="D64" s="32" t="s">
        <v>829</v>
      </c>
      <c r="E64" s="33" t="s">
        <v>823</v>
      </c>
      <c r="F64" s="34">
        <v>0</v>
      </c>
      <c r="G64" s="34">
        <v>0</v>
      </c>
      <c r="H64" s="35" t="s">
        <v>881</v>
      </c>
    </row>
    <row r="65" spans="1:8" ht="27" customHeight="1" x14ac:dyDescent="0.2">
      <c r="A65" s="31" t="s">
        <v>879</v>
      </c>
      <c r="B65" s="32" t="s">
        <v>880</v>
      </c>
      <c r="C65" s="32" t="s">
        <v>776</v>
      </c>
      <c r="D65" s="32" t="s">
        <v>890</v>
      </c>
      <c r="E65" s="33" t="s">
        <v>777</v>
      </c>
      <c r="F65" s="34">
        <v>295000</v>
      </c>
      <c r="G65" s="34">
        <v>295000</v>
      </c>
      <c r="H65" s="35" t="s">
        <v>891</v>
      </c>
    </row>
    <row r="66" spans="1:8" ht="27" customHeight="1" x14ac:dyDescent="0.2">
      <c r="A66" s="31" t="s">
        <v>879</v>
      </c>
      <c r="B66" s="32" t="s">
        <v>880</v>
      </c>
      <c r="C66" s="32" t="s">
        <v>798</v>
      </c>
      <c r="D66" s="32" t="s">
        <v>829</v>
      </c>
      <c r="E66" s="33" t="s">
        <v>800</v>
      </c>
      <c r="F66" s="34">
        <v>0</v>
      </c>
      <c r="G66" s="34">
        <v>0</v>
      </c>
      <c r="H66" s="35" t="s">
        <v>881</v>
      </c>
    </row>
    <row r="67" spans="1:8" ht="27" customHeight="1" x14ac:dyDescent="0.2">
      <c r="A67" s="31" t="s">
        <v>879</v>
      </c>
      <c r="B67" s="32" t="s">
        <v>880</v>
      </c>
      <c r="C67" s="32" t="s">
        <v>892</v>
      </c>
      <c r="D67" s="32" t="s">
        <v>829</v>
      </c>
      <c r="E67" s="33" t="s">
        <v>893</v>
      </c>
      <c r="F67" s="34">
        <v>0</v>
      </c>
      <c r="G67" s="34">
        <v>0</v>
      </c>
      <c r="H67" s="35" t="s">
        <v>881</v>
      </c>
    </row>
    <row r="68" spans="1:8" ht="27" customHeight="1" x14ac:dyDescent="0.2">
      <c r="A68" s="31" t="s">
        <v>879</v>
      </c>
      <c r="B68" s="32" t="s">
        <v>880</v>
      </c>
      <c r="C68" s="32" t="s">
        <v>779</v>
      </c>
      <c r="D68" s="32" t="s">
        <v>894</v>
      </c>
      <c r="E68" s="33" t="s">
        <v>780</v>
      </c>
      <c r="F68" s="34">
        <v>25000</v>
      </c>
      <c r="G68" s="34">
        <v>25000</v>
      </c>
      <c r="H68" s="35" t="s">
        <v>889</v>
      </c>
    </row>
    <row r="69" spans="1:8" ht="27" customHeight="1" x14ac:dyDescent="0.2">
      <c r="A69" s="31" t="s">
        <v>879</v>
      </c>
      <c r="B69" s="32" t="s">
        <v>880</v>
      </c>
      <c r="C69" s="32" t="s">
        <v>782</v>
      </c>
      <c r="D69" s="32" t="s">
        <v>829</v>
      </c>
      <c r="E69" s="33" t="s">
        <v>784</v>
      </c>
      <c r="F69" s="34">
        <v>0</v>
      </c>
      <c r="G69" s="34">
        <v>0</v>
      </c>
      <c r="H69" s="35" t="s">
        <v>881</v>
      </c>
    </row>
    <row r="70" spans="1:8" ht="27" customHeight="1" x14ac:dyDescent="0.2">
      <c r="A70" s="31" t="s">
        <v>895</v>
      </c>
      <c r="B70" s="32" t="s">
        <v>896</v>
      </c>
      <c r="C70" s="32" t="s">
        <v>763</v>
      </c>
      <c r="D70" s="32" t="s">
        <v>897</v>
      </c>
      <c r="E70" s="33" t="s">
        <v>764</v>
      </c>
      <c r="F70" s="34">
        <v>2351348</v>
      </c>
      <c r="G70" s="34">
        <v>2361967</v>
      </c>
      <c r="H70" s="35" t="s">
        <v>898</v>
      </c>
    </row>
    <row r="71" spans="1:8" ht="27" customHeight="1" x14ac:dyDescent="0.2">
      <c r="A71" s="31" t="s">
        <v>895</v>
      </c>
      <c r="B71" s="32" t="s">
        <v>896</v>
      </c>
      <c r="C71" s="32" t="s">
        <v>766</v>
      </c>
      <c r="D71" s="32" t="s">
        <v>767</v>
      </c>
      <c r="E71" s="33" t="s">
        <v>768</v>
      </c>
      <c r="F71" s="34">
        <v>1364573</v>
      </c>
      <c r="G71" s="34">
        <v>1364993</v>
      </c>
      <c r="H71" s="35" t="s">
        <v>898</v>
      </c>
    </row>
    <row r="72" spans="1:8" ht="27" customHeight="1" x14ac:dyDescent="0.2">
      <c r="A72" s="31" t="s">
        <v>895</v>
      </c>
      <c r="B72" s="32" t="s">
        <v>896</v>
      </c>
      <c r="C72" s="32" t="s">
        <v>770</v>
      </c>
      <c r="D72" s="32" t="s">
        <v>794</v>
      </c>
      <c r="E72" s="33" t="s">
        <v>772</v>
      </c>
      <c r="F72" s="34">
        <v>923156</v>
      </c>
      <c r="G72" s="34">
        <v>927688</v>
      </c>
      <c r="H72" s="35" t="s">
        <v>899</v>
      </c>
    </row>
    <row r="73" spans="1:8" ht="27" customHeight="1" x14ac:dyDescent="0.2">
      <c r="A73" s="31" t="s">
        <v>895</v>
      </c>
      <c r="B73" s="32" t="s">
        <v>896</v>
      </c>
      <c r="C73" s="32" t="s">
        <v>860</v>
      </c>
      <c r="D73" s="32" t="s">
        <v>860</v>
      </c>
      <c r="E73" s="33" t="s">
        <v>861</v>
      </c>
      <c r="F73" s="34">
        <v>55969</v>
      </c>
      <c r="G73" s="34">
        <v>56243</v>
      </c>
      <c r="H73" s="35" t="s">
        <v>898</v>
      </c>
    </row>
    <row r="74" spans="1:8" ht="27" customHeight="1" x14ac:dyDescent="0.2">
      <c r="A74" s="31" t="s">
        <v>895</v>
      </c>
      <c r="B74" s="32" t="s">
        <v>896</v>
      </c>
      <c r="C74" s="32" t="s">
        <v>796</v>
      </c>
      <c r="D74" s="32" t="s">
        <v>796</v>
      </c>
      <c r="E74" s="33" t="s">
        <v>823</v>
      </c>
      <c r="F74" s="34">
        <v>3216193</v>
      </c>
      <c r="G74" s="34">
        <v>3231976</v>
      </c>
      <c r="H74" s="35" t="s">
        <v>898</v>
      </c>
    </row>
    <row r="75" spans="1:8" ht="27" customHeight="1" x14ac:dyDescent="0.2">
      <c r="A75" s="31" t="s">
        <v>895</v>
      </c>
      <c r="B75" s="32" t="s">
        <v>896</v>
      </c>
      <c r="C75" s="32" t="s">
        <v>776</v>
      </c>
      <c r="D75" s="32" t="s">
        <v>776</v>
      </c>
      <c r="E75" s="33" t="s">
        <v>777</v>
      </c>
      <c r="F75" s="34">
        <v>353148</v>
      </c>
      <c r="G75" s="34">
        <v>354880</v>
      </c>
      <c r="H75" s="35" t="s">
        <v>898</v>
      </c>
    </row>
    <row r="76" spans="1:8" ht="27" customHeight="1" x14ac:dyDescent="0.2">
      <c r="A76" s="31" t="s">
        <v>895</v>
      </c>
      <c r="B76" s="32" t="s">
        <v>896</v>
      </c>
      <c r="C76" s="32" t="s">
        <v>779</v>
      </c>
      <c r="D76" s="32" t="s">
        <v>802</v>
      </c>
      <c r="E76" s="33" t="s">
        <v>780</v>
      </c>
      <c r="F76" s="34">
        <v>95249</v>
      </c>
      <c r="G76" s="34">
        <v>95716</v>
      </c>
      <c r="H76" s="35" t="s">
        <v>900</v>
      </c>
    </row>
    <row r="77" spans="1:8" ht="27" customHeight="1" x14ac:dyDescent="0.2">
      <c r="A77" s="31" t="s">
        <v>895</v>
      </c>
      <c r="B77" s="32" t="s">
        <v>896</v>
      </c>
      <c r="C77" s="32" t="s">
        <v>782</v>
      </c>
      <c r="D77" s="32" t="s">
        <v>901</v>
      </c>
      <c r="E77" s="33" t="s">
        <v>784</v>
      </c>
      <c r="F77" s="34">
        <v>806414</v>
      </c>
      <c r="G77" s="34">
        <v>810371</v>
      </c>
      <c r="H77" s="35" t="s">
        <v>902</v>
      </c>
    </row>
    <row r="78" spans="1:8" ht="27" customHeight="1" x14ac:dyDescent="0.2">
      <c r="A78" s="31" t="s">
        <v>903</v>
      </c>
      <c r="B78" s="32" t="s">
        <v>904</v>
      </c>
      <c r="C78" s="32" t="s">
        <v>763</v>
      </c>
      <c r="D78" s="32" t="s">
        <v>897</v>
      </c>
      <c r="E78" s="33" t="s">
        <v>764</v>
      </c>
      <c r="F78" s="34">
        <v>1000000</v>
      </c>
      <c r="G78" s="34">
        <v>1000000</v>
      </c>
      <c r="H78" s="35" t="s">
        <v>905</v>
      </c>
    </row>
    <row r="79" spans="1:8" ht="27" customHeight="1" x14ac:dyDescent="0.2">
      <c r="A79" s="31" t="s">
        <v>903</v>
      </c>
      <c r="B79" s="32" t="s">
        <v>904</v>
      </c>
      <c r="C79" s="32" t="s">
        <v>763</v>
      </c>
      <c r="D79" s="32" t="s">
        <v>816</v>
      </c>
      <c r="E79" s="33" t="s">
        <v>764</v>
      </c>
      <c r="F79" s="34">
        <v>1130013</v>
      </c>
      <c r="G79" s="34">
        <v>1130013</v>
      </c>
      <c r="H79" s="35" t="s">
        <v>905</v>
      </c>
    </row>
    <row r="80" spans="1:8" ht="27" customHeight="1" x14ac:dyDescent="0.2">
      <c r="A80" s="31" t="s">
        <v>903</v>
      </c>
      <c r="B80" s="32" t="s">
        <v>904</v>
      </c>
      <c r="C80" s="32" t="s">
        <v>766</v>
      </c>
      <c r="D80" s="32" t="s">
        <v>906</v>
      </c>
      <c r="E80" s="33" t="s">
        <v>768</v>
      </c>
      <c r="F80" s="34">
        <v>157057</v>
      </c>
      <c r="G80" s="34">
        <v>158000</v>
      </c>
      <c r="H80" s="35" t="s">
        <v>907</v>
      </c>
    </row>
    <row r="81" spans="1:8" ht="27" customHeight="1" x14ac:dyDescent="0.2">
      <c r="A81" s="31" t="s">
        <v>903</v>
      </c>
      <c r="B81" s="32" t="s">
        <v>904</v>
      </c>
      <c r="C81" s="32" t="s">
        <v>831</v>
      </c>
      <c r="D81" s="32" t="s">
        <v>908</v>
      </c>
      <c r="E81" s="33" t="s">
        <v>909</v>
      </c>
      <c r="F81" s="34">
        <v>8333323</v>
      </c>
      <c r="G81" s="34">
        <v>250000</v>
      </c>
      <c r="H81" s="35" t="s">
        <v>910</v>
      </c>
    </row>
    <row r="82" spans="1:8" ht="27" customHeight="1" x14ac:dyDescent="0.2">
      <c r="A82" s="31" t="s">
        <v>903</v>
      </c>
      <c r="B82" s="32" t="s">
        <v>904</v>
      </c>
      <c r="C82" s="32" t="s">
        <v>860</v>
      </c>
      <c r="D82" s="32" t="s">
        <v>911</v>
      </c>
      <c r="E82" s="33" t="s">
        <v>861</v>
      </c>
      <c r="F82" s="34">
        <v>90888</v>
      </c>
      <c r="G82" s="34">
        <v>10000</v>
      </c>
      <c r="H82" s="35" t="s">
        <v>912</v>
      </c>
    </row>
    <row r="83" spans="1:8" ht="27" customHeight="1" x14ac:dyDescent="0.2">
      <c r="A83" s="31" t="s">
        <v>903</v>
      </c>
      <c r="B83" s="32" t="s">
        <v>904</v>
      </c>
      <c r="C83" s="32" t="s">
        <v>796</v>
      </c>
      <c r="D83" s="32" t="s">
        <v>811</v>
      </c>
      <c r="E83" s="33" t="s">
        <v>772</v>
      </c>
      <c r="F83" s="34">
        <v>0</v>
      </c>
      <c r="G83" s="34">
        <v>100000</v>
      </c>
      <c r="H83" s="35" t="s">
        <v>913</v>
      </c>
    </row>
    <row r="84" spans="1:8" ht="27" customHeight="1" x14ac:dyDescent="0.2">
      <c r="A84" s="31" t="s">
        <v>903</v>
      </c>
      <c r="B84" s="32" t="s">
        <v>904</v>
      </c>
      <c r="C84" s="32" t="s">
        <v>776</v>
      </c>
      <c r="D84" s="32" t="s">
        <v>914</v>
      </c>
      <c r="E84" s="33" t="s">
        <v>777</v>
      </c>
      <c r="F84" s="34">
        <v>0</v>
      </c>
      <c r="G84" s="34">
        <v>150000</v>
      </c>
      <c r="H84" s="35" t="s">
        <v>915</v>
      </c>
    </row>
    <row r="85" spans="1:8" ht="27" customHeight="1" x14ac:dyDescent="0.2">
      <c r="A85" s="31" t="s">
        <v>903</v>
      </c>
      <c r="B85" s="32" t="s">
        <v>904</v>
      </c>
      <c r="C85" s="32" t="s">
        <v>779</v>
      </c>
      <c r="D85" s="32" t="s">
        <v>876</v>
      </c>
      <c r="E85" s="33" t="s">
        <v>780</v>
      </c>
      <c r="F85" s="34">
        <v>30000</v>
      </c>
      <c r="G85" s="34">
        <v>30000</v>
      </c>
      <c r="H85" s="35" t="s">
        <v>916</v>
      </c>
    </row>
    <row r="86" spans="1:8" ht="27" customHeight="1" x14ac:dyDescent="0.2">
      <c r="A86" s="31" t="s">
        <v>917</v>
      </c>
      <c r="B86" s="32" t="s">
        <v>918</v>
      </c>
      <c r="C86" s="32" t="s">
        <v>770</v>
      </c>
      <c r="D86" s="32" t="s">
        <v>919</v>
      </c>
      <c r="E86" s="33" t="s">
        <v>772</v>
      </c>
      <c r="F86" s="34">
        <v>200000</v>
      </c>
      <c r="G86" s="34">
        <v>200000</v>
      </c>
      <c r="H86" s="35" t="s">
        <v>829</v>
      </c>
    </row>
    <row r="87" spans="1:8" ht="27" customHeight="1" x14ac:dyDescent="0.2">
      <c r="A87" s="31" t="s">
        <v>917</v>
      </c>
      <c r="B87" s="32" t="s">
        <v>918</v>
      </c>
      <c r="C87" s="32" t="s">
        <v>776</v>
      </c>
      <c r="D87" s="32" t="s">
        <v>812</v>
      </c>
      <c r="E87" s="33" t="s">
        <v>777</v>
      </c>
      <c r="F87" s="34">
        <v>50000</v>
      </c>
      <c r="G87" s="34">
        <v>50000</v>
      </c>
      <c r="H87" s="35" t="s">
        <v>829</v>
      </c>
    </row>
    <row r="88" spans="1:8" ht="27" customHeight="1" x14ac:dyDescent="0.2">
      <c r="A88" s="31" t="s">
        <v>917</v>
      </c>
      <c r="B88" s="32" t="s">
        <v>918</v>
      </c>
      <c r="C88" s="32" t="s">
        <v>779</v>
      </c>
      <c r="D88" s="32" t="s">
        <v>826</v>
      </c>
      <c r="E88" s="33" t="s">
        <v>780</v>
      </c>
      <c r="F88" s="34">
        <v>50000</v>
      </c>
      <c r="G88" s="34">
        <v>50000</v>
      </c>
      <c r="H88" s="35" t="s">
        <v>829</v>
      </c>
    </row>
    <row r="89" spans="1:8" ht="27" customHeight="1" x14ac:dyDescent="0.2">
      <c r="A89" s="31" t="s">
        <v>920</v>
      </c>
      <c r="B89" s="32" t="s">
        <v>921</v>
      </c>
      <c r="C89" s="32" t="s">
        <v>763</v>
      </c>
      <c r="D89" s="32" t="s">
        <v>922</v>
      </c>
      <c r="E89" s="33" t="s">
        <v>764</v>
      </c>
      <c r="F89" s="34">
        <v>1817712</v>
      </c>
      <c r="G89" s="34">
        <v>1817712</v>
      </c>
      <c r="H89" s="35" t="s">
        <v>923</v>
      </c>
    </row>
    <row r="90" spans="1:8" ht="27" customHeight="1" x14ac:dyDescent="0.2">
      <c r="A90" s="31" t="s">
        <v>920</v>
      </c>
      <c r="B90" s="32" t="s">
        <v>921</v>
      </c>
      <c r="C90" s="32" t="s">
        <v>766</v>
      </c>
      <c r="D90" s="32" t="s">
        <v>832</v>
      </c>
      <c r="E90" s="33" t="s">
        <v>768</v>
      </c>
      <c r="F90" s="34">
        <v>511563</v>
      </c>
      <c r="G90" s="34">
        <v>511563</v>
      </c>
      <c r="H90" s="35" t="s">
        <v>924</v>
      </c>
    </row>
    <row r="91" spans="1:8" ht="27" customHeight="1" x14ac:dyDescent="0.2">
      <c r="A91" s="31" t="s">
        <v>920</v>
      </c>
      <c r="B91" s="32" t="s">
        <v>921</v>
      </c>
      <c r="C91" s="32" t="s">
        <v>770</v>
      </c>
      <c r="D91" s="32" t="s">
        <v>925</v>
      </c>
      <c r="E91" s="33" t="s">
        <v>772</v>
      </c>
      <c r="F91" s="34">
        <v>97201</v>
      </c>
      <c r="G91" s="34">
        <v>97201</v>
      </c>
      <c r="H91" s="35" t="s">
        <v>926</v>
      </c>
    </row>
    <row r="92" spans="1:8" ht="27" customHeight="1" x14ac:dyDescent="0.2">
      <c r="A92" s="31" t="s">
        <v>920</v>
      </c>
      <c r="B92" s="32" t="s">
        <v>921</v>
      </c>
      <c r="C92" s="32" t="s">
        <v>796</v>
      </c>
      <c r="D92" s="32" t="s">
        <v>796</v>
      </c>
      <c r="E92" s="33" t="s">
        <v>772</v>
      </c>
      <c r="F92" s="34">
        <v>901668</v>
      </c>
      <c r="G92" s="34">
        <v>901668</v>
      </c>
      <c r="H92" s="35" t="s">
        <v>924</v>
      </c>
    </row>
    <row r="93" spans="1:8" ht="27" customHeight="1" x14ac:dyDescent="0.2">
      <c r="A93" s="31" t="s">
        <v>920</v>
      </c>
      <c r="B93" s="32" t="s">
        <v>921</v>
      </c>
      <c r="C93" s="32" t="s">
        <v>779</v>
      </c>
      <c r="D93" s="32" t="s">
        <v>927</v>
      </c>
      <c r="E93" s="33" t="s">
        <v>780</v>
      </c>
      <c r="F93" s="34">
        <v>89556</v>
      </c>
      <c r="G93" s="34">
        <v>89556</v>
      </c>
      <c r="H93" s="35" t="s">
        <v>924</v>
      </c>
    </row>
    <row r="94" spans="1:8" ht="27" customHeight="1" x14ac:dyDescent="0.2">
      <c r="A94" s="31" t="s">
        <v>928</v>
      </c>
      <c r="B94" s="32" t="s">
        <v>929</v>
      </c>
      <c r="C94" s="32" t="s">
        <v>763</v>
      </c>
      <c r="D94" s="32" t="s">
        <v>930</v>
      </c>
      <c r="E94" s="33" t="s">
        <v>764</v>
      </c>
      <c r="F94" s="34">
        <v>339588</v>
      </c>
      <c r="G94" s="34">
        <v>339588</v>
      </c>
      <c r="H94" s="35" t="s">
        <v>859</v>
      </c>
    </row>
    <row r="95" spans="1:8" ht="27" customHeight="1" x14ac:dyDescent="0.2">
      <c r="A95" s="31" t="s">
        <v>928</v>
      </c>
      <c r="B95" s="32" t="s">
        <v>929</v>
      </c>
      <c r="C95" s="32" t="s">
        <v>763</v>
      </c>
      <c r="D95" s="32" t="s">
        <v>931</v>
      </c>
      <c r="E95" s="33" t="s">
        <v>764</v>
      </c>
      <c r="F95" s="34">
        <v>427184</v>
      </c>
      <c r="G95" s="34">
        <v>427184</v>
      </c>
      <c r="H95" s="35" t="s">
        <v>932</v>
      </c>
    </row>
    <row r="96" spans="1:8" ht="27" customHeight="1" x14ac:dyDescent="0.2">
      <c r="A96" s="31" t="s">
        <v>928</v>
      </c>
      <c r="B96" s="32" t="s">
        <v>929</v>
      </c>
      <c r="C96" s="32" t="s">
        <v>763</v>
      </c>
      <c r="D96" s="32" t="s">
        <v>933</v>
      </c>
      <c r="E96" s="33" t="s">
        <v>764</v>
      </c>
      <c r="F96" s="34">
        <v>259622</v>
      </c>
      <c r="G96" s="34">
        <v>259622</v>
      </c>
      <c r="H96" s="35" t="s">
        <v>934</v>
      </c>
    </row>
    <row r="97" spans="1:8" ht="27" customHeight="1" x14ac:dyDescent="0.2">
      <c r="A97" s="31" t="s">
        <v>928</v>
      </c>
      <c r="B97" s="32" t="s">
        <v>929</v>
      </c>
      <c r="C97" s="32" t="s">
        <v>770</v>
      </c>
      <c r="D97" s="32" t="s">
        <v>935</v>
      </c>
      <c r="E97" s="33" t="s">
        <v>772</v>
      </c>
      <c r="F97" s="34">
        <v>142066</v>
      </c>
      <c r="G97" s="34">
        <v>115466</v>
      </c>
      <c r="H97" s="35" t="s">
        <v>936</v>
      </c>
    </row>
    <row r="98" spans="1:8" ht="27" customHeight="1" x14ac:dyDescent="0.2">
      <c r="A98" s="31" t="s">
        <v>928</v>
      </c>
      <c r="B98" s="32" t="s">
        <v>929</v>
      </c>
      <c r="C98" s="32" t="s">
        <v>886</v>
      </c>
      <c r="D98" s="32" t="s">
        <v>937</v>
      </c>
      <c r="E98" s="33" t="s">
        <v>887</v>
      </c>
      <c r="F98" s="34">
        <v>216249</v>
      </c>
      <c r="G98" s="34">
        <v>216249</v>
      </c>
      <c r="H98" s="35" t="s">
        <v>859</v>
      </c>
    </row>
    <row r="99" spans="1:8" ht="27" customHeight="1" x14ac:dyDescent="0.2">
      <c r="A99" s="31" t="s">
        <v>928</v>
      </c>
      <c r="B99" s="32" t="s">
        <v>929</v>
      </c>
      <c r="C99" s="32" t="s">
        <v>860</v>
      </c>
      <c r="D99" s="32" t="s">
        <v>911</v>
      </c>
      <c r="E99" s="33" t="s">
        <v>861</v>
      </c>
      <c r="F99" s="34">
        <v>19390</v>
      </c>
      <c r="G99" s="34">
        <v>0</v>
      </c>
      <c r="H99" s="35" t="s">
        <v>938</v>
      </c>
    </row>
    <row r="100" spans="1:8" ht="27" customHeight="1" x14ac:dyDescent="0.2">
      <c r="A100" s="31" t="s">
        <v>928</v>
      </c>
      <c r="B100" s="32" t="s">
        <v>929</v>
      </c>
      <c r="C100" s="32" t="s">
        <v>796</v>
      </c>
      <c r="D100" s="32" t="s">
        <v>796</v>
      </c>
      <c r="E100" s="33" t="s">
        <v>772</v>
      </c>
      <c r="F100" s="34">
        <v>787573</v>
      </c>
      <c r="G100" s="34">
        <v>787573</v>
      </c>
      <c r="H100" s="35" t="s">
        <v>939</v>
      </c>
    </row>
    <row r="101" spans="1:8" ht="27" customHeight="1" x14ac:dyDescent="0.2">
      <c r="A101" s="31" t="s">
        <v>928</v>
      </c>
      <c r="B101" s="32" t="s">
        <v>929</v>
      </c>
      <c r="C101" s="32" t="s">
        <v>776</v>
      </c>
      <c r="D101" s="32" t="s">
        <v>812</v>
      </c>
      <c r="E101" s="33" t="s">
        <v>777</v>
      </c>
      <c r="F101" s="34">
        <v>47689</v>
      </c>
      <c r="G101" s="34">
        <v>47689</v>
      </c>
      <c r="H101" s="35" t="s">
        <v>859</v>
      </c>
    </row>
    <row r="102" spans="1:8" ht="27" customHeight="1" x14ac:dyDescent="0.2">
      <c r="A102" s="31" t="s">
        <v>928</v>
      </c>
      <c r="B102" s="32" t="s">
        <v>929</v>
      </c>
      <c r="C102" s="32" t="s">
        <v>779</v>
      </c>
      <c r="D102" s="32" t="s">
        <v>826</v>
      </c>
      <c r="E102" s="33" t="s">
        <v>780</v>
      </c>
      <c r="F102" s="34">
        <v>197887</v>
      </c>
      <c r="G102" s="34">
        <v>192887</v>
      </c>
      <c r="H102" s="35" t="s">
        <v>940</v>
      </c>
    </row>
    <row r="103" spans="1:8" ht="27" customHeight="1" x14ac:dyDescent="0.2">
      <c r="A103" s="31" t="s">
        <v>941</v>
      </c>
      <c r="B103" s="32" t="s">
        <v>942</v>
      </c>
      <c r="C103" s="32" t="s">
        <v>763</v>
      </c>
      <c r="D103" s="32" t="s">
        <v>943</v>
      </c>
      <c r="E103" s="33" t="s">
        <v>764</v>
      </c>
      <c r="F103" s="34">
        <v>306602</v>
      </c>
      <c r="G103" s="34">
        <v>600000</v>
      </c>
      <c r="H103" s="35" t="s">
        <v>944</v>
      </c>
    </row>
    <row r="104" spans="1:8" ht="27" customHeight="1" x14ac:dyDescent="0.2">
      <c r="A104" s="31" t="s">
        <v>941</v>
      </c>
      <c r="B104" s="32" t="s">
        <v>942</v>
      </c>
      <c r="C104" s="32" t="s">
        <v>763</v>
      </c>
      <c r="D104" s="32" t="s">
        <v>945</v>
      </c>
      <c r="E104" s="33" t="s">
        <v>764</v>
      </c>
      <c r="F104" s="34">
        <v>0</v>
      </c>
      <c r="G104" s="34">
        <v>800000</v>
      </c>
      <c r="H104" s="35" t="s">
        <v>946</v>
      </c>
    </row>
    <row r="105" spans="1:8" ht="27" customHeight="1" x14ac:dyDescent="0.2">
      <c r="A105" s="31" t="s">
        <v>941</v>
      </c>
      <c r="B105" s="32" t="s">
        <v>942</v>
      </c>
      <c r="C105" s="32" t="s">
        <v>766</v>
      </c>
      <c r="D105" s="32" t="s">
        <v>947</v>
      </c>
      <c r="E105" s="33" t="s">
        <v>768</v>
      </c>
      <c r="F105" s="34">
        <v>706583</v>
      </c>
      <c r="G105" s="34">
        <v>706583</v>
      </c>
      <c r="H105" s="35" t="s">
        <v>948</v>
      </c>
    </row>
    <row r="106" spans="1:8" ht="27" customHeight="1" x14ac:dyDescent="0.2">
      <c r="A106" s="31" t="s">
        <v>941</v>
      </c>
      <c r="B106" s="32" t="s">
        <v>942</v>
      </c>
      <c r="C106" s="32" t="s">
        <v>770</v>
      </c>
      <c r="D106" s="32" t="s">
        <v>949</v>
      </c>
      <c r="E106" s="33" t="s">
        <v>772</v>
      </c>
      <c r="F106" s="34">
        <v>446240</v>
      </c>
      <c r="G106" s="34">
        <v>490000</v>
      </c>
      <c r="H106" s="35" t="s">
        <v>950</v>
      </c>
    </row>
    <row r="107" spans="1:8" ht="27" customHeight="1" x14ac:dyDescent="0.2">
      <c r="A107" s="31" t="s">
        <v>941</v>
      </c>
      <c r="B107" s="32" t="s">
        <v>942</v>
      </c>
      <c r="C107" s="32" t="s">
        <v>886</v>
      </c>
      <c r="D107" s="32" t="s">
        <v>951</v>
      </c>
      <c r="E107" s="33" t="s">
        <v>887</v>
      </c>
      <c r="F107" s="34">
        <v>441712</v>
      </c>
      <c r="G107" s="34">
        <v>441712</v>
      </c>
      <c r="H107" s="35" t="s">
        <v>952</v>
      </c>
    </row>
    <row r="108" spans="1:8" ht="27" customHeight="1" x14ac:dyDescent="0.2">
      <c r="A108" s="31" t="s">
        <v>941</v>
      </c>
      <c r="B108" s="32" t="s">
        <v>942</v>
      </c>
      <c r="C108" s="32" t="s">
        <v>860</v>
      </c>
      <c r="D108" s="32" t="s">
        <v>911</v>
      </c>
      <c r="E108" s="33" t="s">
        <v>861</v>
      </c>
      <c r="F108" s="34">
        <v>1183689</v>
      </c>
      <c r="G108" s="34">
        <v>1183689</v>
      </c>
      <c r="H108" s="35" t="s">
        <v>953</v>
      </c>
    </row>
    <row r="109" spans="1:8" ht="27" customHeight="1" x14ac:dyDescent="0.2">
      <c r="A109" s="31" t="s">
        <v>941</v>
      </c>
      <c r="B109" s="32" t="s">
        <v>942</v>
      </c>
      <c r="C109" s="32" t="s">
        <v>796</v>
      </c>
      <c r="D109" s="32" t="s">
        <v>954</v>
      </c>
      <c r="E109" s="33" t="s">
        <v>772</v>
      </c>
      <c r="F109" s="34">
        <v>804234</v>
      </c>
      <c r="G109" s="34">
        <v>804234</v>
      </c>
      <c r="H109" s="35" t="s">
        <v>955</v>
      </c>
    </row>
    <row r="110" spans="1:8" ht="27" customHeight="1" x14ac:dyDescent="0.2">
      <c r="A110" s="31" t="s">
        <v>941</v>
      </c>
      <c r="B110" s="32" t="s">
        <v>942</v>
      </c>
      <c r="C110" s="32" t="s">
        <v>779</v>
      </c>
      <c r="D110" s="32" t="s">
        <v>876</v>
      </c>
      <c r="E110" s="33" t="s">
        <v>780</v>
      </c>
      <c r="F110" s="34">
        <v>86139</v>
      </c>
      <c r="G110" s="34">
        <v>86139</v>
      </c>
      <c r="H110" s="35" t="s">
        <v>956</v>
      </c>
    </row>
    <row r="111" spans="1:8" ht="27" customHeight="1" x14ac:dyDescent="0.2">
      <c r="A111" s="31" t="s">
        <v>957</v>
      </c>
      <c r="B111" s="32" t="s">
        <v>958</v>
      </c>
      <c r="C111" s="32" t="s">
        <v>770</v>
      </c>
      <c r="D111" s="32" t="s">
        <v>810</v>
      </c>
      <c r="E111" s="33" t="s">
        <v>772</v>
      </c>
      <c r="F111" s="34">
        <v>437743</v>
      </c>
      <c r="G111" s="34">
        <v>438343</v>
      </c>
      <c r="H111" s="35" t="s">
        <v>959</v>
      </c>
    </row>
    <row r="112" spans="1:8" ht="27" customHeight="1" x14ac:dyDescent="0.2">
      <c r="A112" s="31" t="s">
        <v>957</v>
      </c>
      <c r="B112" s="32" t="s">
        <v>958</v>
      </c>
      <c r="C112" s="32" t="s">
        <v>860</v>
      </c>
      <c r="D112" s="32" t="s">
        <v>911</v>
      </c>
      <c r="E112" s="33" t="s">
        <v>861</v>
      </c>
      <c r="F112" s="34">
        <v>30002</v>
      </c>
      <c r="G112" s="34">
        <v>30003</v>
      </c>
      <c r="H112" s="35" t="s">
        <v>960</v>
      </c>
    </row>
    <row r="113" spans="1:8" ht="27" customHeight="1" x14ac:dyDescent="0.2">
      <c r="A113" s="31" t="s">
        <v>957</v>
      </c>
      <c r="B113" s="32" t="s">
        <v>958</v>
      </c>
      <c r="C113" s="32" t="s">
        <v>796</v>
      </c>
      <c r="D113" s="32" t="s">
        <v>961</v>
      </c>
      <c r="E113" s="33" t="s">
        <v>823</v>
      </c>
      <c r="F113" s="34">
        <v>190011</v>
      </c>
      <c r="G113" s="34">
        <v>190015</v>
      </c>
      <c r="H113" s="35" t="s">
        <v>962</v>
      </c>
    </row>
    <row r="114" spans="1:8" ht="27" customHeight="1" x14ac:dyDescent="0.2">
      <c r="A114" s="31" t="s">
        <v>957</v>
      </c>
      <c r="B114" s="32" t="s">
        <v>958</v>
      </c>
      <c r="C114" s="32" t="s">
        <v>779</v>
      </c>
      <c r="D114" s="32" t="s">
        <v>826</v>
      </c>
      <c r="E114" s="33" t="s">
        <v>780</v>
      </c>
      <c r="F114" s="34">
        <v>22501</v>
      </c>
      <c r="G114" s="34">
        <v>22502</v>
      </c>
      <c r="H114" s="35" t="s">
        <v>963</v>
      </c>
    </row>
    <row r="115" spans="1:8" ht="27" customHeight="1" x14ac:dyDescent="0.2">
      <c r="A115" s="31" t="s">
        <v>957</v>
      </c>
      <c r="B115" s="32" t="s">
        <v>958</v>
      </c>
      <c r="C115" s="32" t="s">
        <v>782</v>
      </c>
      <c r="D115" s="32" t="s">
        <v>964</v>
      </c>
      <c r="E115" s="33" t="s">
        <v>784</v>
      </c>
      <c r="F115" s="34">
        <v>37502</v>
      </c>
      <c r="G115" s="34">
        <v>37503</v>
      </c>
      <c r="H115" s="35" t="s">
        <v>965</v>
      </c>
    </row>
    <row r="116" spans="1:8" ht="27" customHeight="1" x14ac:dyDescent="0.2">
      <c r="A116" s="31" t="s">
        <v>966</v>
      </c>
      <c r="B116" s="32" t="s">
        <v>174</v>
      </c>
      <c r="C116" s="32" t="s">
        <v>763</v>
      </c>
      <c r="D116" s="32" t="s">
        <v>967</v>
      </c>
      <c r="E116" s="33" t="s">
        <v>764</v>
      </c>
      <c r="F116" s="34">
        <v>425095</v>
      </c>
      <c r="G116" s="34">
        <v>426158</v>
      </c>
      <c r="H116" s="35" t="s">
        <v>968</v>
      </c>
    </row>
    <row r="117" spans="1:8" ht="27" customHeight="1" x14ac:dyDescent="0.2">
      <c r="A117" s="31" t="s">
        <v>966</v>
      </c>
      <c r="B117" s="32" t="s">
        <v>174</v>
      </c>
      <c r="C117" s="32" t="s">
        <v>763</v>
      </c>
      <c r="D117" s="32" t="s">
        <v>969</v>
      </c>
      <c r="E117" s="33" t="s">
        <v>764</v>
      </c>
      <c r="F117" s="34">
        <v>18252</v>
      </c>
      <c r="G117" s="34">
        <v>18252</v>
      </c>
      <c r="H117" s="35" t="s">
        <v>968</v>
      </c>
    </row>
    <row r="118" spans="1:8" ht="27" customHeight="1" x14ac:dyDescent="0.2">
      <c r="A118" s="31" t="s">
        <v>966</v>
      </c>
      <c r="B118" s="32" t="s">
        <v>174</v>
      </c>
      <c r="C118" s="32" t="s">
        <v>770</v>
      </c>
      <c r="D118" s="32" t="s">
        <v>970</v>
      </c>
      <c r="E118" s="33" t="s">
        <v>772</v>
      </c>
      <c r="F118" s="34">
        <v>66619</v>
      </c>
      <c r="G118" s="34">
        <v>66786</v>
      </c>
      <c r="H118" s="35" t="s">
        <v>971</v>
      </c>
    </row>
    <row r="119" spans="1:8" ht="27" customHeight="1" x14ac:dyDescent="0.2">
      <c r="A119" s="31" t="s">
        <v>966</v>
      </c>
      <c r="B119" s="32" t="s">
        <v>174</v>
      </c>
      <c r="C119" s="32" t="s">
        <v>844</v>
      </c>
      <c r="D119" s="32" t="s">
        <v>972</v>
      </c>
      <c r="E119" s="33" t="s">
        <v>846</v>
      </c>
      <c r="F119" s="34">
        <v>454831</v>
      </c>
      <c r="G119" s="34">
        <v>455968</v>
      </c>
      <c r="H119" s="35" t="s">
        <v>971</v>
      </c>
    </row>
    <row r="120" spans="1:8" ht="27" customHeight="1" x14ac:dyDescent="0.2">
      <c r="A120" s="31" t="s">
        <v>966</v>
      </c>
      <c r="B120" s="32" t="s">
        <v>174</v>
      </c>
      <c r="C120" s="32" t="s">
        <v>773</v>
      </c>
      <c r="D120" s="32" t="s">
        <v>973</v>
      </c>
      <c r="E120" s="33" t="s">
        <v>775</v>
      </c>
      <c r="F120" s="34">
        <v>236886</v>
      </c>
      <c r="G120" s="34">
        <v>237478</v>
      </c>
      <c r="H120" s="35" t="s">
        <v>971</v>
      </c>
    </row>
    <row r="121" spans="1:8" ht="27" customHeight="1" x14ac:dyDescent="0.2">
      <c r="A121" s="31" t="s">
        <v>966</v>
      </c>
      <c r="B121" s="32" t="s">
        <v>174</v>
      </c>
      <c r="C121" s="32" t="s">
        <v>860</v>
      </c>
      <c r="D121" s="32" t="s">
        <v>911</v>
      </c>
      <c r="E121" s="33" t="s">
        <v>861</v>
      </c>
      <c r="F121" s="34">
        <v>396282</v>
      </c>
      <c r="G121" s="34">
        <v>397273</v>
      </c>
      <c r="H121" s="35" t="s">
        <v>971</v>
      </c>
    </row>
    <row r="122" spans="1:8" ht="27" customHeight="1" x14ac:dyDescent="0.2">
      <c r="A122" s="31" t="s">
        <v>966</v>
      </c>
      <c r="B122" s="32" t="s">
        <v>174</v>
      </c>
      <c r="C122" s="32" t="s">
        <v>796</v>
      </c>
      <c r="D122" s="32" t="s">
        <v>811</v>
      </c>
      <c r="E122" s="33" t="s">
        <v>823</v>
      </c>
      <c r="F122" s="34">
        <v>443191</v>
      </c>
      <c r="G122" s="34">
        <v>444299</v>
      </c>
      <c r="H122" s="35" t="s">
        <v>971</v>
      </c>
    </row>
    <row r="123" spans="1:8" ht="27" customHeight="1" x14ac:dyDescent="0.2">
      <c r="A123" s="31" t="s">
        <v>966</v>
      </c>
      <c r="B123" s="32" t="s">
        <v>174</v>
      </c>
      <c r="C123" s="32" t="s">
        <v>776</v>
      </c>
      <c r="D123" s="32" t="s">
        <v>812</v>
      </c>
      <c r="E123" s="33" t="s">
        <v>777</v>
      </c>
      <c r="F123" s="34">
        <v>136403</v>
      </c>
      <c r="G123" s="34">
        <v>136744</v>
      </c>
      <c r="H123" s="35" t="s">
        <v>971</v>
      </c>
    </row>
    <row r="124" spans="1:8" ht="27" customHeight="1" x14ac:dyDescent="0.2">
      <c r="A124" s="31" t="s">
        <v>966</v>
      </c>
      <c r="B124" s="32" t="s">
        <v>174</v>
      </c>
      <c r="C124" s="32" t="s">
        <v>779</v>
      </c>
      <c r="D124" s="32" t="s">
        <v>826</v>
      </c>
      <c r="E124" s="33" t="s">
        <v>780</v>
      </c>
      <c r="F124" s="34">
        <v>907985</v>
      </c>
      <c r="G124" s="34">
        <v>910255</v>
      </c>
      <c r="H124" s="35" t="s">
        <v>971</v>
      </c>
    </row>
    <row r="125" spans="1:8" ht="27" customHeight="1" x14ac:dyDescent="0.2">
      <c r="A125" s="31" t="s">
        <v>974</v>
      </c>
      <c r="B125" s="32" t="s">
        <v>300</v>
      </c>
      <c r="C125" s="32" t="s">
        <v>770</v>
      </c>
      <c r="D125" s="32" t="s">
        <v>810</v>
      </c>
      <c r="E125" s="33" t="s">
        <v>772</v>
      </c>
      <c r="F125" s="34">
        <v>437743</v>
      </c>
      <c r="G125" s="34">
        <v>438343</v>
      </c>
      <c r="H125" s="35" t="s">
        <v>975</v>
      </c>
    </row>
    <row r="126" spans="1:8" ht="27" customHeight="1" x14ac:dyDescent="0.2">
      <c r="A126" s="31" t="s">
        <v>974</v>
      </c>
      <c r="B126" s="32" t="s">
        <v>300</v>
      </c>
      <c r="C126" s="32" t="s">
        <v>860</v>
      </c>
      <c r="D126" s="32" t="s">
        <v>911</v>
      </c>
      <c r="E126" s="33" t="s">
        <v>861</v>
      </c>
      <c r="F126" s="34">
        <v>97644</v>
      </c>
      <c r="G126" s="34">
        <v>97648</v>
      </c>
      <c r="H126" s="35" t="s">
        <v>976</v>
      </c>
    </row>
    <row r="127" spans="1:8" ht="27" customHeight="1" x14ac:dyDescent="0.2">
      <c r="A127" s="31" t="s">
        <v>974</v>
      </c>
      <c r="B127" s="32" t="s">
        <v>300</v>
      </c>
      <c r="C127" s="32" t="s">
        <v>796</v>
      </c>
      <c r="D127" s="32" t="s">
        <v>811</v>
      </c>
      <c r="E127" s="33" t="s">
        <v>823</v>
      </c>
      <c r="F127" s="34">
        <v>190011</v>
      </c>
      <c r="G127" s="34">
        <v>190015</v>
      </c>
      <c r="H127" s="35" t="s">
        <v>977</v>
      </c>
    </row>
    <row r="128" spans="1:8" ht="27" customHeight="1" x14ac:dyDescent="0.2">
      <c r="A128" s="31" t="s">
        <v>974</v>
      </c>
      <c r="B128" s="32" t="s">
        <v>300</v>
      </c>
      <c r="C128" s="32" t="s">
        <v>776</v>
      </c>
      <c r="D128" s="32" t="s">
        <v>812</v>
      </c>
      <c r="E128" s="33" t="s">
        <v>777</v>
      </c>
      <c r="F128" s="34">
        <v>30000</v>
      </c>
      <c r="G128" s="34">
        <v>30005</v>
      </c>
      <c r="H128" s="35" t="s">
        <v>978</v>
      </c>
    </row>
    <row r="129" spans="1:8" ht="27" customHeight="1" x14ac:dyDescent="0.2">
      <c r="A129" s="31" t="s">
        <v>974</v>
      </c>
      <c r="B129" s="32" t="s">
        <v>300</v>
      </c>
      <c r="C129" s="32" t="s">
        <v>779</v>
      </c>
      <c r="D129" s="32" t="s">
        <v>826</v>
      </c>
      <c r="E129" s="33" t="s">
        <v>780</v>
      </c>
      <c r="F129" s="34">
        <v>43340</v>
      </c>
      <c r="G129" s="34">
        <v>43342</v>
      </c>
      <c r="H129" s="35" t="s">
        <v>979</v>
      </c>
    </row>
    <row r="130" spans="1:8" ht="27" customHeight="1" x14ac:dyDescent="0.2">
      <c r="A130" s="31" t="s">
        <v>974</v>
      </c>
      <c r="B130" s="32" t="s">
        <v>300</v>
      </c>
      <c r="C130" s="32" t="s">
        <v>782</v>
      </c>
      <c r="D130" s="32" t="s">
        <v>980</v>
      </c>
      <c r="E130" s="33" t="s">
        <v>784</v>
      </c>
      <c r="F130" s="34">
        <v>37506</v>
      </c>
      <c r="G130" s="34">
        <v>37508</v>
      </c>
      <c r="H130" s="35" t="s">
        <v>981</v>
      </c>
    </row>
    <row r="131" spans="1:8" ht="27" customHeight="1" x14ac:dyDescent="0.2">
      <c r="A131" s="31" t="s">
        <v>982</v>
      </c>
      <c r="B131" s="32" t="s">
        <v>983</v>
      </c>
      <c r="C131" s="32" t="s">
        <v>763</v>
      </c>
      <c r="D131" s="32" t="s">
        <v>984</v>
      </c>
      <c r="E131" s="33" t="s">
        <v>764</v>
      </c>
      <c r="F131" s="34">
        <v>0</v>
      </c>
      <c r="G131" s="34">
        <v>350000</v>
      </c>
      <c r="H131" s="35" t="s">
        <v>985</v>
      </c>
    </row>
    <row r="132" spans="1:8" ht="27" customHeight="1" x14ac:dyDescent="0.2">
      <c r="A132" s="31" t="s">
        <v>982</v>
      </c>
      <c r="B132" s="32" t="s">
        <v>983</v>
      </c>
      <c r="C132" s="32" t="s">
        <v>763</v>
      </c>
      <c r="D132" s="32" t="s">
        <v>986</v>
      </c>
      <c r="E132" s="33" t="s">
        <v>764</v>
      </c>
      <c r="F132" s="34">
        <v>0</v>
      </c>
      <c r="G132" s="34">
        <v>400000</v>
      </c>
      <c r="H132" s="35" t="s">
        <v>987</v>
      </c>
    </row>
    <row r="133" spans="1:8" ht="27" customHeight="1" x14ac:dyDescent="0.2">
      <c r="A133" s="31" t="s">
        <v>982</v>
      </c>
      <c r="B133" s="32" t="s">
        <v>983</v>
      </c>
      <c r="C133" s="32" t="s">
        <v>763</v>
      </c>
      <c r="D133" s="32" t="s">
        <v>988</v>
      </c>
      <c r="E133" s="33" t="s">
        <v>764</v>
      </c>
      <c r="F133" s="34">
        <v>0</v>
      </c>
      <c r="G133" s="34">
        <v>1032000</v>
      </c>
      <c r="H133" s="35" t="s">
        <v>989</v>
      </c>
    </row>
    <row r="134" spans="1:8" ht="27" customHeight="1" x14ac:dyDescent="0.2">
      <c r="A134" s="31" t="s">
        <v>982</v>
      </c>
      <c r="B134" s="32" t="s">
        <v>983</v>
      </c>
      <c r="C134" s="32" t="s">
        <v>770</v>
      </c>
      <c r="D134" s="32" t="s">
        <v>770</v>
      </c>
      <c r="E134" s="33" t="s">
        <v>772</v>
      </c>
      <c r="F134" s="34">
        <v>190316</v>
      </c>
      <c r="G134" s="34">
        <v>190316</v>
      </c>
      <c r="H134" s="35" t="s">
        <v>990</v>
      </c>
    </row>
    <row r="135" spans="1:8" ht="27" customHeight="1" x14ac:dyDescent="0.2">
      <c r="A135" s="31" t="s">
        <v>982</v>
      </c>
      <c r="B135" s="32" t="s">
        <v>983</v>
      </c>
      <c r="C135" s="32" t="s">
        <v>844</v>
      </c>
      <c r="D135" s="32" t="s">
        <v>844</v>
      </c>
      <c r="E135" s="33" t="s">
        <v>846</v>
      </c>
      <c r="F135" s="34">
        <v>218123</v>
      </c>
      <c r="G135" s="34">
        <v>368127</v>
      </c>
      <c r="H135" s="35" t="s">
        <v>991</v>
      </c>
    </row>
    <row r="136" spans="1:8" ht="27" customHeight="1" x14ac:dyDescent="0.2">
      <c r="A136" s="31" t="s">
        <v>982</v>
      </c>
      <c r="B136" s="32" t="s">
        <v>983</v>
      </c>
      <c r="C136" s="32" t="s">
        <v>796</v>
      </c>
      <c r="D136" s="32" t="s">
        <v>796</v>
      </c>
      <c r="E136" s="33" t="s">
        <v>823</v>
      </c>
      <c r="F136" s="34">
        <v>716091</v>
      </c>
      <c r="G136" s="34">
        <v>716091</v>
      </c>
      <c r="H136" s="35" t="s">
        <v>992</v>
      </c>
    </row>
    <row r="137" spans="1:8" ht="27" customHeight="1" x14ac:dyDescent="0.2">
      <c r="A137" s="31" t="s">
        <v>982</v>
      </c>
      <c r="B137" s="32" t="s">
        <v>983</v>
      </c>
      <c r="C137" s="32" t="s">
        <v>776</v>
      </c>
      <c r="D137" s="32" t="s">
        <v>776</v>
      </c>
      <c r="E137" s="33" t="s">
        <v>777</v>
      </c>
      <c r="F137" s="34">
        <v>101946</v>
      </c>
      <c r="G137" s="34">
        <v>101946</v>
      </c>
      <c r="H137" s="35" t="s">
        <v>993</v>
      </c>
    </row>
    <row r="138" spans="1:8" ht="27" customHeight="1" x14ac:dyDescent="0.2">
      <c r="A138" s="31" t="s">
        <v>982</v>
      </c>
      <c r="B138" s="32" t="s">
        <v>983</v>
      </c>
      <c r="C138" s="32" t="s">
        <v>779</v>
      </c>
      <c r="D138" s="32" t="s">
        <v>802</v>
      </c>
      <c r="E138" s="33" t="s">
        <v>780</v>
      </c>
      <c r="F138" s="34">
        <v>120716</v>
      </c>
      <c r="G138" s="34">
        <v>115717</v>
      </c>
      <c r="H138" s="35" t="s">
        <v>994</v>
      </c>
    </row>
    <row r="139" spans="1:8" ht="27" customHeight="1" x14ac:dyDescent="0.2">
      <c r="A139" s="31" t="s">
        <v>982</v>
      </c>
      <c r="B139" s="32" t="s">
        <v>983</v>
      </c>
      <c r="C139" s="32" t="s">
        <v>782</v>
      </c>
      <c r="D139" s="32" t="s">
        <v>782</v>
      </c>
      <c r="E139" s="33" t="s">
        <v>784</v>
      </c>
      <c r="F139" s="34">
        <v>0</v>
      </c>
      <c r="G139" s="34">
        <v>100000</v>
      </c>
      <c r="H139" s="35" t="s">
        <v>995</v>
      </c>
    </row>
    <row r="140" spans="1:8" ht="27" customHeight="1" x14ac:dyDescent="0.2">
      <c r="A140" s="31" t="s">
        <v>996</v>
      </c>
      <c r="B140" s="32" t="s">
        <v>997</v>
      </c>
      <c r="C140" s="32" t="s">
        <v>763</v>
      </c>
      <c r="D140" s="32" t="s">
        <v>998</v>
      </c>
      <c r="E140" s="33" t="s">
        <v>764</v>
      </c>
      <c r="F140" s="34">
        <v>643155</v>
      </c>
      <c r="G140" s="34">
        <v>643155</v>
      </c>
      <c r="H140" s="35" t="s">
        <v>999</v>
      </c>
    </row>
    <row r="141" spans="1:8" ht="27" customHeight="1" x14ac:dyDescent="0.2">
      <c r="A141" s="31" t="s">
        <v>996</v>
      </c>
      <c r="B141" s="32" t="s">
        <v>997</v>
      </c>
      <c r="C141" s="32" t="s">
        <v>763</v>
      </c>
      <c r="D141" s="32" t="s">
        <v>816</v>
      </c>
      <c r="E141" s="33" t="s">
        <v>764</v>
      </c>
      <c r="F141" s="34">
        <v>512836</v>
      </c>
      <c r="G141" s="34">
        <v>412836</v>
      </c>
      <c r="H141" s="35" t="s">
        <v>1000</v>
      </c>
    </row>
    <row r="142" spans="1:8" ht="27" customHeight="1" x14ac:dyDescent="0.2">
      <c r="A142" s="31" t="s">
        <v>996</v>
      </c>
      <c r="B142" s="32" t="s">
        <v>997</v>
      </c>
      <c r="C142" s="32" t="s">
        <v>766</v>
      </c>
      <c r="D142" s="32" t="s">
        <v>818</v>
      </c>
      <c r="E142" s="33" t="s">
        <v>768</v>
      </c>
      <c r="F142" s="34">
        <v>172833</v>
      </c>
      <c r="G142" s="34">
        <v>172833</v>
      </c>
      <c r="H142" s="35" t="s">
        <v>1001</v>
      </c>
    </row>
    <row r="143" spans="1:8" ht="27" customHeight="1" x14ac:dyDescent="0.2">
      <c r="A143" s="31" t="s">
        <v>996</v>
      </c>
      <c r="B143" s="32" t="s">
        <v>997</v>
      </c>
      <c r="C143" s="32" t="s">
        <v>770</v>
      </c>
      <c r="D143" s="32" t="s">
        <v>1002</v>
      </c>
      <c r="E143" s="33" t="s">
        <v>772</v>
      </c>
      <c r="F143" s="34">
        <v>296381</v>
      </c>
      <c r="G143" s="34">
        <v>296381</v>
      </c>
      <c r="H143" s="35" t="s">
        <v>1001</v>
      </c>
    </row>
    <row r="144" spans="1:8" ht="27" customHeight="1" x14ac:dyDescent="0.2">
      <c r="A144" s="31" t="s">
        <v>996</v>
      </c>
      <c r="B144" s="32" t="s">
        <v>997</v>
      </c>
      <c r="C144" s="32" t="s">
        <v>860</v>
      </c>
      <c r="D144" s="32" t="s">
        <v>911</v>
      </c>
      <c r="E144" s="33" t="s">
        <v>861</v>
      </c>
      <c r="F144" s="34">
        <v>120006</v>
      </c>
      <c r="G144" s="34">
        <v>108006</v>
      </c>
      <c r="H144" s="35" t="s">
        <v>1003</v>
      </c>
    </row>
    <row r="145" spans="1:8" ht="27" customHeight="1" x14ac:dyDescent="0.2">
      <c r="A145" s="31" t="s">
        <v>996</v>
      </c>
      <c r="B145" s="32" t="s">
        <v>997</v>
      </c>
      <c r="C145" s="32" t="s">
        <v>796</v>
      </c>
      <c r="D145" s="32" t="s">
        <v>961</v>
      </c>
      <c r="E145" s="33" t="s">
        <v>823</v>
      </c>
      <c r="F145" s="34">
        <v>200000</v>
      </c>
      <c r="G145" s="34">
        <v>200000</v>
      </c>
      <c r="H145" s="35" t="s">
        <v>1001</v>
      </c>
    </row>
    <row r="146" spans="1:8" ht="27" customHeight="1" x14ac:dyDescent="0.2">
      <c r="A146" s="31" t="s">
        <v>996</v>
      </c>
      <c r="B146" s="32" t="s">
        <v>997</v>
      </c>
      <c r="C146" s="32" t="s">
        <v>779</v>
      </c>
      <c r="D146" s="32" t="s">
        <v>1004</v>
      </c>
      <c r="E146" s="33" t="s">
        <v>780</v>
      </c>
      <c r="F146" s="34">
        <v>38269</v>
      </c>
      <c r="G146" s="34">
        <v>38269</v>
      </c>
      <c r="H146" s="35" t="s">
        <v>1001</v>
      </c>
    </row>
    <row r="147" spans="1:8" ht="27" customHeight="1" x14ac:dyDescent="0.2">
      <c r="A147" s="31" t="s">
        <v>996</v>
      </c>
      <c r="B147" s="32" t="s">
        <v>997</v>
      </c>
      <c r="C147" s="32" t="s">
        <v>782</v>
      </c>
      <c r="D147" s="32" t="s">
        <v>1005</v>
      </c>
      <c r="E147" s="33" t="s">
        <v>784</v>
      </c>
      <c r="F147" s="34">
        <v>20000</v>
      </c>
      <c r="G147" s="34">
        <v>20000</v>
      </c>
      <c r="H147" s="35" t="s">
        <v>1001</v>
      </c>
    </row>
    <row r="148" spans="1:8" ht="27" customHeight="1" x14ac:dyDescent="0.2">
      <c r="A148" s="31" t="s">
        <v>1006</v>
      </c>
      <c r="B148" s="32" t="s">
        <v>1007</v>
      </c>
      <c r="C148" s="32" t="s">
        <v>763</v>
      </c>
      <c r="D148" s="32" t="s">
        <v>1008</v>
      </c>
      <c r="E148" s="33" t="s">
        <v>764</v>
      </c>
      <c r="F148" s="34">
        <v>645572</v>
      </c>
      <c r="G148" s="34">
        <v>845800</v>
      </c>
      <c r="H148" s="35" t="s">
        <v>859</v>
      </c>
    </row>
    <row r="149" spans="1:8" ht="27" customHeight="1" x14ac:dyDescent="0.2">
      <c r="A149" s="31" t="s">
        <v>1006</v>
      </c>
      <c r="B149" s="32" t="s">
        <v>1007</v>
      </c>
      <c r="C149" s="32" t="s">
        <v>763</v>
      </c>
      <c r="D149" s="32" t="s">
        <v>1009</v>
      </c>
      <c r="E149" s="33" t="s">
        <v>764</v>
      </c>
      <c r="F149" s="34">
        <v>625</v>
      </c>
      <c r="G149" s="34">
        <v>625</v>
      </c>
      <c r="H149" s="35" t="s">
        <v>859</v>
      </c>
    </row>
    <row r="150" spans="1:8" ht="27" customHeight="1" x14ac:dyDescent="0.2">
      <c r="A150" s="31" t="s">
        <v>1006</v>
      </c>
      <c r="B150" s="32" t="s">
        <v>1007</v>
      </c>
      <c r="C150" s="32" t="s">
        <v>763</v>
      </c>
      <c r="D150" s="32" t="s">
        <v>816</v>
      </c>
      <c r="E150" s="33" t="s">
        <v>764</v>
      </c>
      <c r="F150" s="34">
        <v>247401</v>
      </c>
      <c r="G150" s="34">
        <v>0</v>
      </c>
      <c r="H150" s="35" t="s">
        <v>1010</v>
      </c>
    </row>
    <row r="151" spans="1:8" ht="27" customHeight="1" x14ac:dyDescent="0.2">
      <c r="A151" s="31" t="s">
        <v>1006</v>
      </c>
      <c r="B151" s="32" t="s">
        <v>1007</v>
      </c>
      <c r="C151" s="32" t="s">
        <v>766</v>
      </c>
      <c r="D151" s="32" t="s">
        <v>832</v>
      </c>
      <c r="E151" s="33" t="s">
        <v>768</v>
      </c>
      <c r="F151" s="34">
        <v>342254</v>
      </c>
      <c r="G151" s="34">
        <v>342316</v>
      </c>
      <c r="H151" s="35" t="s">
        <v>859</v>
      </c>
    </row>
    <row r="152" spans="1:8" ht="27" customHeight="1" x14ac:dyDescent="0.2">
      <c r="A152" s="31" t="s">
        <v>1006</v>
      </c>
      <c r="B152" s="32" t="s">
        <v>1007</v>
      </c>
      <c r="C152" s="32" t="s">
        <v>770</v>
      </c>
      <c r="D152" s="32" t="s">
        <v>1011</v>
      </c>
      <c r="E152" s="33" t="s">
        <v>772</v>
      </c>
      <c r="F152" s="34">
        <v>2091200</v>
      </c>
      <c r="G152" s="34">
        <v>1951450</v>
      </c>
      <c r="H152" s="35" t="s">
        <v>1012</v>
      </c>
    </row>
    <row r="153" spans="1:8" ht="27" customHeight="1" x14ac:dyDescent="0.2">
      <c r="A153" s="31" t="s">
        <v>1006</v>
      </c>
      <c r="B153" s="32" t="s">
        <v>1007</v>
      </c>
      <c r="C153" s="32" t="s">
        <v>844</v>
      </c>
      <c r="D153" s="32" t="s">
        <v>972</v>
      </c>
      <c r="E153" s="33" t="s">
        <v>846</v>
      </c>
      <c r="F153" s="34">
        <v>25008</v>
      </c>
      <c r="G153" s="34">
        <v>25016</v>
      </c>
      <c r="H153" s="35" t="s">
        <v>859</v>
      </c>
    </row>
    <row r="154" spans="1:8" ht="27" customHeight="1" x14ac:dyDescent="0.2">
      <c r="A154" s="31" t="s">
        <v>1006</v>
      </c>
      <c r="B154" s="32" t="s">
        <v>1007</v>
      </c>
      <c r="C154" s="32" t="s">
        <v>886</v>
      </c>
      <c r="D154" s="32" t="s">
        <v>1013</v>
      </c>
      <c r="E154" s="33" t="s">
        <v>887</v>
      </c>
      <c r="F154" s="34">
        <v>15004</v>
      </c>
      <c r="G154" s="34">
        <v>15008</v>
      </c>
      <c r="H154" s="35" t="s">
        <v>859</v>
      </c>
    </row>
    <row r="155" spans="1:8" ht="27" customHeight="1" x14ac:dyDescent="0.2">
      <c r="A155" s="31" t="s">
        <v>1006</v>
      </c>
      <c r="B155" s="32" t="s">
        <v>1007</v>
      </c>
      <c r="C155" s="32" t="s">
        <v>860</v>
      </c>
      <c r="D155" s="32" t="s">
        <v>911</v>
      </c>
      <c r="E155" s="33" t="s">
        <v>861</v>
      </c>
      <c r="F155" s="34">
        <v>200061</v>
      </c>
      <c r="G155" s="34">
        <v>200120</v>
      </c>
      <c r="H155" s="35" t="s">
        <v>859</v>
      </c>
    </row>
    <row r="156" spans="1:8" ht="27" customHeight="1" x14ac:dyDescent="0.2">
      <c r="A156" s="31" t="s">
        <v>1006</v>
      </c>
      <c r="B156" s="32" t="s">
        <v>1007</v>
      </c>
      <c r="C156" s="32" t="s">
        <v>796</v>
      </c>
      <c r="D156" s="32" t="s">
        <v>954</v>
      </c>
      <c r="E156" s="33" t="s">
        <v>823</v>
      </c>
      <c r="F156" s="34">
        <v>1385808</v>
      </c>
      <c r="G156" s="34">
        <v>1386232</v>
      </c>
      <c r="H156" s="35" t="s">
        <v>859</v>
      </c>
    </row>
    <row r="157" spans="1:8" ht="27" customHeight="1" x14ac:dyDescent="0.2">
      <c r="A157" s="31" t="s">
        <v>1006</v>
      </c>
      <c r="B157" s="32" t="s">
        <v>1007</v>
      </c>
      <c r="C157" s="32" t="s">
        <v>798</v>
      </c>
      <c r="D157" s="32" t="s">
        <v>1014</v>
      </c>
      <c r="E157" s="33" t="s">
        <v>800</v>
      </c>
      <c r="F157" s="34">
        <v>11926</v>
      </c>
      <c r="G157" s="34">
        <v>11930</v>
      </c>
      <c r="H157" s="35" t="s">
        <v>859</v>
      </c>
    </row>
    <row r="158" spans="1:8" ht="27" customHeight="1" x14ac:dyDescent="0.2">
      <c r="A158" s="31" t="s">
        <v>1006</v>
      </c>
      <c r="B158" s="32" t="s">
        <v>1007</v>
      </c>
      <c r="C158" s="32" t="s">
        <v>779</v>
      </c>
      <c r="D158" s="32" t="s">
        <v>826</v>
      </c>
      <c r="E158" s="33" t="s">
        <v>780</v>
      </c>
      <c r="F158" s="34">
        <v>254413</v>
      </c>
      <c r="G158" s="34">
        <v>254490</v>
      </c>
      <c r="H158" s="35" t="s">
        <v>859</v>
      </c>
    </row>
    <row r="159" spans="1:8" ht="27" customHeight="1" x14ac:dyDescent="0.2">
      <c r="A159" s="31" t="s">
        <v>1006</v>
      </c>
      <c r="B159" s="32" t="s">
        <v>1007</v>
      </c>
      <c r="C159" s="32" t="s">
        <v>782</v>
      </c>
      <c r="D159" s="32" t="s">
        <v>813</v>
      </c>
      <c r="E159" s="33" t="s">
        <v>784</v>
      </c>
      <c r="F159" s="34">
        <v>242478</v>
      </c>
      <c r="G159" s="34">
        <v>242553</v>
      </c>
      <c r="H159" s="35" t="s">
        <v>859</v>
      </c>
    </row>
    <row r="160" spans="1:8" ht="27" customHeight="1" x14ac:dyDescent="0.2">
      <c r="A160" s="31" t="s">
        <v>1015</v>
      </c>
      <c r="B160" s="32" t="s">
        <v>1016</v>
      </c>
      <c r="C160" s="32" t="s">
        <v>763</v>
      </c>
      <c r="D160" s="32" t="s">
        <v>1017</v>
      </c>
      <c r="E160" s="33" t="s">
        <v>764</v>
      </c>
      <c r="F160" s="34">
        <v>16658</v>
      </c>
      <c r="G160" s="34">
        <v>1658</v>
      </c>
      <c r="H160" s="35" t="s">
        <v>1018</v>
      </c>
    </row>
    <row r="161" spans="1:8" ht="27" customHeight="1" x14ac:dyDescent="0.2">
      <c r="A161" s="31" t="s">
        <v>1015</v>
      </c>
      <c r="B161" s="32" t="s">
        <v>1016</v>
      </c>
      <c r="C161" s="32" t="s">
        <v>763</v>
      </c>
      <c r="D161" s="32" t="s">
        <v>1019</v>
      </c>
      <c r="E161" s="33" t="s">
        <v>764</v>
      </c>
      <c r="F161" s="34">
        <v>116977</v>
      </c>
      <c r="G161" s="34">
        <v>91977</v>
      </c>
      <c r="H161" s="35" t="s">
        <v>1020</v>
      </c>
    </row>
    <row r="162" spans="1:8" ht="27" customHeight="1" x14ac:dyDescent="0.2">
      <c r="A162" s="31" t="s">
        <v>1015</v>
      </c>
      <c r="B162" s="32" t="s">
        <v>1016</v>
      </c>
      <c r="C162" s="32" t="s">
        <v>766</v>
      </c>
      <c r="D162" s="32" t="s">
        <v>1021</v>
      </c>
      <c r="E162" s="33" t="s">
        <v>768</v>
      </c>
      <c r="F162" s="34">
        <v>8515</v>
      </c>
      <c r="G162" s="34">
        <v>8515</v>
      </c>
      <c r="H162" s="35" t="s">
        <v>1022</v>
      </c>
    </row>
    <row r="163" spans="1:8" ht="27" customHeight="1" x14ac:dyDescent="0.2">
      <c r="A163" s="31" t="s">
        <v>1015</v>
      </c>
      <c r="B163" s="32" t="s">
        <v>1016</v>
      </c>
      <c r="C163" s="32" t="s">
        <v>770</v>
      </c>
      <c r="D163" s="32" t="s">
        <v>1023</v>
      </c>
      <c r="E163" s="33" t="s">
        <v>772</v>
      </c>
      <c r="F163" s="34">
        <v>178804</v>
      </c>
      <c r="G163" s="34">
        <v>178804</v>
      </c>
      <c r="H163" s="35" t="s">
        <v>1024</v>
      </c>
    </row>
    <row r="164" spans="1:8" ht="27" customHeight="1" x14ac:dyDescent="0.2">
      <c r="A164" s="31" t="s">
        <v>1015</v>
      </c>
      <c r="B164" s="32" t="s">
        <v>1016</v>
      </c>
      <c r="C164" s="32" t="s">
        <v>773</v>
      </c>
      <c r="D164" s="32" t="s">
        <v>1025</v>
      </c>
      <c r="E164" s="33" t="s">
        <v>775</v>
      </c>
      <c r="F164" s="34">
        <v>70800</v>
      </c>
      <c r="G164" s="34">
        <v>70800</v>
      </c>
      <c r="H164" s="35" t="s">
        <v>1026</v>
      </c>
    </row>
    <row r="165" spans="1:8" ht="27" customHeight="1" x14ac:dyDescent="0.2">
      <c r="A165" s="31" t="s">
        <v>1015</v>
      </c>
      <c r="B165" s="32" t="s">
        <v>1016</v>
      </c>
      <c r="C165" s="32" t="s">
        <v>860</v>
      </c>
      <c r="D165" s="32" t="s">
        <v>1027</v>
      </c>
      <c r="E165" s="33" t="s">
        <v>861</v>
      </c>
      <c r="F165" s="34">
        <v>169638</v>
      </c>
      <c r="G165" s="34">
        <v>169639</v>
      </c>
      <c r="H165" s="35" t="s">
        <v>1026</v>
      </c>
    </row>
    <row r="166" spans="1:8" ht="27" customHeight="1" x14ac:dyDescent="0.2">
      <c r="A166" s="31" t="s">
        <v>1015</v>
      </c>
      <c r="B166" s="32" t="s">
        <v>1016</v>
      </c>
      <c r="C166" s="32" t="s">
        <v>796</v>
      </c>
      <c r="D166" s="32" t="s">
        <v>796</v>
      </c>
      <c r="E166" s="33" t="s">
        <v>772</v>
      </c>
      <c r="F166" s="34">
        <v>33495</v>
      </c>
      <c r="G166" s="34">
        <v>33495</v>
      </c>
      <c r="H166" s="35" t="s">
        <v>1028</v>
      </c>
    </row>
    <row r="167" spans="1:8" ht="27" customHeight="1" x14ac:dyDescent="0.2">
      <c r="A167" s="31" t="s">
        <v>1015</v>
      </c>
      <c r="B167" s="32" t="s">
        <v>1016</v>
      </c>
      <c r="C167" s="32" t="s">
        <v>776</v>
      </c>
      <c r="D167" s="32" t="s">
        <v>914</v>
      </c>
      <c r="E167" s="33" t="s">
        <v>777</v>
      </c>
      <c r="F167" s="34">
        <v>6376</v>
      </c>
      <c r="G167" s="34">
        <v>6376</v>
      </c>
      <c r="H167" s="35" t="s">
        <v>1022</v>
      </c>
    </row>
    <row r="168" spans="1:8" ht="27" customHeight="1" x14ac:dyDescent="0.2">
      <c r="A168" s="31" t="s">
        <v>1015</v>
      </c>
      <c r="B168" s="32" t="s">
        <v>1016</v>
      </c>
      <c r="C168" s="32" t="s">
        <v>779</v>
      </c>
      <c r="D168" s="32" t="s">
        <v>876</v>
      </c>
      <c r="E168" s="33" t="s">
        <v>780</v>
      </c>
      <c r="F168" s="34">
        <v>22005</v>
      </c>
      <c r="G168" s="34">
        <v>22005</v>
      </c>
      <c r="H168" s="35" t="s">
        <v>1018</v>
      </c>
    </row>
    <row r="169" spans="1:8" ht="27" customHeight="1" x14ac:dyDescent="0.2">
      <c r="A169" s="31" t="s">
        <v>1029</v>
      </c>
      <c r="B169" s="32" t="s">
        <v>719</v>
      </c>
      <c r="C169" s="32" t="s">
        <v>763</v>
      </c>
      <c r="D169" s="32" t="s">
        <v>816</v>
      </c>
      <c r="E169" s="33" t="s">
        <v>764</v>
      </c>
      <c r="F169" s="34">
        <v>0</v>
      </c>
      <c r="G169" s="34">
        <v>0</v>
      </c>
      <c r="H169" s="35" t="s">
        <v>1030</v>
      </c>
    </row>
    <row r="170" spans="1:8" ht="27" customHeight="1" x14ac:dyDescent="0.2">
      <c r="A170" s="31" t="s">
        <v>1029</v>
      </c>
      <c r="B170" s="32" t="s">
        <v>719</v>
      </c>
      <c r="C170" s="32" t="s">
        <v>766</v>
      </c>
      <c r="D170" s="32" t="s">
        <v>832</v>
      </c>
      <c r="E170" s="33" t="s">
        <v>768</v>
      </c>
      <c r="F170" s="34">
        <v>47872</v>
      </c>
      <c r="G170" s="34">
        <v>47872</v>
      </c>
      <c r="H170" s="35" t="s">
        <v>1031</v>
      </c>
    </row>
    <row r="171" spans="1:8" ht="27" customHeight="1" x14ac:dyDescent="0.2">
      <c r="A171" s="31" t="s">
        <v>1029</v>
      </c>
      <c r="B171" s="32" t="s">
        <v>719</v>
      </c>
      <c r="C171" s="32" t="s">
        <v>770</v>
      </c>
      <c r="D171" s="32" t="s">
        <v>830</v>
      </c>
      <c r="E171" s="33" t="s">
        <v>772</v>
      </c>
      <c r="F171" s="34">
        <v>408297</v>
      </c>
      <c r="G171" s="34">
        <v>408297</v>
      </c>
      <c r="H171" s="35" t="s">
        <v>1032</v>
      </c>
    </row>
    <row r="172" spans="1:8" ht="27" customHeight="1" x14ac:dyDescent="0.2">
      <c r="A172" s="31" t="s">
        <v>1029</v>
      </c>
      <c r="B172" s="32" t="s">
        <v>719</v>
      </c>
      <c r="C172" s="32" t="s">
        <v>796</v>
      </c>
      <c r="D172" s="32" t="s">
        <v>835</v>
      </c>
      <c r="E172" s="33" t="s">
        <v>772</v>
      </c>
      <c r="F172" s="34">
        <v>892382</v>
      </c>
      <c r="G172" s="34">
        <v>892382</v>
      </c>
      <c r="H172" s="35" t="s">
        <v>1033</v>
      </c>
    </row>
    <row r="173" spans="1:8" ht="27" customHeight="1" x14ac:dyDescent="0.2">
      <c r="A173" s="31" t="s">
        <v>1029</v>
      </c>
      <c r="B173" s="32" t="s">
        <v>719</v>
      </c>
      <c r="C173" s="32" t="s">
        <v>779</v>
      </c>
      <c r="D173" s="32" t="s">
        <v>1034</v>
      </c>
      <c r="E173" s="33" t="s">
        <v>780</v>
      </c>
      <c r="F173" s="34">
        <v>79816</v>
      </c>
      <c r="G173" s="34">
        <v>79816</v>
      </c>
      <c r="H173" s="35" t="s">
        <v>1035</v>
      </c>
    </row>
    <row r="174" spans="1:8" ht="27" customHeight="1" x14ac:dyDescent="0.2">
      <c r="A174" s="31" t="s">
        <v>1029</v>
      </c>
      <c r="B174" s="32" t="s">
        <v>719</v>
      </c>
      <c r="C174" s="32" t="s">
        <v>782</v>
      </c>
      <c r="D174" s="32" t="s">
        <v>1036</v>
      </c>
      <c r="E174" s="33" t="s">
        <v>784</v>
      </c>
      <c r="F174" s="34">
        <v>115256</v>
      </c>
      <c r="G174" s="34">
        <v>115256</v>
      </c>
      <c r="H174" s="35" t="s">
        <v>1037</v>
      </c>
    </row>
    <row r="175" spans="1:8" ht="27" customHeight="1" x14ac:dyDescent="0.2">
      <c r="A175" s="31" t="s">
        <v>1038</v>
      </c>
      <c r="B175" s="32" t="s">
        <v>1039</v>
      </c>
      <c r="C175" s="32" t="s">
        <v>763</v>
      </c>
      <c r="D175" s="32" t="s">
        <v>816</v>
      </c>
      <c r="E175" s="33" t="s">
        <v>764</v>
      </c>
      <c r="F175" s="34">
        <v>2753098</v>
      </c>
      <c r="G175" s="34">
        <v>2753098</v>
      </c>
      <c r="H175" s="35" t="s">
        <v>1040</v>
      </c>
    </row>
    <row r="176" spans="1:8" ht="27" customHeight="1" x14ac:dyDescent="0.2">
      <c r="A176" s="31" t="s">
        <v>1038</v>
      </c>
      <c r="B176" s="32" t="s">
        <v>1039</v>
      </c>
      <c r="C176" s="32" t="s">
        <v>763</v>
      </c>
      <c r="D176" s="32" t="s">
        <v>1041</v>
      </c>
      <c r="E176" s="33" t="s">
        <v>764</v>
      </c>
      <c r="F176" s="34">
        <v>312122</v>
      </c>
      <c r="G176" s="34">
        <v>412122</v>
      </c>
      <c r="H176" s="35" t="s">
        <v>1040</v>
      </c>
    </row>
    <row r="177" spans="1:8" ht="27" customHeight="1" x14ac:dyDescent="0.2">
      <c r="A177" s="31" t="s">
        <v>1038</v>
      </c>
      <c r="B177" s="32" t="s">
        <v>1039</v>
      </c>
      <c r="C177" s="32" t="s">
        <v>770</v>
      </c>
      <c r="D177" s="32" t="s">
        <v>810</v>
      </c>
      <c r="E177" s="33" t="s">
        <v>772</v>
      </c>
      <c r="F177" s="34">
        <v>803660</v>
      </c>
      <c r="G177" s="34">
        <v>803660</v>
      </c>
      <c r="H177" s="35" t="s">
        <v>1042</v>
      </c>
    </row>
    <row r="178" spans="1:8" ht="27" customHeight="1" x14ac:dyDescent="0.2">
      <c r="A178" s="31" t="s">
        <v>1038</v>
      </c>
      <c r="B178" s="32" t="s">
        <v>1039</v>
      </c>
      <c r="C178" s="32" t="s">
        <v>844</v>
      </c>
      <c r="D178" s="32" t="s">
        <v>972</v>
      </c>
      <c r="E178" s="33" t="s">
        <v>846</v>
      </c>
      <c r="F178" s="34">
        <v>1275008</v>
      </c>
      <c r="G178" s="34">
        <v>1275008</v>
      </c>
      <c r="H178" s="35" t="s">
        <v>1040</v>
      </c>
    </row>
    <row r="179" spans="1:8" ht="27" customHeight="1" x14ac:dyDescent="0.2">
      <c r="A179" s="31" t="s">
        <v>1038</v>
      </c>
      <c r="B179" s="32" t="s">
        <v>1039</v>
      </c>
      <c r="C179" s="32" t="s">
        <v>886</v>
      </c>
      <c r="D179" s="32" t="s">
        <v>1043</v>
      </c>
      <c r="E179" s="33" t="s">
        <v>887</v>
      </c>
      <c r="F179" s="34">
        <v>500865</v>
      </c>
      <c r="G179" s="34">
        <v>500865</v>
      </c>
      <c r="H179" s="35" t="s">
        <v>1040</v>
      </c>
    </row>
    <row r="180" spans="1:8" ht="27" customHeight="1" x14ac:dyDescent="0.2">
      <c r="A180" s="31" t="s">
        <v>1038</v>
      </c>
      <c r="B180" s="32" t="s">
        <v>1039</v>
      </c>
      <c r="C180" s="32" t="s">
        <v>860</v>
      </c>
      <c r="D180" s="32" t="s">
        <v>911</v>
      </c>
      <c r="E180" s="33" t="s">
        <v>861</v>
      </c>
      <c r="F180" s="34">
        <v>66553</v>
      </c>
      <c r="G180" s="34">
        <v>66553</v>
      </c>
      <c r="H180" s="35" t="s">
        <v>1040</v>
      </c>
    </row>
    <row r="181" spans="1:8" ht="27" customHeight="1" x14ac:dyDescent="0.2">
      <c r="A181" s="31" t="s">
        <v>1038</v>
      </c>
      <c r="B181" s="32" t="s">
        <v>1039</v>
      </c>
      <c r="C181" s="32" t="s">
        <v>796</v>
      </c>
      <c r="D181" s="32" t="s">
        <v>1044</v>
      </c>
      <c r="E181" s="33" t="s">
        <v>823</v>
      </c>
      <c r="F181" s="34">
        <v>613640</v>
      </c>
      <c r="G181" s="34">
        <v>613640</v>
      </c>
      <c r="H181" s="35" t="s">
        <v>1045</v>
      </c>
    </row>
    <row r="182" spans="1:8" ht="27" customHeight="1" x14ac:dyDescent="0.2">
      <c r="A182" s="31" t="s">
        <v>1038</v>
      </c>
      <c r="B182" s="32" t="s">
        <v>1039</v>
      </c>
      <c r="C182" s="32" t="s">
        <v>779</v>
      </c>
      <c r="D182" s="32" t="s">
        <v>826</v>
      </c>
      <c r="E182" s="33" t="s">
        <v>780</v>
      </c>
      <c r="F182" s="34">
        <v>209680</v>
      </c>
      <c r="G182" s="34">
        <v>209680</v>
      </c>
      <c r="H182" s="35" t="s">
        <v>1040</v>
      </c>
    </row>
    <row r="183" spans="1:8" ht="27" customHeight="1" x14ac:dyDescent="0.2">
      <c r="A183" s="31" t="s">
        <v>1046</v>
      </c>
      <c r="B183" s="32" t="s">
        <v>1047</v>
      </c>
      <c r="C183" s="32" t="s">
        <v>763</v>
      </c>
      <c r="D183" s="32" t="s">
        <v>763</v>
      </c>
      <c r="E183" s="33" t="s">
        <v>764</v>
      </c>
      <c r="F183" s="34">
        <v>1165887</v>
      </c>
      <c r="G183" s="34">
        <v>2957914</v>
      </c>
      <c r="H183" s="35" t="s">
        <v>1048</v>
      </c>
    </row>
    <row r="184" spans="1:8" ht="27" customHeight="1" x14ac:dyDescent="0.2">
      <c r="A184" s="31" t="s">
        <v>1046</v>
      </c>
      <c r="B184" s="32" t="s">
        <v>1047</v>
      </c>
      <c r="C184" s="32" t="s">
        <v>766</v>
      </c>
      <c r="D184" s="32" t="s">
        <v>1049</v>
      </c>
      <c r="E184" s="33" t="s">
        <v>768</v>
      </c>
      <c r="F184" s="34">
        <v>0</v>
      </c>
      <c r="G184" s="34">
        <v>0</v>
      </c>
      <c r="H184" s="35" t="s">
        <v>1049</v>
      </c>
    </row>
    <row r="185" spans="1:8" ht="27" customHeight="1" x14ac:dyDescent="0.2">
      <c r="A185" s="31" t="s">
        <v>1046</v>
      </c>
      <c r="B185" s="32" t="s">
        <v>1047</v>
      </c>
      <c r="C185" s="32" t="s">
        <v>770</v>
      </c>
      <c r="D185" s="32" t="s">
        <v>1011</v>
      </c>
      <c r="E185" s="33" t="s">
        <v>772</v>
      </c>
      <c r="F185" s="34">
        <v>234256</v>
      </c>
      <c r="G185" s="34">
        <v>185396</v>
      </c>
      <c r="H185" s="35" t="s">
        <v>1048</v>
      </c>
    </row>
    <row r="186" spans="1:8" ht="27" customHeight="1" x14ac:dyDescent="0.2">
      <c r="A186" s="31" t="s">
        <v>1046</v>
      </c>
      <c r="B186" s="32" t="s">
        <v>1047</v>
      </c>
      <c r="C186" s="32" t="s">
        <v>884</v>
      </c>
      <c r="D186" s="32" t="s">
        <v>1049</v>
      </c>
      <c r="E186" s="33" t="s">
        <v>885</v>
      </c>
      <c r="F186" s="34">
        <v>0</v>
      </c>
      <c r="G186" s="34">
        <v>0</v>
      </c>
      <c r="H186" s="35" t="s">
        <v>1049</v>
      </c>
    </row>
    <row r="187" spans="1:8" ht="27" customHeight="1" x14ac:dyDescent="0.2">
      <c r="A187" s="31" t="s">
        <v>1046</v>
      </c>
      <c r="B187" s="32" t="s">
        <v>1047</v>
      </c>
      <c r="C187" s="32" t="s">
        <v>844</v>
      </c>
      <c r="D187" s="32" t="s">
        <v>1049</v>
      </c>
      <c r="E187" s="33" t="s">
        <v>846</v>
      </c>
      <c r="F187" s="34">
        <v>0</v>
      </c>
      <c r="G187" s="34">
        <v>0</v>
      </c>
      <c r="H187" s="35" t="s">
        <v>1049</v>
      </c>
    </row>
    <row r="188" spans="1:8" ht="27" customHeight="1" x14ac:dyDescent="0.2">
      <c r="A188" s="31" t="s">
        <v>1046</v>
      </c>
      <c r="B188" s="32" t="s">
        <v>1047</v>
      </c>
      <c r="C188" s="32" t="s">
        <v>773</v>
      </c>
      <c r="D188" s="32" t="s">
        <v>1049</v>
      </c>
      <c r="E188" s="33" t="s">
        <v>775</v>
      </c>
      <c r="F188" s="34">
        <v>0</v>
      </c>
      <c r="G188" s="34">
        <v>0</v>
      </c>
      <c r="H188" s="35" t="s">
        <v>1049</v>
      </c>
    </row>
    <row r="189" spans="1:8" ht="27" customHeight="1" x14ac:dyDescent="0.2">
      <c r="A189" s="31" t="s">
        <v>1046</v>
      </c>
      <c r="B189" s="32" t="s">
        <v>1047</v>
      </c>
      <c r="C189" s="32" t="s">
        <v>831</v>
      </c>
      <c r="D189" s="32" t="s">
        <v>1049</v>
      </c>
      <c r="E189" s="33"/>
      <c r="F189" s="34">
        <v>0</v>
      </c>
      <c r="G189" s="34">
        <v>0</v>
      </c>
      <c r="H189" s="35" t="s">
        <v>1049</v>
      </c>
    </row>
    <row r="190" spans="1:8" ht="27" customHeight="1" x14ac:dyDescent="0.2">
      <c r="A190" s="31" t="s">
        <v>1046</v>
      </c>
      <c r="B190" s="32" t="s">
        <v>1047</v>
      </c>
      <c r="C190" s="32" t="s">
        <v>886</v>
      </c>
      <c r="D190" s="32" t="s">
        <v>1049</v>
      </c>
      <c r="E190" s="33" t="s">
        <v>887</v>
      </c>
      <c r="F190" s="34">
        <v>0</v>
      </c>
      <c r="G190" s="34">
        <v>0</v>
      </c>
      <c r="H190" s="35" t="s">
        <v>1049</v>
      </c>
    </row>
    <row r="191" spans="1:8" ht="27" customHeight="1" x14ac:dyDescent="0.2">
      <c r="A191" s="31" t="s">
        <v>1046</v>
      </c>
      <c r="B191" s="32" t="s">
        <v>1047</v>
      </c>
      <c r="C191" s="32" t="s">
        <v>860</v>
      </c>
      <c r="D191" s="32" t="s">
        <v>1049</v>
      </c>
      <c r="E191" s="33" t="s">
        <v>861</v>
      </c>
      <c r="F191" s="34">
        <v>0</v>
      </c>
      <c r="G191" s="34">
        <v>0</v>
      </c>
      <c r="H191" s="35" t="s">
        <v>1049</v>
      </c>
    </row>
    <row r="192" spans="1:8" ht="27" customHeight="1" x14ac:dyDescent="0.2">
      <c r="A192" s="31" t="s">
        <v>1046</v>
      </c>
      <c r="B192" s="32" t="s">
        <v>1047</v>
      </c>
      <c r="C192" s="32" t="s">
        <v>796</v>
      </c>
      <c r="D192" s="32" t="s">
        <v>1050</v>
      </c>
      <c r="E192" s="33" t="s">
        <v>823</v>
      </c>
      <c r="F192" s="34">
        <v>1941332</v>
      </c>
      <c r="G192" s="34">
        <v>1704707</v>
      </c>
      <c r="H192" s="35" t="s">
        <v>1051</v>
      </c>
    </row>
    <row r="193" spans="1:8" ht="27" customHeight="1" x14ac:dyDescent="0.2">
      <c r="A193" s="31" t="s">
        <v>1046</v>
      </c>
      <c r="B193" s="32" t="s">
        <v>1047</v>
      </c>
      <c r="C193" s="32" t="s">
        <v>776</v>
      </c>
      <c r="D193" s="32" t="s">
        <v>1049</v>
      </c>
      <c r="E193" s="33" t="s">
        <v>777</v>
      </c>
      <c r="F193" s="34">
        <v>0</v>
      </c>
      <c r="G193" s="34">
        <v>0</v>
      </c>
      <c r="H193" s="35" t="s">
        <v>1049</v>
      </c>
    </row>
    <row r="194" spans="1:8" ht="27" customHeight="1" x14ac:dyDescent="0.2">
      <c r="A194" s="31" t="s">
        <v>1046</v>
      </c>
      <c r="B194" s="32" t="s">
        <v>1047</v>
      </c>
      <c r="C194" s="32" t="s">
        <v>798</v>
      </c>
      <c r="D194" s="32" t="s">
        <v>1049</v>
      </c>
      <c r="E194" s="33" t="s">
        <v>800</v>
      </c>
      <c r="F194" s="34">
        <v>0</v>
      </c>
      <c r="G194" s="34">
        <v>0</v>
      </c>
      <c r="H194" s="35" t="s">
        <v>1049</v>
      </c>
    </row>
    <row r="195" spans="1:8" ht="27" customHeight="1" x14ac:dyDescent="0.2">
      <c r="A195" s="31" t="s">
        <v>1046</v>
      </c>
      <c r="B195" s="32" t="s">
        <v>1047</v>
      </c>
      <c r="C195" s="32" t="s">
        <v>892</v>
      </c>
      <c r="D195" s="32" t="s">
        <v>1049</v>
      </c>
      <c r="E195" s="33" t="s">
        <v>893</v>
      </c>
      <c r="F195" s="34">
        <v>0</v>
      </c>
      <c r="G195" s="34">
        <v>0</v>
      </c>
      <c r="H195" s="35" t="s">
        <v>1049</v>
      </c>
    </row>
    <row r="196" spans="1:8" ht="27" customHeight="1" x14ac:dyDescent="0.2">
      <c r="A196" s="31" t="s">
        <v>1046</v>
      </c>
      <c r="B196" s="32" t="s">
        <v>1047</v>
      </c>
      <c r="C196" s="32" t="s">
        <v>779</v>
      </c>
      <c r="D196" s="32" t="s">
        <v>802</v>
      </c>
      <c r="E196" s="33" t="s">
        <v>780</v>
      </c>
      <c r="F196" s="34">
        <v>178232</v>
      </c>
      <c r="G196" s="34">
        <v>178542</v>
      </c>
      <c r="H196" s="35" t="s">
        <v>1052</v>
      </c>
    </row>
    <row r="197" spans="1:8" ht="27" customHeight="1" x14ac:dyDescent="0.2">
      <c r="A197" s="31" t="s">
        <v>1046</v>
      </c>
      <c r="B197" s="32" t="s">
        <v>1047</v>
      </c>
      <c r="C197" s="32" t="s">
        <v>782</v>
      </c>
      <c r="D197" s="32" t="s">
        <v>1049</v>
      </c>
      <c r="E197" s="33" t="s">
        <v>784</v>
      </c>
      <c r="F197" s="34">
        <v>0</v>
      </c>
      <c r="G197" s="34">
        <v>0</v>
      </c>
      <c r="H197" s="35" t="s">
        <v>1049</v>
      </c>
    </row>
    <row r="198" spans="1:8" ht="27" customHeight="1" x14ac:dyDescent="0.2">
      <c r="A198" s="31" t="s">
        <v>1053</v>
      </c>
      <c r="B198" s="32" t="s">
        <v>1054</v>
      </c>
      <c r="C198" s="32" t="s">
        <v>763</v>
      </c>
      <c r="D198" s="32" t="s">
        <v>816</v>
      </c>
      <c r="E198" s="33" t="s">
        <v>764</v>
      </c>
      <c r="F198" s="34">
        <v>17173</v>
      </c>
      <c r="G198" s="34">
        <v>2121918</v>
      </c>
      <c r="H198" s="35" t="s">
        <v>1055</v>
      </c>
    </row>
    <row r="199" spans="1:8" ht="27" customHeight="1" x14ac:dyDescent="0.2">
      <c r="A199" s="31" t="s">
        <v>1053</v>
      </c>
      <c r="B199" s="32" t="s">
        <v>1054</v>
      </c>
      <c r="C199" s="32" t="s">
        <v>766</v>
      </c>
      <c r="D199" s="32" t="s">
        <v>1049</v>
      </c>
      <c r="E199" s="33" t="s">
        <v>768</v>
      </c>
      <c r="F199" s="34">
        <v>0</v>
      </c>
      <c r="G199" s="34">
        <v>0</v>
      </c>
      <c r="H199" s="35" t="s">
        <v>1049</v>
      </c>
    </row>
    <row r="200" spans="1:8" ht="27" customHeight="1" x14ac:dyDescent="0.2">
      <c r="A200" s="31" t="s">
        <v>1053</v>
      </c>
      <c r="B200" s="32" t="s">
        <v>1054</v>
      </c>
      <c r="C200" s="32" t="s">
        <v>770</v>
      </c>
      <c r="D200" s="32" t="s">
        <v>1011</v>
      </c>
      <c r="E200" s="33" t="s">
        <v>772</v>
      </c>
      <c r="F200" s="34">
        <v>247993</v>
      </c>
      <c r="G200" s="34">
        <v>248624</v>
      </c>
      <c r="H200" s="35" t="s">
        <v>1055</v>
      </c>
    </row>
    <row r="201" spans="1:8" ht="27" customHeight="1" x14ac:dyDescent="0.2">
      <c r="A201" s="31" t="s">
        <v>1053</v>
      </c>
      <c r="B201" s="32" t="s">
        <v>1054</v>
      </c>
      <c r="C201" s="32" t="s">
        <v>884</v>
      </c>
      <c r="D201" s="32" t="s">
        <v>1049</v>
      </c>
      <c r="E201" s="33" t="s">
        <v>885</v>
      </c>
      <c r="F201" s="34">
        <v>0</v>
      </c>
      <c r="G201" s="34">
        <v>0</v>
      </c>
      <c r="H201" s="35" t="s">
        <v>1049</v>
      </c>
    </row>
    <row r="202" spans="1:8" ht="27" customHeight="1" x14ac:dyDescent="0.2">
      <c r="A202" s="31" t="s">
        <v>1053</v>
      </c>
      <c r="B202" s="32" t="s">
        <v>1054</v>
      </c>
      <c r="C202" s="32" t="s">
        <v>844</v>
      </c>
      <c r="D202" s="32" t="s">
        <v>1049</v>
      </c>
      <c r="E202" s="33" t="s">
        <v>846</v>
      </c>
      <c r="F202" s="34">
        <v>0</v>
      </c>
      <c r="G202" s="34">
        <v>0</v>
      </c>
      <c r="H202" s="35" t="s">
        <v>1049</v>
      </c>
    </row>
    <row r="203" spans="1:8" ht="27" customHeight="1" x14ac:dyDescent="0.2">
      <c r="A203" s="31" t="s">
        <v>1053</v>
      </c>
      <c r="B203" s="32" t="s">
        <v>1054</v>
      </c>
      <c r="C203" s="32" t="s">
        <v>773</v>
      </c>
      <c r="D203" s="32" t="s">
        <v>1049</v>
      </c>
      <c r="E203" s="33" t="s">
        <v>775</v>
      </c>
      <c r="F203" s="34">
        <v>0</v>
      </c>
      <c r="G203" s="34">
        <v>0</v>
      </c>
      <c r="H203" s="35" t="s">
        <v>1049</v>
      </c>
    </row>
    <row r="204" spans="1:8" ht="27" customHeight="1" x14ac:dyDescent="0.2">
      <c r="A204" s="31" t="s">
        <v>1053</v>
      </c>
      <c r="B204" s="32" t="s">
        <v>1054</v>
      </c>
      <c r="C204" s="32" t="s">
        <v>831</v>
      </c>
      <c r="D204" s="32" t="s">
        <v>1049</v>
      </c>
      <c r="E204" s="33"/>
      <c r="F204" s="34">
        <v>0</v>
      </c>
      <c r="G204" s="34">
        <v>0</v>
      </c>
      <c r="H204" s="35" t="s">
        <v>1049</v>
      </c>
    </row>
    <row r="205" spans="1:8" ht="27" customHeight="1" x14ac:dyDescent="0.2">
      <c r="A205" s="31" t="s">
        <v>1053</v>
      </c>
      <c r="B205" s="32" t="s">
        <v>1054</v>
      </c>
      <c r="C205" s="32" t="s">
        <v>886</v>
      </c>
      <c r="D205" s="32" t="s">
        <v>1049</v>
      </c>
      <c r="E205" s="33" t="s">
        <v>887</v>
      </c>
      <c r="F205" s="34">
        <v>0</v>
      </c>
      <c r="G205" s="34">
        <v>0</v>
      </c>
      <c r="H205" s="35" t="s">
        <v>1049</v>
      </c>
    </row>
    <row r="206" spans="1:8" ht="27" customHeight="1" x14ac:dyDescent="0.2">
      <c r="A206" s="31" t="s">
        <v>1053</v>
      </c>
      <c r="B206" s="32" t="s">
        <v>1054</v>
      </c>
      <c r="C206" s="32" t="s">
        <v>860</v>
      </c>
      <c r="D206" s="32" t="s">
        <v>1049</v>
      </c>
      <c r="E206" s="33" t="s">
        <v>861</v>
      </c>
      <c r="F206" s="34">
        <v>0</v>
      </c>
      <c r="G206" s="34">
        <v>0</v>
      </c>
      <c r="H206" s="35" t="s">
        <v>1049</v>
      </c>
    </row>
    <row r="207" spans="1:8" ht="27" customHeight="1" x14ac:dyDescent="0.2">
      <c r="A207" s="31" t="s">
        <v>1053</v>
      </c>
      <c r="B207" s="32" t="s">
        <v>1054</v>
      </c>
      <c r="C207" s="32" t="s">
        <v>796</v>
      </c>
      <c r="D207" s="32" t="s">
        <v>796</v>
      </c>
      <c r="E207" s="33" t="s">
        <v>823</v>
      </c>
      <c r="F207" s="34">
        <v>6676826</v>
      </c>
      <c r="G207" s="34">
        <v>6693563</v>
      </c>
      <c r="H207" s="35" t="s">
        <v>1056</v>
      </c>
    </row>
    <row r="208" spans="1:8" ht="27" customHeight="1" x14ac:dyDescent="0.2">
      <c r="A208" s="31" t="s">
        <v>1053</v>
      </c>
      <c r="B208" s="32" t="s">
        <v>1054</v>
      </c>
      <c r="C208" s="32" t="s">
        <v>776</v>
      </c>
      <c r="D208" s="32" t="s">
        <v>776</v>
      </c>
      <c r="E208" s="33" t="s">
        <v>777</v>
      </c>
      <c r="F208" s="34">
        <v>793590</v>
      </c>
      <c r="G208" s="34">
        <v>795602</v>
      </c>
      <c r="H208" s="35" t="s">
        <v>1055</v>
      </c>
    </row>
    <row r="209" spans="1:8" ht="27" customHeight="1" x14ac:dyDescent="0.2">
      <c r="A209" s="31" t="s">
        <v>1053</v>
      </c>
      <c r="B209" s="32" t="s">
        <v>1054</v>
      </c>
      <c r="C209" s="32" t="s">
        <v>798</v>
      </c>
      <c r="D209" s="32" t="s">
        <v>1049</v>
      </c>
      <c r="E209" s="33" t="s">
        <v>800</v>
      </c>
      <c r="F209" s="34">
        <v>0</v>
      </c>
      <c r="G209" s="34">
        <v>0</v>
      </c>
      <c r="H209" s="35" t="s">
        <v>1049</v>
      </c>
    </row>
    <row r="210" spans="1:8" ht="27" customHeight="1" x14ac:dyDescent="0.2">
      <c r="A210" s="31" t="s">
        <v>1053</v>
      </c>
      <c r="B210" s="32" t="s">
        <v>1054</v>
      </c>
      <c r="C210" s="32" t="s">
        <v>892</v>
      </c>
      <c r="D210" s="32" t="s">
        <v>1049</v>
      </c>
      <c r="E210" s="33" t="s">
        <v>893</v>
      </c>
      <c r="F210" s="34">
        <v>0</v>
      </c>
      <c r="G210" s="34">
        <v>0</v>
      </c>
      <c r="H210" s="35" t="s">
        <v>1049</v>
      </c>
    </row>
    <row r="211" spans="1:8" ht="27" customHeight="1" x14ac:dyDescent="0.2">
      <c r="A211" s="31" t="s">
        <v>1053</v>
      </c>
      <c r="B211" s="32" t="s">
        <v>1054</v>
      </c>
      <c r="C211" s="32" t="s">
        <v>779</v>
      </c>
      <c r="D211" s="32" t="s">
        <v>779</v>
      </c>
      <c r="E211" s="33" t="s">
        <v>780</v>
      </c>
      <c r="F211" s="34">
        <v>465310</v>
      </c>
      <c r="G211" s="34">
        <v>436268</v>
      </c>
      <c r="H211" s="35" t="s">
        <v>1057</v>
      </c>
    </row>
    <row r="212" spans="1:8" ht="27" customHeight="1" x14ac:dyDescent="0.2">
      <c r="A212" s="31" t="s">
        <v>1053</v>
      </c>
      <c r="B212" s="32" t="s">
        <v>1054</v>
      </c>
      <c r="C212" s="32" t="s">
        <v>782</v>
      </c>
      <c r="D212" s="32" t="s">
        <v>1049</v>
      </c>
      <c r="E212" s="33" t="s">
        <v>784</v>
      </c>
      <c r="F212" s="34">
        <v>0</v>
      </c>
      <c r="G212" s="34">
        <v>0</v>
      </c>
      <c r="H212" s="35" t="s">
        <v>1049</v>
      </c>
    </row>
    <row r="213" spans="1:8" ht="27" customHeight="1" x14ac:dyDescent="0.2">
      <c r="A213" s="31" t="s">
        <v>1058</v>
      </c>
      <c r="B213" s="32" t="s">
        <v>1059</v>
      </c>
      <c r="C213" s="32" t="s">
        <v>763</v>
      </c>
      <c r="D213" s="32" t="s">
        <v>816</v>
      </c>
      <c r="E213" s="33" t="s">
        <v>764</v>
      </c>
      <c r="F213" s="34">
        <v>503064</v>
      </c>
      <c r="G213" s="34">
        <v>503974</v>
      </c>
      <c r="H213" s="35" t="s">
        <v>1048</v>
      </c>
    </row>
    <row r="214" spans="1:8" ht="27" customHeight="1" x14ac:dyDescent="0.2">
      <c r="A214" s="31" t="s">
        <v>1058</v>
      </c>
      <c r="B214" s="32" t="s">
        <v>1059</v>
      </c>
      <c r="C214" s="32" t="s">
        <v>766</v>
      </c>
      <c r="D214" s="32" t="s">
        <v>1049</v>
      </c>
      <c r="E214" s="33" t="s">
        <v>768</v>
      </c>
      <c r="F214" s="34">
        <v>0</v>
      </c>
      <c r="G214" s="34">
        <v>0</v>
      </c>
      <c r="H214" s="35" t="s">
        <v>1049</v>
      </c>
    </row>
    <row r="215" spans="1:8" ht="27" customHeight="1" x14ac:dyDescent="0.2">
      <c r="A215" s="31" t="s">
        <v>1058</v>
      </c>
      <c r="B215" s="32" t="s">
        <v>1059</v>
      </c>
      <c r="C215" s="32" t="s">
        <v>770</v>
      </c>
      <c r="D215" s="32" t="s">
        <v>1011</v>
      </c>
      <c r="E215" s="33" t="s">
        <v>772</v>
      </c>
      <c r="F215" s="34">
        <v>1215091</v>
      </c>
      <c r="G215" s="34">
        <v>1198883</v>
      </c>
      <c r="H215" s="35" t="s">
        <v>1048</v>
      </c>
    </row>
    <row r="216" spans="1:8" ht="27" customHeight="1" x14ac:dyDescent="0.2">
      <c r="A216" s="31" t="s">
        <v>1058</v>
      </c>
      <c r="B216" s="32" t="s">
        <v>1059</v>
      </c>
      <c r="C216" s="32" t="s">
        <v>884</v>
      </c>
      <c r="D216" s="32" t="s">
        <v>1049</v>
      </c>
      <c r="E216" s="33" t="s">
        <v>885</v>
      </c>
      <c r="F216" s="34">
        <v>0</v>
      </c>
      <c r="G216" s="34">
        <v>0</v>
      </c>
      <c r="H216" s="35" t="s">
        <v>1049</v>
      </c>
    </row>
    <row r="217" spans="1:8" ht="27" customHeight="1" x14ac:dyDescent="0.2">
      <c r="A217" s="31" t="s">
        <v>1058</v>
      </c>
      <c r="B217" s="32" t="s">
        <v>1059</v>
      </c>
      <c r="C217" s="32" t="s">
        <v>844</v>
      </c>
      <c r="D217" s="32" t="s">
        <v>844</v>
      </c>
      <c r="E217" s="33" t="s">
        <v>846</v>
      </c>
      <c r="F217" s="34">
        <v>50334</v>
      </c>
      <c r="G217" s="34">
        <v>50425</v>
      </c>
      <c r="H217" s="35" t="s">
        <v>1048</v>
      </c>
    </row>
    <row r="218" spans="1:8" ht="27" customHeight="1" x14ac:dyDescent="0.2">
      <c r="A218" s="31" t="s">
        <v>1058</v>
      </c>
      <c r="B218" s="32" t="s">
        <v>1059</v>
      </c>
      <c r="C218" s="32" t="s">
        <v>773</v>
      </c>
      <c r="D218" s="32" t="s">
        <v>1049</v>
      </c>
      <c r="E218" s="33" t="s">
        <v>775</v>
      </c>
      <c r="F218" s="34">
        <v>0</v>
      </c>
      <c r="G218" s="34">
        <v>0</v>
      </c>
      <c r="H218" s="35" t="s">
        <v>1049</v>
      </c>
    </row>
    <row r="219" spans="1:8" ht="27" customHeight="1" x14ac:dyDescent="0.2">
      <c r="A219" s="31" t="s">
        <v>1058</v>
      </c>
      <c r="B219" s="32" t="s">
        <v>1059</v>
      </c>
      <c r="C219" s="32" t="s">
        <v>831</v>
      </c>
      <c r="D219" s="32" t="s">
        <v>1049</v>
      </c>
      <c r="E219" s="33"/>
      <c r="F219" s="34">
        <v>0</v>
      </c>
      <c r="G219" s="34">
        <v>0</v>
      </c>
      <c r="H219" s="35" t="s">
        <v>1049</v>
      </c>
    </row>
    <row r="220" spans="1:8" ht="27" customHeight="1" x14ac:dyDescent="0.2">
      <c r="A220" s="31" t="s">
        <v>1058</v>
      </c>
      <c r="B220" s="32" t="s">
        <v>1059</v>
      </c>
      <c r="C220" s="32" t="s">
        <v>886</v>
      </c>
      <c r="D220" s="32" t="s">
        <v>1049</v>
      </c>
      <c r="E220" s="33" t="s">
        <v>887</v>
      </c>
      <c r="F220" s="34">
        <v>0</v>
      </c>
      <c r="G220" s="34">
        <v>0</v>
      </c>
      <c r="H220" s="35" t="s">
        <v>1049</v>
      </c>
    </row>
    <row r="221" spans="1:8" ht="27" customHeight="1" x14ac:dyDescent="0.2">
      <c r="A221" s="31" t="s">
        <v>1058</v>
      </c>
      <c r="B221" s="32" t="s">
        <v>1059</v>
      </c>
      <c r="C221" s="32" t="s">
        <v>860</v>
      </c>
      <c r="D221" s="32" t="s">
        <v>860</v>
      </c>
      <c r="E221" s="33" t="s">
        <v>861</v>
      </c>
      <c r="F221" s="34">
        <v>201334</v>
      </c>
      <c r="G221" s="34">
        <v>201698</v>
      </c>
      <c r="H221" s="35" t="s">
        <v>1048</v>
      </c>
    </row>
    <row r="222" spans="1:8" ht="27" customHeight="1" x14ac:dyDescent="0.2">
      <c r="A222" s="31" t="s">
        <v>1058</v>
      </c>
      <c r="B222" s="32" t="s">
        <v>1059</v>
      </c>
      <c r="C222" s="32" t="s">
        <v>796</v>
      </c>
      <c r="D222" s="32" t="s">
        <v>796</v>
      </c>
      <c r="E222" s="33" t="s">
        <v>823</v>
      </c>
      <c r="F222" s="34">
        <v>392088</v>
      </c>
      <c r="G222" s="34">
        <v>552798</v>
      </c>
      <c r="H222" s="35" t="s">
        <v>1048</v>
      </c>
    </row>
    <row r="223" spans="1:8" ht="27" customHeight="1" x14ac:dyDescent="0.2">
      <c r="A223" s="31" t="s">
        <v>1058</v>
      </c>
      <c r="B223" s="32" t="s">
        <v>1059</v>
      </c>
      <c r="C223" s="32" t="s">
        <v>776</v>
      </c>
      <c r="D223" s="32" t="s">
        <v>1049</v>
      </c>
      <c r="E223" s="33" t="s">
        <v>777</v>
      </c>
      <c r="F223" s="34">
        <v>0</v>
      </c>
      <c r="G223" s="34">
        <v>0</v>
      </c>
      <c r="H223" s="35" t="s">
        <v>1049</v>
      </c>
    </row>
    <row r="224" spans="1:8" ht="27" customHeight="1" x14ac:dyDescent="0.2">
      <c r="A224" s="31" t="s">
        <v>1058</v>
      </c>
      <c r="B224" s="32" t="s">
        <v>1059</v>
      </c>
      <c r="C224" s="32" t="s">
        <v>798</v>
      </c>
      <c r="D224" s="32" t="s">
        <v>1049</v>
      </c>
      <c r="E224" s="33" t="s">
        <v>800</v>
      </c>
      <c r="F224" s="34">
        <v>0</v>
      </c>
      <c r="G224" s="34">
        <v>0</v>
      </c>
      <c r="H224" s="35" t="s">
        <v>1049</v>
      </c>
    </row>
    <row r="225" spans="1:8" ht="27" customHeight="1" x14ac:dyDescent="0.2">
      <c r="A225" s="31" t="s">
        <v>1058</v>
      </c>
      <c r="B225" s="32" t="s">
        <v>1059</v>
      </c>
      <c r="C225" s="32" t="s">
        <v>892</v>
      </c>
      <c r="D225" s="32" t="s">
        <v>1049</v>
      </c>
      <c r="E225" s="33" t="s">
        <v>893</v>
      </c>
      <c r="F225" s="34">
        <v>0</v>
      </c>
      <c r="G225" s="34">
        <v>0</v>
      </c>
      <c r="H225" s="35" t="s">
        <v>1049</v>
      </c>
    </row>
    <row r="226" spans="1:8" ht="27" customHeight="1" x14ac:dyDescent="0.2">
      <c r="A226" s="31" t="s">
        <v>1058</v>
      </c>
      <c r="B226" s="32" t="s">
        <v>1059</v>
      </c>
      <c r="C226" s="32" t="s">
        <v>779</v>
      </c>
      <c r="D226" s="32" t="s">
        <v>779</v>
      </c>
      <c r="E226" s="33" t="s">
        <v>780</v>
      </c>
      <c r="F226" s="34">
        <v>219123</v>
      </c>
      <c r="G226" s="34">
        <v>215719</v>
      </c>
      <c r="H226" s="35" t="s">
        <v>1048</v>
      </c>
    </row>
    <row r="227" spans="1:8" ht="27" customHeight="1" x14ac:dyDescent="0.2">
      <c r="A227" s="31" t="s">
        <v>1058</v>
      </c>
      <c r="B227" s="32" t="s">
        <v>1059</v>
      </c>
      <c r="C227" s="32" t="s">
        <v>782</v>
      </c>
      <c r="D227" s="32" t="s">
        <v>1049</v>
      </c>
      <c r="E227" s="33" t="s">
        <v>784</v>
      </c>
      <c r="F227" s="34">
        <v>0</v>
      </c>
      <c r="G227" s="34">
        <v>0</v>
      </c>
      <c r="H227" s="35" t="s">
        <v>1049</v>
      </c>
    </row>
    <row r="228" spans="1:8" ht="27" customHeight="1" x14ac:dyDescent="0.2">
      <c r="A228" s="31" t="s">
        <v>1060</v>
      </c>
      <c r="B228" s="32" t="s">
        <v>1061</v>
      </c>
      <c r="C228" s="32" t="s">
        <v>763</v>
      </c>
      <c r="D228" s="32" t="s">
        <v>1062</v>
      </c>
      <c r="E228" s="33" t="s">
        <v>764</v>
      </c>
      <c r="F228" s="34">
        <v>225699</v>
      </c>
      <c r="G228" s="34">
        <v>1425798</v>
      </c>
      <c r="H228" s="35" t="s">
        <v>1055</v>
      </c>
    </row>
    <row r="229" spans="1:8" ht="27" customHeight="1" x14ac:dyDescent="0.2">
      <c r="A229" s="31" t="s">
        <v>1060</v>
      </c>
      <c r="B229" s="32" t="s">
        <v>1061</v>
      </c>
      <c r="C229" s="32" t="s">
        <v>766</v>
      </c>
      <c r="D229" s="32" t="s">
        <v>1049</v>
      </c>
      <c r="E229" s="33" t="s">
        <v>768</v>
      </c>
      <c r="F229" s="34">
        <v>0</v>
      </c>
      <c r="G229" s="34">
        <v>0</v>
      </c>
      <c r="H229" s="35" t="s">
        <v>1049</v>
      </c>
    </row>
    <row r="230" spans="1:8" ht="27" customHeight="1" x14ac:dyDescent="0.2">
      <c r="A230" s="31" t="s">
        <v>1060</v>
      </c>
      <c r="B230" s="32" t="s">
        <v>1061</v>
      </c>
      <c r="C230" s="32" t="s">
        <v>770</v>
      </c>
      <c r="D230" s="32" t="s">
        <v>1011</v>
      </c>
      <c r="E230" s="33" t="s">
        <v>772</v>
      </c>
      <c r="F230" s="34">
        <v>396254</v>
      </c>
      <c r="G230" s="34">
        <v>349834</v>
      </c>
      <c r="H230" s="35" t="s">
        <v>1055</v>
      </c>
    </row>
    <row r="231" spans="1:8" ht="27" customHeight="1" x14ac:dyDescent="0.2">
      <c r="A231" s="31" t="s">
        <v>1060</v>
      </c>
      <c r="B231" s="32" t="s">
        <v>1061</v>
      </c>
      <c r="C231" s="32" t="s">
        <v>884</v>
      </c>
      <c r="D231" s="32" t="s">
        <v>1049</v>
      </c>
      <c r="E231" s="33" t="s">
        <v>885</v>
      </c>
      <c r="F231" s="34">
        <v>0</v>
      </c>
      <c r="G231" s="34">
        <v>0</v>
      </c>
      <c r="H231" s="35" t="s">
        <v>1049</v>
      </c>
    </row>
    <row r="232" spans="1:8" ht="27" customHeight="1" x14ac:dyDescent="0.2">
      <c r="A232" s="31" t="s">
        <v>1060</v>
      </c>
      <c r="B232" s="32" t="s">
        <v>1061</v>
      </c>
      <c r="C232" s="32" t="s">
        <v>844</v>
      </c>
      <c r="D232" s="32" t="s">
        <v>1049</v>
      </c>
      <c r="E232" s="33" t="s">
        <v>846</v>
      </c>
      <c r="F232" s="34">
        <v>0</v>
      </c>
      <c r="G232" s="34">
        <v>0</v>
      </c>
      <c r="H232" s="35" t="s">
        <v>1049</v>
      </c>
    </row>
    <row r="233" spans="1:8" ht="27" customHeight="1" x14ac:dyDescent="0.2">
      <c r="A233" s="31" t="s">
        <v>1060</v>
      </c>
      <c r="B233" s="32" t="s">
        <v>1061</v>
      </c>
      <c r="C233" s="32" t="s">
        <v>773</v>
      </c>
      <c r="D233" s="32" t="s">
        <v>1049</v>
      </c>
      <c r="E233" s="33" t="s">
        <v>775</v>
      </c>
      <c r="F233" s="34">
        <v>0</v>
      </c>
      <c r="G233" s="34">
        <v>0</v>
      </c>
      <c r="H233" s="35" t="s">
        <v>1049</v>
      </c>
    </row>
    <row r="234" spans="1:8" ht="27" customHeight="1" x14ac:dyDescent="0.2">
      <c r="A234" s="31" t="s">
        <v>1060</v>
      </c>
      <c r="B234" s="32" t="s">
        <v>1061</v>
      </c>
      <c r="C234" s="32" t="s">
        <v>831</v>
      </c>
      <c r="D234" s="32" t="s">
        <v>1049</v>
      </c>
      <c r="E234" s="33"/>
      <c r="F234" s="34">
        <v>0</v>
      </c>
      <c r="G234" s="34">
        <v>0</v>
      </c>
      <c r="H234" s="35" t="s">
        <v>1049</v>
      </c>
    </row>
    <row r="235" spans="1:8" ht="27" customHeight="1" x14ac:dyDescent="0.2">
      <c r="A235" s="31" t="s">
        <v>1060</v>
      </c>
      <c r="B235" s="32" t="s">
        <v>1061</v>
      </c>
      <c r="C235" s="32" t="s">
        <v>886</v>
      </c>
      <c r="D235" s="32" t="s">
        <v>1049</v>
      </c>
      <c r="E235" s="33" t="s">
        <v>887</v>
      </c>
      <c r="F235" s="34">
        <v>0</v>
      </c>
      <c r="G235" s="34">
        <v>0</v>
      </c>
      <c r="H235" s="35" t="s">
        <v>1049</v>
      </c>
    </row>
    <row r="236" spans="1:8" ht="27" customHeight="1" x14ac:dyDescent="0.2">
      <c r="A236" s="31" t="s">
        <v>1060</v>
      </c>
      <c r="B236" s="32" t="s">
        <v>1061</v>
      </c>
      <c r="C236" s="32" t="s">
        <v>860</v>
      </c>
      <c r="D236" s="32" t="s">
        <v>860</v>
      </c>
      <c r="E236" s="33" t="s">
        <v>861</v>
      </c>
      <c r="F236" s="34">
        <v>1969</v>
      </c>
      <c r="G236" s="34">
        <v>1970</v>
      </c>
      <c r="H236" s="35" t="s">
        <v>1055</v>
      </c>
    </row>
    <row r="237" spans="1:8" ht="27" customHeight="1" x14ac:dyDescent="0.2">
      <c r="A237" s="31" t="s">
        <v>1060</v>
      </c>
      <c r="B237" s="32" t="s">
        <v>1061</v>
      </c>
      <c r="C237" s="32" t="s">
        <v>796</v>
      </c>
      <c r="D237" s="32" t="s">
        <v>796</v>
      </c>
      <c r="E237" s="33" t="s">
        <v>823</v>
      </c>
      <c r="F237" s="34">
        <v>1929715</v>
      </c>
      <c r="G237" s="34">
        <v>1930568</v>
      </c>
      <c r="H237" s="35" t="s">
        <v>1055</v>
      </c>
    </row>
    <row r="238" spans="1:8" ht="27" customHeight="1" x14ac:dyDescent="0.2">
      <c r="A238" s="31" t="s">
        <v>1060</v>
      </c>
      <c r="B238" s="32" t="s">
        <v>1061</v>
      </c>
      <c r="C238" s="32" t="s">
        <v>776</v>
      </c>
      <c r="D238" s="32" t="s">
        <v>776</v>
      </c>
      <c r="E238" s="33" t="s">
        <v>777</v>
      </c>
      <c r="F238" s="34">
        <v>657317</v>
      </c>
      <c r="G238" s="34">
        <v>657618</v>
      </c>
      <c r="H238" s="35" t="s">
        <v>1055</v>
      </c>
    </row>
    <row r="239" spans="1:8" ht="27" customHeight="1" x14ac:dyDescent="0.2">
      <c r="A239" s="31" t="s">
        <v>1060</v>
      </c>
      <c r="B239" s="32" t="s">
        <v>1061</v>
      </c>
      <c r="C239" s="32" t="s">
        <v>798</v>
      </c>
      <c r="D239" s="32" t="s">
        <v>1049</v>
      </c>
      <c r="E239" s="33" t="s">
        <v>800</v>
      </c>
      <c r="F239" s="34">
        <v>0</v>
      </c>
      <c r="G239" s="34">
        <v>0</v>
      </c>
      <c r="H239" s="35" t="s">
        <v>1049</v>
      </c>
    </row>
    <row r="240" spans="1:8" ht="27" customHeight="1" x14ac:dyDescent="0.2">
      <c r="A240" s="31" t="s">
        <v>1060</v>
      </c>
      <c r="B240" s="32" t="s">
        <v>1061</v>
      </c>
      <c r="C240" s="32" t="s">
        <v>892</v>
      </c>
      <c r="D240" s="32" t="s">
        <v>1049</v>
      </c>
      <c r="E240" s="33" t="s">
        <v>893</v>
      </c>
      <c r="F240" s="34">
        <v>0</v>
      </c>
      <c r="G240" s="34">
        <v>0</v>
      </c>
      <c r="H240" s="35" t="s">
        <v>1049</v>
      </c>
    </row>
    <row r="241" spans="1:8" ht="27" customHeight="1" x14ac:dyDescent="0.2">
      <c r="A241" s="31" t="s">
        <v>1060</v>
      </c>
      <c r="B241" s="32" t="s">
        <v>1061</v>
      </c>
      <c r="C241" s="32" t="s">
        <v>779</v>
      </c>
      <c r="D241" s="32" t="s">
        <v>802</v>
      </c>
      <c r="E241" s="33" t="s">
        <v>780</v>
      </c>
      <c r="F241" s="34">
        <v>175511</v>
      </c>
      <c r="G241" s="34">
        <v>175588</v>
      </c>
      <c r="H241" s="35" t="s">
        <v>1055</v>
      </c>
    </row>
    <row r="242" spans="1:8" ht="27" customHeight="1" x14ac:dyDescent="0.2">
      <c r="A242" s="31" t="s">
        <v>1060</v>
      </c>
      <c r="B242" s="32" t="s">
        <v>1061</v>
      </c>
      <c r="C242" s="32" t="s">
        <v>782</v>
      </c>
      <c r="D242" s="32" t="s">
        <v>1049</v>
      </c>
      <c r="E242" s="33" t="s">
        <v>784</v>
      </c>
      <c r="F242" s="34">
        <v>0</v>
      </c>
      <c r="G242" s="34">
        <v>0</v>
      </c>
      <c r="H242" s="35" t="s">
        <v>1049</v>
      </c>
    </row>
    <row r="243" spans="1:8" ht="27" customHeight="1" x14ac:dyDescent="0.2">
      <c r="A243" s="31" t="s">
        <v>1063</v>
      </c>
      <c r="B243" s="32" t="s">
        <v>1064</v>
      </c>
      <c r="C243" s="32" t="s">
        <v>763</v>
      </c>
      <c r="D243" s="32" t="s">
        <v>816</v>
      </c>
      <c r="E243" s="33" t="s">
        <v>764</v>
      </c>
      <c r="F243" s="34">
        <v>341736</v>
      </c>
      <c r="G243" s="34">
        <v>1352631</v>
      </c>
      <c r="H243" s="35" t="s">
        <v>1048</v>
      </c>
    </row>
    <row r="244" spans="1:8" ht="27" customHeight="1" x14ac:dyDescent="0.2">
      <c r="A244" s="31" t="s">
        <v>1063</v>
      </c>
      <c r="B244" s="32" t="s">
        <v>1064</v>
      </c>
      <c r="C244" s="32" t="s">
        <v>766</v>
      </c>
      <c r="D244" s="32" t="s">
        <v>1049</v>
      </c>
      <c r="E244" s="33" t="s">
        <v>768</v>
      </c>
      <c r="F244" s="34">
        <v>0</v>
      </c>
      <c r="G244" s="34">
        <v>0</v>
      </c>
      <c r="H244" s="35" t="s">
        <v>1049</v>
      </c>
    </row>
    <row r="245" spans="1:8" ht="27" customHeight="1" x14ac:dyDescent="0.2">
      <c r="A245" s="31" t="s">
        <v>1063</v>
      </c>
      <c r="B245" s="32" t="s">
        <v>1064</v>
      </c>
      <c r="C245" s="32" t="s">
        <v>770</v>
      </c>
      <c r="D245" s="32" t="s">
        <v>1011</v>
      </c>
      <c r="E245" s="33" t="s">
        <v>772</v>
      </c>
      <c r="F245" s="34">
        <v>17380</v>
      </c>
      <c r="G245" s="34">
        <v>17401</v>
      </c>
      <c r="H245" s="35" t="s">
        <v>1048</v>
      </c>
    </row>
    <row r="246" spans="1:8" ht="27" customHeight="1" x14ac:dyDescent="0.2">
      <c r="A246" s="31" t="s">
        <v>1063</v>
      </c>
      <c r="B246" s="32" t="s">
        <v>1064</v>
      </c>
      <c r="C246" s="32" t="s">
        <v>884</v>
      </c>
      <c r="D246" s="32" t="s">
        <v>1049</v>
      </c>
      <c r="E246" s="33" t="s">
        <v>885</v>
      </c>
      <c r="F246" s="34">
        <v>0</v>
      </c>
      <c r="G246" s="34">
        <v>0</v>
      </c>
      <c r="H246" s="35" t="s">
        <v>1049</v>
      </c>
    </row>
    <row r="247" spans="1:8" ht="27" customHeight="1" x14ac:dyDescent="0.2">
      <c r="A247" s="31" t="s">
        <v>1063</v>
      </c>
      <c r="B247" s="32" t="s">
        <v>1064</v>
      </c>
      <c r="C247" s="32" t="s">
        <v>844</v>
      </c>
      <c r="D247" s="32" t="s">
        <v>1049</v>
      </c>
      <c r="E247" s="33" t="s">
        <v>846</v>
      </c>
      <c r="F247" s="34">
        <v>0</v>
      </c>
      <c r="G247" s="34">
        <v>0</v>
      </c>
      <c r="H247" s="35" t="s">
        <v>1049</v>
      </c>
    </row>
    <row r="248" spans="1:8" ht="27" customHeight="1" x14ac:dyDescent="0.2">
      <c r="A248" s="31" t="s">
        <v>1063</v>
      </c>
      <c r="B248" s="32" t="s">
        <v>1064</v>
      </c>
      <c r="C248" s="32" t="s">
        <v>773</v>
      </c>
      <c r="D248" s="32" t="s">
        <v>1049</v>
      </c>
      <c r="E248" s="33" t="s">
        <v>775</v>
      </c>
      <c r="F248" s="34">
        <v>0</v>
      </c>
      <c r="G248" s="34">
        <v>0</v>
      </c>
      <c r="H248" s="35" t="s">
        <v>1049</v>
      </c>
    </row>
    <row r="249" spans="1:8" ht="27" customHeight="1" x14ac:dyDescent="0.2">
      <c r="A249" s="31" t="s">
        <v>1063</v>
      </c>
      <c r="B249" s="32" t="s">
        <v>1064</v>
      </c>
      <c r="C249" s="32" t="s">
        <v>831</v>
      </c>
      <c r="D249" s="32" t="s">
        <v>1049</v>
      </c>
      <c r="E249" s="33"/>
      <c r="F249" s="34">
        <v>0</v>
      </c>
      <c r="G249" s="34">
        <v>0</v>
      </c>
      <c r="H249" s="35" t="s">
        <v>1049</v>
      </c>
    </row>
    <row r="250" spans="1:8" ht="27" customHeight="1" x14ac:dyDescent="0.2">
      <c r="A250" s="31" t="s">
        <v>1063</v>
      </c>
      <c r="B250" s="32" t="s">
        <v>1064</v>
      </c>
      <c r="C250" s="32" t="s">
        <v>886</v>
      </c>
      <c r="D250" s="32" t="s">
        <v>1049</v>
      </c>
      <c r="E250" s="33" t="s">
        <v>887</v>
      </c>
      <c r="F250" s="34">
        <v>0</v>
      </c>
      <c r="G250" s="34">
        <v>0</v>
      </c>
      <c r="H250" s="35" t="s">
        <v>1049</v>
      </c>
    </row>
    <row r="251" spans="1:8" ht="27" customHeight="1" x14ac:dyDescent="0.2">
      <c r="A251" s="31" t="s">
        <v>1063</v>
      </c>
      <c r="B251" s="32" t="s">
        <v>1064</v>
      </c>
      <c r="C251" s="32" t="s">
        <v>860</v>
      </c>
      <c r="D251" s="32" t="s">
        <v>1049</v>
      </c>
      <c r="E251" s="33" t="s">
        <v>861</v>
      </c>
      <c r="F251" s="34">
        <v>0</v>
      </c>
      <c r="G251" s="34">
        <v>0</v>
      </c>
      <c r="H251" s="35" t="s">
        <v>1049</v>
      </c>
    </row>
    <row r="252" spans="1:8" ht="27" customHeight="1" x14ac:dyDescent="0.2">
      <c r="A252" s="31" t="s">
        <v>1063</v>
      </c>
      <c r="B252" s="32" t="s">
        <v>1064</v>
      </c>
      <c r="C252" s="32" t="s">
        <v>796</v>
      </c>
      <c r="D252" s="32" t="s">
        <v>796</v>
      </c>
      <c r="E252" s="33" t="s">
        <v>823</v>
      </c>
      <c r="F252" s="34">
        <v>2059381</v>
      </c>
      <c r="G252" s="34">
        <v>2061847</v>
      </c>
      <c r="H252" s="35" t="s">
        <v>1065</v>
      </c>
    </row>
    <row r="253" spans="1:8" ht="27" customHeight="1" x14ac:dyDescent="0.2">
      <c r="A253" s="31" t="s">
        <v>1063</v>
      </c>
      <c r="B253" s="32" t="s">
        <v>1064</v>
      </c>
      <c r="C253" s="32" t="s">
        <v>776</v>
      </c>
      <c r="D253" s="32" t="s">
        <v>776</v>
      </c>
      <c r="E253" s="33" t="s">
        <v>777</v>
      </c>
      <c r="F253" s="34">
        <v>268213</v>
      </c>
      <c r="G253" s="34">
        <v>193555</v>
      </c>
      <c r="H253" s="35" t="s">
        <v>1048</v>
      </c>
    </row>
    <row r="254" spans="1:8" ht="27" customHeight="1" x14ac:dyDescent="0.2">
      <c r="A254" s="31" t="s">
        <v>1063</v>
      </c>
      <c r="B254" s="32" t="s">
        <v>1064</v>
      </c>
      <c r="C254" s="32" t="s">
        <v>798</v>
      </c>
      <c r="D254" s="32" t="s">
        <v>799</v>
      </c>
      <c r="E254" s="33" t="s">
        <v>800</v>
      </c>
      <c r="F254" s="34">
        <v>209292</v>
      </c>
      <c r="G254" s="34">
        <v>109543</v>
      </c>
      <c r="H254" s="35" t="s">
        <v>1066</v>
      </c>
    </row>
    <row r="255" spans="1:8" ht="27" customHeight="1" x14ac:dyDescent="0.2">
      <c r="A255" s="31" t="s">
        <v>1063</v>
      </c>
      <c r="B255" s="32" t="s">
        <v>1064</v>
      </c>
      <c r="C255" s="32" t="s">
        <v>892</v>
      </c>
      <c r="D255" s="32" t="s">
        <v>1049</v>
      </c>
      <c r="E255" s="33" t="s">
        <v>893</v>
      </c>
      <c r="F255" s="34">
        <v>0</v>
      </c>
      <c r="G255" s="34">
        <v>0</v>
      </c>
      <c r="H255" s="35" t="s">
        <v>1049</v>
      </c>
    </row>
    <row r="256" spans="1:8" ht="27" customHeight="1" x14ac:dyDescent="0.2">
      <c r="A256" s="31" t="s">
        <v>1063</v>
      </c>
      <c r="B256" s="32" t="s">
        <v>1064</v>
      </c>
      <c r="C256" s="32" t="s">
        <v>779</v>
      </c>
      <c r="D256" s="32" t="s">
        <v>779</v>
      </c>
      <c r="E256" s="33" t="s">
        <v>780</v>
      </c>
      <c r="F256" s="34">
        <v>303287</v>
      </c>
      <c r="G256" s="34">
        <v>303650</v>
      </c>
      <c r="H256" s="35" t="s">
        <v>1048</v>
      </c>
    </row>
    <row r="257" spans="1:8" ht="27" customHeight="1" x14ac:dyDescent="0.2">
      <c r="A257" s="31" t="s">
        <v>1063</v>
      </c>
      <c r="B257" s="32" t="s">
        <v>1064</v>
      </c>
      <c r="C257" s="32" t="s">
        <v>782</v>
      </c>
      <c r="D257" s="32" t="s">
        <v>1049</v>
      </c>
      <c r="E257" s="33" t="s">
        <v>784</v>
      </c>
      <c r="F257" s="34">
        <v>0</v>
      </c>
      <c r="G257" s="34">
        <v>0</v>
      </c>
      <c r="H257" s="35" t="s">
        <v>1049</v>
      </c>
    </row>
    <row r="258" spans="1:8" ht="27" customHeight="1" x14ac:dyDescent="0.2">
      <c r="A258" s="31" t="s">
        <v>1067</v>
      </c>
      <c r="B258" s="32" t="s">
        <v>1068</v>
      </c>
      <c r="C258" s="32" t="s">
        <v>763</v>
      </c>
      <c r="D258" s="32" t="s">
        <v>816</v>
      </c>
      <c r="E258" s="33" t="s">
        <v>764</v>
      </c>
      <c r="F258" s="34">
        <v>1439076</v>
      </c>
      <c r="G258" s="34">
        <v>1440638</v>
      </c>
      <c r="H258" s="35" t="s">
        <v>1048</v>
      </c>
    </row>
    <row r="259" spans="1:8" ht="27" customHeight="1" x14ac:dyDescent="0.2">
      <c r="A259" s="31" t="s">
        <v>1067</v>
      </c>
      <c r="B259" s="32" t="s">
        <v>1068</v>
      </c>
      <c r="C259" s="32" t="s">
        <v>766</v>
      </c>
      <c r="D259" s="32" t="s">
        <v>1049</v>
      </c>
      <c r="E259" s="33" t="s">
        <v>768</v>
      </c>
      <c r="F259" s="34">
        <v>0</v>
      </c>
      <c r="G259" s="34">
        <v>0</v>
      </c>
      <c r="H259" s="35" t="s">
        <v>1049</v>
      </c>
    </row>
    <row r="260" spans="1:8" ht="27" customHeight="1" x14ac:dyDescent="0.2">
      <c r="A260" s="31" t="s">
        <v>1067</v>
      </c>
      <c r="B260" s="32" t="s">
        <v>1068</v>
      </c>
      <c r="C260" s="32" t="s">
        <v>770</v>
      </c>
      <c r="D260" s="32" t="s">
        <v>1011</v>
      </c>
      <c r="E260" s="33" t="s">
        <v>772</v>
      </c>
      <c r="F260" s="34">
        <v>2248410</v>
      </c>
      <c r="G260" s="34">
        <v>2150755</v>
      </c>
      <c r="H260" s="35" t="s">
        <v>1048</v>
      </c>
    </row>
    <row r="261" spans="1:8" ht="27" customHeight="1" x14ac:dyDescent="0.2">
      <c r="A261" s="31" t="s">
        <v>1067</v>
      </c>
      <c r="B261" s="32" t="s">
        <v>1068</v>
      </c>
      <c r="C261" s="32" t="s">
        <v>884</v>
      </c>
      <c r="D261" s="32" t="s">
        <v>1049</v>
      </c>
      <c r="E261" s="33" t="s">
        <v>885</v>
      </c>
      <c r="F261" s="34">
        <v>0</v>
      </c>
      <c r="G261" s="34">
        <v>0</v>
      </c>
      <c r="H261" s="35" t="s">
        <v>1049</v>
      </c>
    </row>
    <row r="262" spans="1:8" ht="27" customHeight="1" x14ac:dyDescent="0.2">
      <c r="A262" s="31" t="s">
        <v>1067</v>
      </c>
      <c r="B262" s="32" t="s">
        <v>1068</v>
      </c>
      <c r="C262" s="32" t="s">
        <v>844</v>
      </c>
      <c r="D262" s="32" t="s">
        <v>1049</v>
      </c>
      <c r="E262" s="33" t="s">
        <v>846</v>
      </c>
      <c r="F262" s="34">
        <v>0</v>
      </c>
      <c r="G262" s="34">
        <v>0</v>
      </c>
      <c r="H262" s="35" t="s">
        <v>1049</v>
      </c>
    </row>
    <row r="263" spans="1:8" ht="27" customHeight="1" x14ac:dyDescent="0.2">
      <c r="A263" s="31" t="s">
        <v>1067</v>
      </c>
      <c r="B263" s="32" t="s">
        <v>1068</v>
      </c>
      <c r="C263" s="32" t="s">
        <v>773</v>
      </c>
      <c r="D263" s="32" t="s">
        <v>1049</v>
      </c>
      <c r="E263" s="33" t="s">
        <v>775</v>
      </c>
      <c r="F263" s="34">
        <v>0</v>
      </c>
      <c r="G263" s="34">
        <v>0</v>
      </c>
      <c r="H263" s="35" t="s">
        <v>1049</v>
      </c>
    </row>
    <row r="264" spans="1:8" ht="27" customHeight="1" x14ac:dyDescent="0.2">
      <c r="A264" s="31" t="s">
        <v>1067</v>
      </c>
      <c r="B264" s="32" t="s">
        <v>1068</v>
      </c>
      <c r="C264" s="32" t="s">
        <v>831</v>
      </c>
      <c r="D264" s="32" t="s">
        <v>1049</v>
      </c>
      <c r="E264" s="33"/>
      <c r="F264" s="34">
        <v>0</v>
      </c>
      <c r="G264" s="34">
        <v>0</v>
      </c>
      <c r="H264" s="35" t="s">
        <v>1049</v>
      </c>
    </row>
    <row r="265" spans="1:8" ht="27" customHeight="1" x14ac:dyDescent="0.2">
      <c r="A265" s="31" t="s">
        <v>1067</v>
      </c>
      <c r="B265" s="32" t="s">
        <v>1068</v>
      </c>
      <c r="C265" s="32" t="s">
        <v>886</v>
      </c>
      <c r="D265" s="32" t="s">
        <v>1049</v>
      </c>
      <c r="E265" s="33" t="s">
        <v>887</v>
      </c>
      <c r="F265" s="34">
        <v>0</v>
      </c>
      <c r="G265" s="34">
        <v>0</v>
      </c>
      <c r="H265" s="35" t="s">
        <v>1049</v>
      </c>
    </row>
    <row r="266" spans="1:8" ht="27" customHeight="1" x14ac:dyDescent="0.2">
      <c r="A266" s="31" t="s">
        <v>1067</v>
      </c>
      <c r="B266" s="32" t="s">
        <v>1068</v>
      </c>
      <c r="C266" s="32" t="s">
        <v>860</v>
      </c>
      <c r="D266" s="32" t="s">
        <v>1049</v>
      </c>
      <c r="E266" s="33" t="s">
        <v>861</v>
      </c>
      <c r="F266" s="34">
        <v>0</v>
      </c>
      <c r="G266" s="34">
        <v>0</v>
      </c>
      <c r="H266" s="35" t="s">
        <v>1049</v>
      </c>
    </row>
    <row r="267" spans="1:8" ht="27" customHeight="1" x14ac:dyDescent="0.2">
      <c r="A267" s="31" t="s">
        <v>1067</v>
      </c>
      <c r="B267" s="32" t="s">
        <v>1068</v>
      </c>
      <c r="C267" s="32" t="s">
        <v>796</v>
      </c>
      <c r="D267" s="32" t="s">
        <v>796</v>
      </c>
      <c r="E267" s="33" t="s">
        <v>823</v>
      </c>
      <c r="F267" s="34">
        <v>2309393</v>
      </c>
      <c r="G267" s="34">
        <v>2311801</v>
      </c>
      <c r="H267" s="35" t="s">
        <v>1048</v>
      </c>
    </row>
    <row r="268" spans="1:8" ht="27" customHeight="1" x14ac:dyDescent="0.2">
      <c r="A268" s="31" t="s">
        <v>1067</v>
      </c>
      <c r="B268" s="32" t="s">
        <v>1068</v>
      </c>
      <c r="C268" s="32" t="s">
        <v>776</v>
      </c>
      <c r="D268" s="32" t="s">
        <v>776</v>
      </c>
      <c r="E268" s="33" t="s">
        <v>777</v>
      </c>
      <c r="F268" s="34">
        <v>475322</v>
      </c>
      <c r="G268" s="34">
        <v>475823</v>
      </c>
      <c r="H268" s="35" t="s">
        <v>1048</v>
      </c>
    </row>
    <row r="269" spans="1:8" ht="27" customHeight="1" x14ac:dyDescent="0.2">
      <c r="A269" s="31" t="s">
        <v>1067</v>
      </c>
      <c r="B269" s="32" t="s">
        <v>1068</v>
      </c>
      <c r="C269" s="32" t="s">
        <v>798</v>
      </c>
      <c r="D269" s="32" t="s">
        <v>1049</v>
      </c>
      <c r="E269" s="33" t="s">
        <v>800</v>
      </c>
      <c r="F269" s="34">
        <v>0</v>
      </c>
      <c r="G269" s="34">
        <v>0</v>
      </c>
      <c r="H269" s="35" t="s">
        <v>1049</v>
      </c>
    </row>
    <row r="270" spans="1:8" ht="27" customHeight="1" x14ac:dyDescent="0.2">
      <c r="A270" s="31" t="s">
        <v>1067</v>
      </c>
      <c r="B270" s="32" t="s">
        <v>1068</v>
      </c>
      <c r="C270" s="32" t="s">
        <v>892</v>
      </c>
      <c r="D270" s="32" t="s">
        <v>1049</v>
      </c>
      <c r="E270" s="33" t="s">
        <v>893</v>
      </c>
      <c r="F270" s="34">
        <v>0</v>
      </c>
      <c r="G270" s="34">
        <v>0</v>
      </c>
      <c r="H270" s="35" t="s">
        <v>1049</v>
      </c>
    </row>
    <row r="271" spans="1:8" ht="27" customHeight="1" x14ac:dyDescent="0.2">
      <c r="A271" s="31" t="s">
        <v>1067</v>
      </c>
      <c r="B271" s="32" t="s">
        <v>1068</v>
      </c>
      <c r="C271" s="32" t="s">
        <v>779</v>
      </c>
      <c r="D271" s="32" t="s">
        <v>779</v>
      </c>
      <c r="E271" s="33" t="s">
        <v>780</v>
      </c>
      <c r="F271" s="34">
        <v>94396</v>
      </c>
      <c r="G271" s="34">
        <v>85794</v>
      </c>
      <c r="H271" s="35" t="s">
        <v>1069</v>
      </c>
    </row>
    <row r="272" spans="1:8" ht="27" customHeight="1" x14ac:dyDescent="0.2">
      <c r="A272" s="31" t="s">
        <v>1067</v>
      </c>
      <c r="B272" s="32" t="s">
        <v>1068</v>
      </c>
      <c r="C272" s="32" t="s">
        <v>782</v>
      </c>
      <c r="D272" s="32" t="s">
        <v>1049</v>
      </c>
      <c r="E272" s="33" t="s">
        <v>784</v>
      </c>
      <c r="F272" s="34">
        <v>0</v>
      </c>
      <c r="G272" s="34">
        <v>0</v>
      </c>
      <c r="H272" s="35" t="s">
        <v>1049</v>
      </c>
    </row>
    <row r="273" spans="1:8" ht="27" customHeight="1" x14ac:dyDescent="0.2">
      <c r="A273" s="31" t="s">
        <v>1070</v>
      </c>
      <c r="B273" s="32" t="s">
        <v>1071</v>
      </c>
      <c r="C273" s="32" t="s">
        <v>763</v>
      </c>
      <c r="D273" s="32" t="s">
        <v>763</v>
      </c>
      <c r="E273" s="33" t="s">
        <v>764</v>
      </c>
      <c r="F273" s="34">
        <v>1919834</v>
      </c>
      <c r="G273" s="34">
        <v>2369589</v>
      </c>
      <c r="H273" s="35" t="s">
        <v>1072</v>
      </c>
    </row>
    <row r="274" spans="1:8" ht="27" customHeight="1" x14ac:dyDescent="0.2">
      <c r="A274" s="31" t="s">
        <v>1070</v>
      </c>
      <c r="B274" s="32" t="s">
        <v>1071</v>
      </c>
      <c r="C274" s="32" t="s">
        <v>766</v>
      </c>
      <c r="D274" s="32" t="s">
        <v>1049</v>
      </c>
      <c r="E274" s="33" t="s">
        <v>768</v>
      </c>
      <c r="F274" s="34">
        <v>0</v>
      </c>
      <c r="G274" s="34">
        <v>0</v>
      </c>
      <c r="H274" s="35" t="s">
        <v>1049</v>
      </c>
    </row>
    <row r="275" spans="1:8" ht="27" customHeight="1" x14ac:dyDescent="0.2">
      <c r="A275" s="31" t="s">
        <v>1070</v>
      </c>
      <c r="B275" s="32" t="s">
        <v>1071</v>
      </c>
      <c r="C275" s="32" t="s">
        <v>770</v>
      </c>
      <c r="D275" s="32" t="s">
        <v>1011</v>
      </c>
      <c r="E275" s="33" t="s">
        <v>772</v>
      </c>
      <c r="F275" s="34">
        <v>63637</v>
      </c>
      <c r="G275" s="34">
        <v>63681</v>
      </c>
      <c r="H275" s="35" t="s">
        <v>1072</v>
      </c>
    </row>
    <row r="276" spans="1:8" ht="27" customHeight="1" x14ac:dyDescent="0.2">
      <c r="A276" s="31" t="s">
        <v>1070</v>
      </c>
      <c r="B276" s="32" t="s">
        <v>1071</v>
      </c>
      <c r="C276" s="32" t="s">
        <v>884</v>
      </c>
      <c r="D276" s="32" t="s">
        <v>1049</v>
      </c>
      <c r="E276" s="33" t="s">
        <v>885</v>
      </c>
      <c r="F276" s="34">
        <v>0</v>
      </c>
      <c r="G276" s="34">
        <v>0</v>
      </c>
      <c r="H276" s="35" t="s">
        <v>1049</v>
      </c>
    </row>
    <row r="277" spans="1:8" ht="27" customHeight="1" x14ac:dyDescent="0.2">
      <c r="A277" s="31" t="s">
        <v>1070</v>
      </c>
      <c r="B277" s="32" t="s">
        <v>1071</v>
      </c>
      <c r="C277" s="32" t="s">
        <v>844</v>
      </c>
      <c r="D277" s="32" t="s">
        <v>1049</v>
      </c>
      <c r="E277" s="33" t="s">
        <v>846</v>
      </c>
      <c r="F277" s="34">
        <v>0</v>
      </c>
      <c r="G277" s="34">
        <v>0</v>
      </c>
      <c r="H277" s="35" t="s">
        <v>1049</v>
      </c>
    </row>
    <row r="278" spans="1:8" ht="27" customHeight="1" x14ac:dyDescent="0.2">
      <c r="A278" s="31" t="s">
        <v>1070</v>
      </c>
      <c r="B278" s="32" t="s">
        <v>1071</v>
      </c>
      <c r="C278" s="32" t="s">
        <v>773</v>
      </c>
      <c r="D278" s="32" t="s">
        <v>1049</v>
      </c>
      <c r="E278" s="33" t="s">
        <v>775</v>
      </c>
      <c r="F278" s="34">
        <v>0</v>
      </c>
      <c r="G278" s="34">
        <v>0</v>
      </c>
      <c r="H278" s="35" t="s">
        <v>1049</v>
      </c>
    </row>
    <row r="279" spans="1:8" ht="27" customHeight="1" x14ac:dyDescent="0.2">
      <c r="A279" s="31" t="s">
        <v>1070</v>
      </c>
      <c r="B279" s="32" t="s">
        <v>1071</v>
      </c>
      <c r="C279" s="32" t="s">
        <v>831</v>
      </c>
      <c r="D279" s="32" t="s">
        <v>1049</v>
      </c>
      <c r="E279" s="33"/>
      <c r="F279" s="34">
        <v>0</v>
      </c>
      <c r="G279" s="34">
        <v>0</v>
      </c>
      <c r="H279" s="35" t="s">
        <v>1049</v>
      </c>
    </row>
    <row r="280" spans="1:8" ht="27" customHeight="1" x14ac:dyDescent="0.2">
      <c r="A280" s="31" t="s">
        <v>1070</v>
      </c>
      <c r="B280" s="32" t="s">
        <v>1071</v>
      </c>
      <c r="C280" s="32" t="s">
        <v>886</v>
      </c>
      <c r="D280" s="32" t="s">
        <v>1049</v>
      </c>
      <c r="E280" s="33" t="s">
        <v>887</v>
      </c>
      <c r="F280" s="34">
        <v>0</v>
      </c>
      <c r="G280" s="34">
        <v>0</v>
      </c>
      <c r="H280" s="35" t="s">
        <v>1049</v>
      </c>
    </row>
    <row r="281" spans="1:8" ht="27" customHeight="1" x14ac:dyDescent="0.2">
      <c r="A281" s="31" t="s">
        <v>1070</v>
      </c>
      <c r="B281" s="32" t="s">
        <v>1071</v>
      </c>
      <c r="C281" s="32" t="s">
        <v>860</v>
      </c>
      <c r="D281" s="32" t="s">
        <v>1049</v>
      </c>
      <c r="E281" s="33" t="s">
        <v>861</v>
      </c>
      <c r="F281" s="34">
        <v>0</v>
      </c>
      <c r="G281" s="34">
        <v>0</v>
      </c>
      <c r="H281" s="35" t="s">
        <v>1049</v>
      </c>
    </row>
    <row r="282" spans="1:8" ht="27" customHeight="1" x14ac:dyDescent="0.2">
      <c r="A282" s="31" t="s">
        <v>1070</v>
      </c>
      <c r="B282" s="32" t="s">
        <v>1071</v>
      </c>
      <c r="C282" s="32" t="s">
        <v>796</v>
      </c>
      <c r="D282" s="32" t="s">
        <v>796</v>
      </c>
      <c r="E282" s="33" t="s">
        <v>823</v>
      </c>
      <c r="F282" s="34">
        <v>1334829</v>
      </c>
      <c r="G282" s="34">
        <v>1160750</v>
      </c>
      <c r="H282" s="35" t="s">
        <v>1073</v>
      </c>
    </row>
    <row r="283" spans="1:8" ht="27" customHeight="1" x14ac:dyDescent="0.2">
      <c r="A283" s="31" t="s">
        <v>1070</v>
      </c>
      <c r="B283" s="32" t="s">
        <v>1071</v>
      </c>
      <c r="C283" s="32" t="s">
        <v>776</v>
      </c>
      <c r="D283" s="32" t="s">
        <v>776</v>
      </c>
      <c r="E283" s="33" t="s">
        <v>777</v>
      </c>
      <c r="F283" s="34">
        <v>289345</v>
      </c>
      <c r="G283" s="34">
        <v>290877</v>
      </c>
      <c r="H283" s="35" t="s">
        <v>1072</v>
      </c>
    </row>
    <row r="284" spans="1:8" ht="27" customHeight="1" x14ac:dyDescent="0.2">
      <c r="A284" s="31" t="s">
        <v>1070</v>
      </c>
      <c r="B284" s="32" t="s">
        <v>1071</v>
      </c>
      <c r="C284" s="32" t="s">
        <v>798</v>
      </c>
      <c r="D284" s="32" t="s">
        <v>1049</v>
      </c>
      <c r="E284" s="33" t="s">
        <v>800</v>
      </c>
      <c r="F284" s="34">
        <v>0</v>
      </c>
      <c r="G284" s="34">
        <v>0</v>
      </c>
      <c r="H284" s="35" t="s">
        <v>1049</v>
      </c>
    </row>
    <row r="285" spans="1:8" ht="27" customHeight="1" x14ac:dyDescent="0.2">
      <c r="A285" s="31" t="s">
        <v>1070</v>
      </c>
      <c r="B285" s="32" t="s">
        <v>1071</v>
      </c>
      <c r="C285" s="32" t="s">
        <v>892</v>
      </c>
      <c r="D285" s="32" t="s">
        <v>1049</v>
      </c>
      <c r="E285" s="33" t="s">
        <v>893</v>
      </c>
      <c r="F285" s="34">
        <v>0</v>
      </c>
      <c r="G285" s="34">
        <v>0</v>
      </c>
      <c r="H285" s="35" t="s">
        <v>1049</v>
      </c>
    </row>
    <row r="286" spans="1:8" ht="27" customHeight="1" x14ac:dyDescent="0.2">
      <c r="A286" s="31" t="s">
        <v>1070</v>
      </c>
      <c r="B286" s="32" t="s">
        <v>1071</v>
      </c>
      <c r="C286" s="32" t="s">
        <v>779</v>
      </c>
      <c r="D286" s="32" t="s">
        <v>802</v>
      </c>
      <c r="E286" s="33" t="s">
        <v>780</v>
      </c>
      <c r="F286" s="34">
        <v>61838</v>
      </c>
      <c r="G286" s="34">
        <v>61881</v>
      </c>
      <c r="H286" s="35" t="s">
        <v>1074</v>
      </c>
    </row>
    <row r="287" spans="1:8" ht="27" customHeight="1" x14ac:dyDescent="0.2">
      <c r="A287" s="31" t="s">
        <v>1070</v>
      </c>
      <c r="B287" s="32" t="s">
        <v>1071</v>
      </c>
      <c r="C287" s="32" t="s">
        <v>782</v>
      </c>
      <c r="D287" s="32" t="s">
        <v>1075</v>
      </c>
      <c r="E287" s="33" t="s">
        <v>784</v>
      </c>
      <c r="F287" s="34">
        <v>100526</v>
      </c>
      <c r="G287" s="34">
        <v>100595</v>
      </c>
      <c r="H287" s="35" t="s">
        <v>1076</v>
      </c>
    </row>
    <row r="288" spans="1:8" ht="27" customHeight="1" x14ac:dyDescent="0.2">
      <c r="A288" s="31" t="s">
        <v>1077</v>
      </c>
      <c r="B288" s="32" t="s">
        <v>1078</v>
      </c>
      <c r="C288" s="32" t="s">
        <v>763</v>
      </c>
      <c r="D288" s="32" t="s">
        <v>763</v>
      </c>
      <c r="E288" s="33" t="s">
        <v>764</v>
      </c>
      <c r="F288" s="34">
        <v>2050899</v>
      </c>
      <c r="G288" s="34">
        <v>2631872</v>
      </c>
      <c r="H288" s="35" t="s">
        <v>1055</v>
      </c>
    </row>
    <row r="289" spans="1:8" ht="27" customHeight="1" x14ac:dyDescent="0.2">
      <c r="A289" s="31" t="s">
        <v>1077</v>
      </c>
      <c r="B289" s="32" t="s">
        <v>1078</v>
      </c>
      <c r="C289" s="32" t="s">
        <v>766</v>
      </c>
      <c r="D289" s="32" t="s">
        <v>1049</v>
      </c>
      <c r="E289" s="33" t="s">
        <v>768</v>
      </c>
      <c r="F289" s="34">
        <v>0</v>
      </c>
      <c r="G289" s="34">
        <v>0</v>
      </c>
      <c r="H289" s="35" t="s">
        <v>1049</v>
      </c>
    </row>
    <row r="290" spans="1:8" ht="27" customHeight="1" x14ac:dyDescent="0.2">
      <c r="A290" s="31" t="s">
        <v>1077</v>
      </c>
      <c r="B290" s="32" t="s">
        <v>1078</v>
      </c>
      <c r="C290" s="32" t="s">
        <v>770</v>
      </c>
      <c r="D290" s="32" t="s">
        <v>1011</v>
      </c>
      <c r="E290" s="33" t="s">
        <v>772</v>
      </c>
      <c r="F290" s="34">
        <v>736159</v>
      </c>
      <c r="G290" s="34">
        <v>536510</v>
      </c>
      <c r="H290" s="35" t="s">
        <v>1055</v>
      </c>
    </row>
    <row r="291" spans="1:8" ht="27" customHeight="1" x14ac:dyDescent="0.2">
      <c r="A291" s="31" t="s">
        <v>1077</v>
      </c>
      <c r="B291" s="32" t="s">
        <v>1078</v>
      </c>
      <c r="C291" s="32" t="s">
        <v>884</v>
      </c>
      <c r="D291" s="32" t="s">
        <v>1049</v>
      </c>
      <c r="E291" s="33" t="s">
        <v>885</v>
      </c>
      <c r="F291" s="34">
        <v>0</v>
      </c>
      <c r="G291" s="34">
        <v>0</v>
      </c>
      <c r="H291" s="35" t="s">
        <v>1049</v>
      </c>
    </row>
    <row r="292" spans="1:8" ht="27" customHeight="1" x14ac:dyDescent="0.2">
      <c r="A292" s="31" t="s">
        <v>1077</v>
      </c>
      <c r="B292" s="32" t="s">
        <v>1078</v>
      </c>
      <c r="C292" s="32" t="s">
        <v>844</v>
      </c>
      <c r="D292" s="32" t="s">
        <v>1049</v>
      </c>
      <c r="E292" s="33" t="s">
        <v>846</v>
      </c>
      <c r="F292" s="34">
        <v>0</v>
      </c>
      <c r="G292" s="34">
        <v>0</v>
      </c>
      <c r="H292" s="35" t="s">
        <v>1049</v>
      </c>
    </row>
    <row r="293" spans="1:8" ht="27" customHeight="1" x14ac:dyDescent="0.2">
      <c r="A293" s="31" t="s">
        <v>1077</v>
      </c>
      <c r="B293" s="32" t="s">
        <v>1078</v>
      </c>
      <c r="C293" s="32" t="s">
        <v>773</v>
      </c>
      <c r="D293" s="32" t="s">
        <v>1049</v>
      </c>
      <c r="E293" s="33" t="s">
        <v>775</v>
      </c>
      <c r="F293" s="34">
        <v>0</v>
      </c>
      <c r="G293" s="34">
        <v>0</v>
      </c>
      <c r="H293" s="35" t="s">
        <v>1049</v>
      </c>
    </row>
    <row r="294" spans="1:8" ht="27" customHeight="1" x14ac:dyDescent="0.2">
      <c r="A294" s="31" t="s">
        <v>1077</v>
      </c>
      <c r="B294" s="32" t="s">
        <v>1078</v>
      </c>
      <c r="C294" s="32" t="s">
        <v>831</v>
      </c>
      <c r="D294" s="32" t="s">
        <v>1049</v>
      </c>
      <c r="E294" s="33"/>
      <c r="F294" s="34">
        <v>0</v>
      </c>
      <c r="G294" s="34">
        <v>0</v>
      </c>
      <c r="H294" s="35" t="s">
        <v>1049</v>
      </c>
    </row>
    <row r="295" spans="1:8" ht="27" customHeight="1" x14ac:dyDescent="0.2">
      <c r="A295" s="31" t="s">
        <v>1077</v>
      </c>
      <c r="B295" s="32" t="s">
        <v>1078</v>
      </c>
      <c r="C295" s="32" t="s">
        <v>886</v>
      </c>
      <c r="D295" s="32" t="s">
        <v>1049</v>
      </c>
      <c r="E295" s="33" t="s">
        <v>887</v>
      </c>
      <c r="F295" s="34">
        <v>0</v>
      </c>
      <c r="G295" s="34">
        <v>0</v>
      </c>
      <c r="H295" s="35" t="s">
        <v>1049</v>
      </c>
    </row>
    <row r="296" spans="1:8" ht="27" customHeight="1" x14ac:dyDescent="0.2">
      <c r="A296" s="31" t="s">
        <v>1077</v>
      </c>
      <c r="B296" s="32" t="s">
        <v>1078</v>
      </c>
      <c r="C296" s="32" t="s">
        <v>860</v>
      </c>
      <c r="D296" s="32" t="s">
        <v>1049</v>
      </c>
      <c r="E296" s="33" t="s">
        <v>861</v>
      </c>
      <c r="F296" s="34">
        <v>0</v>
      </c>
      <c r="G296" s="34">
        <v>0</v>
      </c>
      <c r="H296" s="35" t="s">
        <v>1049</v>
      </c>
    </row>
    <row r="297" spans="1:8" ht="27" customHeight="1" x14ac:dyDescent="0.2">
      <c r="A297" s="31" t="s">
        <v>1077</v>
      </c>
      <c r="B297" s="32" t="s">
        <v>1078</v>
      </c>
      <c r="C297" s="32" t="s">
        <v>796</v>
      </c>
      <c r="D297" s="32" t="s">
        <v>796</v>
      </c>
      <c r="E297" s="33" t="s">
        <v>823</v>
      </c>
      <c r="F297" s="34">
        <v>2156568</v>
      </c>
      <c r="G297" s="34">
        <v>1787598</v>
      </c>
      <c r="H297" s="35" t="s">
        <v>1079</v>
      </c>
    </row>
    <row r="298" spans="1:8" ht="27" customHeight="1" x14ac:dyDescent="0.2">
      <c r="A298" s="31" t="s">
        <v>1077</v>
      </c>
      <c r="B298" s="32" t="s">
        <v>1078</v>
      </c>
      <c r="C298" s="32" t="s">
        <v>776</v>
      </c>
      <c r="D298" s="32" t="s">
        <v>776</v>
      </c>
      <c r="E298" s="33" t="s">
        <v>777</v>
      </c>
      <c r="F298" s="34">
        <v>18399</v>
      </c>
      <c r="G298" s="34">
        <v>18408</v>
      </c>
      <c r="H298" s="35" t="s">
        <v>1080</v>
      </c>
    </row>
    <row r="299" spans="1:8" ht="27" customHeight="1" x14ac:dyDescent="0.2">
      <c r="A299" s="31" t="s">
        <v>1077</v>
      </c>
      <c r="B299" s="32" t="s">
        <v>1078</v>
      </c>
      <c r="C299" s="32" t="s">
        <v>798</v>
      </c>
      <c r="D299" s="32" t="s">
        <v>1049</v>
      </c>
      <c r="E299" s="33" t="s">
        <v>800</v>
      </c>
      <c r="F299" s="34">
        <v>0</v>
      </c>
      <c r="G299" s="34">
        <v>0</v>
      </c>
      <c r="H299" s="35" t="s">
        <v>1049</v>
      </c>
    </row>
    <row r="300" spans="1:8" ht="27" customHeight="1" x14ac:dyDescent="0.2">
      <c r="A300" s="31" t="s">
        <v>1077</v>
      </c>
      <c r="B300" s="32" t="s">
        <v>1078</v>
      </c>
      <c r="C300" s="32" t="s">
        <v>892</v>
      </c>
      <c r="D300" s="32" t="s">
        <v>1049</v>
      </c>
      <c r="E300" s="33" t="s">
        <v>893</v>
      </c>
      <c r="F300" s="34">
        <v>0</v>
      </c>
      <c r="G300" s="34">
        <v>0</v>
      </c>
      <c r="H300" s="35" t="s">
        <v>1049</v>
      </c>
    </row>
    <row r="301" spans="1:8" ht="27" customHeight="1" x14ac:dyDescent="0.2">
      <c r="A301" s="31" t="s">
        <v>1077</v>
      </c>
      <c r="B301" s="32" t="s">
        <v>1078</v>
      </c>
      <c r="C301" s="32" t="s">
        <v>779</v>
      </c>
      <c r="D301" s="32" t="s">
        <v>779</v>
      </c>
      <c r="E301" s="33" t="s">
        <v>780</v>
      </c>
      <c r="F301" s="34">
        <v>516967</v>
      </c>
      <c r="G301" s="34">
        <v>504385</v>
      </c>
      <c r="H301" s="35" t="s">
        <v>1081</v>
      </c>
    </row>
    <row r="302" spans="1:8" ht="27" customHeight="1" x14ac:dyDescent="0.2">
      <c r="A302" s="31" t="s">
        <v>1077</v>
      </c>
      <c r="B302" s="32" t="s">
        <v>1078</v>
      </c>
      <c r="C302" s="32" t="s">
        <v>782</v>
      </c>
      <c r="D302" s="32" t="s">
        <v>1049</v>
      </c>
      <c r="E302" s="33" t="s">
        <v>784</v>
      </c>
      <c r="F302" s="34">
        <v>0</v>
      </c>
      <c r="G302" s="34">
        <v>0</v>
      </c>
      <c r="H302" s="35" t="s">
        <v>1049</v>
      </c>
    </row>
    <row r="303" spans="1:8" ht="27" customHeight="1" x14ac:dyDescent="0.2">
      <c r="A303" s="31" t="s">
        <v>1082</v>
      </c>
      <c r="B303" s="32" t="s">
        <v>1083</v>
      </c>
      <c r="C303" s="32" t="s">
        <v>763</v>
      </c>
      <c r="D303" s="32" t="s">
        <v>763</v>
      </c>
      <c r="E303" s="33" t="s">
        <v>764</v>
      </c>
      <c r="F303" s="34">
        <v>3365875</v>
      </c>
      <c r="G303" s="34">
        <v>3373713</v>
      </c>
      <c r="H303" s="35" t="s">
        <v>1048</v>
      </c>
    </row>
    <row r="304" spans="1:8" ht="27" customHeight="1" x14ac:dyDescent="0.2">
      <c r="A304" s="31" t="s">
        <v>1082</v>
      </c>
      <c r="B304" s="32" t="s">
        <v>1083</v>
      </c>
      <c r="C304" s="32" t="s">
        <v>766</v>
      </c>
      <c r="D304" s="32" t="s">
        <v>1049</v>
      </c>
      <c r="E304" s="33" t="s">
        <v>768</v>
      </c>
      <c r="F304" s="34">
        <v>0</v>
      </c>
      <c r="G304" s="34">
        <v>0</v>
      </c>
      <c r="H304" s="35" t="s">
        <v>1049</v>
      </c>
    </row>
    <row r="305" spans="1:8" ht="27" customHeight="1" x14ac:dyDescent="0.2">
      <c r="A305" s="31" t="s">
        <v>1082</v>
      </c>
      <c r="B305" s="32" t="s">
        <v>1083</v>
      </c>
      <c r="C305" s="32" t="s">
        <v>770</v>
      </c>
      <c r="D305" s="32" t="s">
        <v>1011</v>
      </c>
      <c r="E305" s="33" t="s">
        <v>772</v>
      </c>
      <c r="F305" s="34">
        <v>1026595</v>
      </c>
      <c r="G305" s="34">
        <v>1028407</v>
      </c>
      <c r="H305" s="35" t="s">
        <v>1048</v>
      </c>
    </row>
    <row r="306" spans="1:8" ht="27" customHeight="1" x14ac:dyDescent="0.2">
      <c r="A306" s="31" t="s">
        <v>1082</v>
      </c>
      <c r="B306" s="32" t="s">
        <v>1083</v>
      </c>
      <c r="C306" s="32" t="s">
        <v>884</v>
      </c>
      <c r="D306" s="32" t="s">
        <v>1049</v>
      </c>
      <c r="E306" s="33" t="s">
        <v>885</v>
      </c>
      <c r="F306" s="34">
        <v>0</v>
      </c>
      <c r="G306" s="34">
        <v>0</v>
      </c>
      <c r="H306" s="35" t="s">
        <v>1049</v>
      </c>
    </row>
    <row r="307" spans="1:8" ht="27" customHeight="1" x14ac:dyDescent="0.2">
      <c r="A307" s="31" t="s">
        <v>1082</v>
      </c>
      <c r="B307" s="32" t="s">
        <v>1083</v>
      </c>
      <c r="C307" s="32" t="s">
        <v>844</v>
      </c>
      <c r="D307" s="32" t="s">
        <v>1049</v>
      </c>
      <c r="E307" s="33" t="s">
        <v>846</v>
      </c>
      <c r="F307" s="34">
        <v>0</v>
      </c>
      <c r="G307" s="34">
        <v>0</v>
      </c>
      <c r="H307" s="35" t="s">
        <v>1049</v>
      </c>
    </row>
    <row r="308" spans="1:8" ht="27" customHeight="1" x14ac:dyDescent="0.2">
      <c r="A308" s="31" t="s">
        <v>1082</v>
      </c>
      <c r="B308" s="32" t="s">
        <v>1083</v>
      </c>
      <c r="C308" s="32" t="s">
        <v>773</v>
      </c>
      <c r="D308" s="32" t="s">
        <v>1049</v>
      </c>
      <c r="E308" s="33" t="s">
        <v>775</v>
      </c>
      <c r="F308" s="34">
        <v>0</v>
      </c>
      <c r="G308" s="34">
        <v>0</v>
      </c>
      <c r="H308" s="35" t="s">
        <v>1049</v>
      </c>
    </row>
    <row r="309" spans="1:8" ht="27" customHeight="1" x14ac:dyDescent="0.2">
      <c r="A309" s="31" t="s">
        <v>1082</v>
      </c>
      <c r="B309" s="32" t="s">
        <v>1083</v>
      </c>
      <c r="C309" s="32" t="s">
        <v>831</v>
      </c>
      <c r="D309" s="32" t="s">
        <v>1049</v>
      </c>
      <c r="E309" s="33"/>
      <c r="F309" s="34">
        <v>0</v>
      </c>
      <c r="G309" s="34">
        <v>0</v>
      </c>
      <c r="H309" s="35" t="s">
        <v>1049</v>
      </c>
    </row>
    <row r="310" spans="1:8" ht="27" customHeight="1" x14ac:dyDescent="0.2">
      <c r="A310" s="31" t="s">
        <v>1082</v>
      </c>
      <c r="B310" s="32" t="s">
        <v>1083</v>
      </c>
      <c r="C310" s="32" t="s">
        <v>886</v>
      </c>
      <c r="D310" s="32" t="s">
        <v>1049</v>
      </c>
      <c r="E310" s="33" t="s">
        <v>887</v>
      </c>
      <c r="F310" s="34">
        <v>0</v>
      </c>
      <c r="G310" s="34">
        <v>0</v>
      </c>
      <c r="H310" s="35" t="s">
        <v>1049</v>
      </c>
    </row>
    <row r="311" spans="1:8" ht="27" customHeight="1" x14ac:dyDescent="0.2">
      <c r="A311" s="31" t="s">
        <v>1082</v>
      </c>
      <c r="B311" s="32" t="s">
        <v>1083</v>
      </c>
      <c r="C311" s="32" t="s">
        <v>860</v>
      </c>
      <c r="D311" s="32" t="s">
        <v>1049</v>
      </c>
      <c r="E311" s="33" t="s">
        <v>861</v>
      </c>
      <c r="F311" s="34">
        <v>0</v>
      </c>
      <c r="G311" s="34">
        <v>0</v>
      </c>
      <c r="H311" s="35" t="s">
        <v>1049</v>
      </c>
    </row>
    <row r="312" spans="1:8" ht="27" customHeight="1" x14ac:dyDescent="0.2">
      <c r="A312" s="31" t="s">
        <v>1082</v>
      </c>
      <c r="B312" s="32" t="s">
        <v>1083</v>
      </c>
      <c r="C312" s="32" t="s">
        <v>796</v>
      </c>
      <c r="D312" s="32" t="s">
        <v>796</v>
      </c>
      <c r="E312" s="33" t="s">
        <v>823</v>
      </c>
      <c r="F312" s="34">
        <v>5138460</v>
      </c>
      <c r="G312" s="34">
        <v>4697530</v>
      </c>
      <c r="H312" s="35" t="s">
        <v>1084</v>
      </c>
    </row>
    <row r="313" spans="1:8" ht="27" customHeight="1" x14ac:dyDescent="0.2">
      <c r="A313" s="31" t="s">
        <v>1082</v>
      </c>
      <c r="B313" s="32" t="s">
        <v>1083</v>
      </c>
      <c r="C313" s="32" t="s">
        <v>776</v>
      </c>
      <c r="D313" s="32" t="s">
        <v>776</v>
      </c>
      <c r="E313" s="33" t="s">
        <v>777</v>
      </c>
      <c r="F313" s="34">
        <v>1202424</v>
      </c>
      <c r="G313" s="34">
        <v>1204755</v>
      </c>
      <c r="H313" s="35" t="s">
        <v>1048</v>
      </c>
    </row>
    <row r="314" spans="1:8" ht="27" customHeight="1" x14ac:dyDescent="0.2">
      <c r="A314" s="31" t="s">
        <v>1082</v>
      </c>
      <c r="B314" s="32" t="s">
        <v>1083</v>
      </c>
      <c r="C314" s="32" t="s">
        <v>798</v>
      </c>
      <c r="D314" s="32" t="s">
        <v>1049</v>
      </c>
      <c r="E314" s="33" t="s">
        <v>800</v>
      </c>
      <c r="F314" s="34">
        <v>0</v>
      </c>
      <c r="G314" s="34">
        <v>0</v>
      </c>
      <c r="H314" s="35" t="s">
        <v>1049</v>
      </c>
    </row>
    <row r="315" spans="1:8" ht="27" customHeight="1" x14ac:dyDescent="0.2">
      <c r="A315" s="31" t="s">
        <v>1082</v>
      </c>
      <c r="B315" s="32" t="s">
        <v>1083</v>
      </c>
      <c r="C315" s="32" t="s">
        <v>892</v>
      </c>
      <c r="D315" s="32" t="s">
        <v>1049</v>
      </c>
      <c r="E315" s="33" t="s">
        <v>893</v>
      </c>
      <c r="F315" s="34">
        <v>0</v>
      </c>
      <c r="G315" s="34">
        <v>0</v>
      </c>
      <c r="H315" s="35" t="s">
        <v>1049</v>
      </c>
    </row>
    <row r="316" spans="1:8" ht="27" customHeight="1" x14ac:dyDescent="0.2">
      <c r="A316" s="31" t="s">
        <v>1082</v>
      </c>
      <c r="B316" s="32" t="s">
        <v>1083</v>
      </c>
      <c r="C316" s="32" t="s">
        <v>779</v>
      </c>
      <c r="D316" s="32" t="s">
        <v>802</v>
      </c>
      <c r="E316" s="33" t="s">
        <v>780</v>
      </c>
      <c r="F316" s="34">
        <v>264965</v>
      </c>
      <c r="G316" s="34">
        <v>265432</v>
      </c>
      <c r="H316" s="35" t="s">
        <v>1048</v>
      </c>
    </row>
    <row r="317" spans="1:8" ht="27" customHeight="1" x14ac:dyDescent="0.2">
      <c r="A317" s="31" t="s">
        <v>1082</v>
      </c>
      <c r="B317" s="32" t="s">
        <v>1083</v>
      </c>
      <c r="C317" s="32" t="s">
        <v>782</v>
      </c>
      <c r="D317" s="32" t="s">
        <v>1049</v>
      </c>
      <c r="E317" s="33" t="s">
        <v>784</v>
      </c>
      <c r="F317" s="34">
        <v>0</v>
      </c>
      <c r="G317" s="34">
        <v>0</v>
      </c>
      <c r="H317" s="35" t="s">
        <v>1049</v>
      </c>
    </row>
    <row r="318" spans="1:8" ht="27" customHeight="1" x14ac:dyDescent="0.2">
      <c r="A318" s="31" t="s">
        <v>1085</v>
      </c>
      <c r="B318" s="32" t="s">
        <v>1086</v>
      </c>
      <c r="C318" s="32" t="s">
        <v>763</v>
      </c>
      <c r="D318" s="32" t="s">
        <v>816</v>
      </c>
      <c r="E318" s="33" t="s">
        <v>764</v>
      </c>
      <c r="F318" s="34">
        <v>1559647</v>
      </c>
      <c r="G318" s="34">
        <v>2412382</v>
      </c>
      <c r="H318" s="35" t="s">
        <v>1048</v>
      </c>
    </row>
    <row r="319" spans="1:8" ht="27" customHeight="1" x14ac:dyDescent="0.2">
      <c r="A319" s="31" t="s">
        <v>1085</v>
      </c>
      <c r="B319" s="32" t="s">
        <v>1086</v>
      </c>
      <c r="C319" s="32" t="s">
        <v>770</v>
      </c>
      <c r="D319" s="32" t="s">
        <v>1011</v>
      </c>
      <c r="E319" s="33" t="s">
        <v>772</v>
      </c>
      <c r="F319" s="34">
        <v>479253</v>
      </c>
      <c r="G319" s="34">
        <v>480094</v>
      </c>
      <c r="H319" s="35" t="s">
        <v>1048</v>
      </c>
    </row>
    <row r="320" spans="1:8" ht="27" customHeight="1" x14ac:dyDescent="0.2">
      <c r="A320" s="31" t="s">
        <v>1085</v>
      </c>
      <c r="B320" s="32" t="s">
        <v>1086</v>
      </c>
      <c r="C320" s="32" t="s">
        <v>796</v>
      </c>
      <c r="D320" s="32" t="s">
        <v>796</v>
      </c>
      <c r="E320" s="33" t="s">
        <v>823</v>
      </c>
      <c r="F320" s="34">
        <v>1450568</v>
      </c>
      <c r="G320" s="34">
        <v>1453112</v>
      </c>
      <c r="H320" s="35" t="s">
        <v>1048</v>
      </c>
    </row>
    <row r="321" spans="1:8" ht="27" customHeight="1" x14ac:dyDescent="0.2">
      <c r="A321" s="31" t="s">
        <v>1085</v>
      </c>
      <c r="B321" s="32" t="s">
        <v>1086</v>
      </c>
      <c r="C321" s="32" t="s">
        <v>776</v>
      </c>
      <c r="D321" s="32" t="s">
        <v>776</v>
      </c>
      <c r="E321" s="33" t="s">
        <v>777</v>
      </c>
      <c r="F321" s="34">
        <v>531940</v>
      </c>
      <c r="G321" s="34">
        <v>752873</v>
      </c>
      <c r="H321" s="35" t="s">
        <v>1048</v>
      </c>
    </row>
    <row r="322" spans="1:8" ht="27" customHeight="1" x14ac:dyDescent="0.2">
      <c r="A322" s="31" t="s">
        <v>1085</v>
      </c>
      <c r="B322" s="32" t="s">
        <v>1086</v>
      </c>
      <c r="C322" s="32" t="s">
        <v>779</v>
      </c>
      <c r="D322" s="32" t="s">
        <v>779</v>
      </c>
      <c r="E322" s="33" t="s">
        <v>780</v>
      </c>
      <c r="F322" s="34">
        <v>199570</v>
      </c>
      <c r="G322" s="34">
        <v>199920</v>
      </c>
      <c r="H322" s="35" t="s">
        <v>1048</v>
      </c>
    </row>
    <row r="323" spans="1:8" ht="27" customHeight="1" x14ac:dyDescent="0.2">
      <c r="A323" s="31" t="s">
        <v>1087</v>
      </c>
      <c r="B323" s="32" t="s">
        <v>1088</v>
      </c>
      <c r="C323" s="32" t="s">
        <v>763</v>
      </c>
      <c r="D323" s="32" t="s">
        <v>816</v>
      </c>
      <c r="E323" s="33" t="s">
        <v>764</v>
      </c>
      <c r="F323" s="34">
        <v>2414900</v>
      </c>
      <c r="G323" s="34">
        <v>2425052</v>
      </c>
      <c r="H323" s="35" t="s">
        <v>1055</v>
      </c>
    </row>
    <row r="324" spans="1:8" ht="27" customHeight="1" x14ac:dyDescent="0.2">
      <c r="A324" s="31" t="s">
        <v>1087</v>
      </c>
      <c r="B324" s="32" t="s">
        <v>1088</v>
      </c>
      <c r="C324" s="32" t="s">
        <v>766</v>
      </c>
      <c r="D324" s="32" t="s">
        <v>1049</v>
      </c>
      <c r="E324" s="33" t="s">
        <v>768</v>
      </c>
      <c r="F324" s="34">
        <v>0</v>
      </c>
      <c r="G324" s="34">
        <v>0</v>
      </c>
      <c r="H324" s="35" t="s">
        <v>1049</v>
      </c>
    </row>
    <row r="325" spans="1:8" ht="27" customHeight="1" x14ac:dyDescent="0.2">
      <c r="A325" s="31" t="s">
        <v>1087</v>
      </c>
      <c r="B325" s="32" t="s">
        <v>1088</v>
      </c>
      <c r="C325" s="32" t="s">
        <v>770</v>
      </c>
      <c r="D325" s="32" t="s">
        <v>1049</v>
      </c>
      <c r="E325" s="33" t="s">
        <v>772</v>
      </c>
      <c r="F325" s="34">
        <v>0</v>
      </c>
      <c r="G325" s="34">
        <v>0</v>
      </c>
      <c r="H325" s="35" t="s">
        <v>1049</v>
      </c>
    </row>
    <row r="326" spans="1:8" ht="27" customHeight="1" x14ac:dyDescent="0.2">
      <c r="A326" s="31" t="s">
        <v>1087</v>
      </c>
      <c r="B326" s="32" t="s">
        <v>1088</v>
      </c>
      <c r="C326" s="32" t="s">
        <v>884</v>
      </c>
      <c r="D326" s="32" t="s">
        <v>1049</v>
      </c>
      <c r="E326" s="33" t="s">
        <v>885</v>
      </c>
      <c r="F326" s="34">
        <v>0</v>
      </c>
      <c r="G326" s="34">
        <v>0</v>
      </c>
      <c r="H326" s="35" t="s">
        <v>1049</v>
      </c>
    </row>
    <row r="327" spans="1:8" ht="27" customHeight="1" x14ac:dyDescent="0.2">
      <c r="A327" s="31" t="s">
        <v>1087</v>
      </c>
      <c r="B327" s="32" t="s">
        <v>1088</v>
      </c>
      <c r="C327" s="32" t="s">
        <v>844</v>
      </c>
      <c r="D327" s="32" t="s">
        <v>972</v>
      </c>
      <c r="E327" s="33" t="s">
        <v>846</v>
      </c>
      <c r="F327" s="34">
        <v>663186</v>
      </c>
      <c r="G327" s="34">
        <v>664476</v>
      </c>
      <c r="H327" s="35" t="s">
        <v>1055</v>
      </c>
    </row>
    <row r="328" spans="1:8" ht="27" customHeight="1" x14ac:dyDescent="0.2">
      <c r="A328" s="31" t="s">
        <v>1087</v>
      </c>
      <c r="B328" s="32" t="s">
        <v>1088</v>
      </c>
      <c r="C328" s="32" t="s">
        <v>773</v>
      </c>
      <c r="D328" s="32" t="s">
        <v>1049</v>
      </c>
      <c r="E328" s="33" t="s">
        <v>775</v>
      </c>
      <c r="F328" s="34">
        <v>0</v>
      </c>
      <c r="G328" s="34">
        <v>0</v>
      </c>
      <c r="H328" s="35" t="s">
        <v>1049</v>
      </c>
    </row>
    <row r="329" spans="1:8" ht="27" customHeight="1" x14ac:dyDescent="0.2">
      <c r="A329" s="31" t="s">
        <v>1087</v>
      </c>
      <c r="B329" s="32" t="s">
        <v>1088</v>
      </c>
      <c r="C329" s="32" t="s">
        <v>831</v>
      </c>
      <c r="D329" s="32" t="s">
        <v>1049</v>
      </c>
      <c r="E329" s="33"/>
      <c r="F329" s="34">
        <v>0</v>
      </c>
      <c r="G329" s="34">
        <v>0</v>
      </c>
      <c r="H329" s="35" t="s">
        <v>1049</v>
      </c>
    </row>
    <row r="330" spans="1:8" ht="27" customHeight="1" x14ac:dyDescent="0.2">
      <c r="A330" s="31" t="s">
        <v>1087</v>
      </c>
      <c r="B330" s="32" t="s">
        <v>1088</v>
      </c>
      <c r="C330" s="32" t="s">
        <v>886</v>
      </c>
      <c r="D330" s="32" t="s">
        <v>1049</v>
      </c>
      <c r="E330" s="33" t="s">
        <v>887</v>
      </c>
      <c r="F330" s="34">
        <v>0</v>
      </c>
      <c r="G330" s="34">
        <v>0</v>
      </c>
      <c r="H330" s="35" t="s">
        <v>1049</v>
      </c>
    </row>
    <row r="331" spans="1:8" ht="27" customHeight="1" x14ac:dyDescent="0.2">
      <c r="A331" s="31" t="s">
        <v>1087</v>
      </c>
      <c r="B331" s="32" t="s">
        <v>1088</v>
      </c>
      <c r="C331" s="32" t="s">
        <v>860</v>
      </c>
      <c r="D331" s="32" t="s">
        <v>911</v>
      </c>
      <c r="E331" s="33" t="s">
        <v>861</v>
      </c>
      <c r="F331" s="34">
        <v>794487</v>
      </c>
      <c r="G331" s="34">
        <v>796123</v>
      </c>
      <c r="H331" s="35" t="s">
        <v>1055</v>
      </c>
    </row>
    <row r="332" spans="1:8" ht="27" customHeight="1" x14ac:dyDescent="0.2">
      <c r="A332" s="31" t="s">
        <v>1087</v>
      </c>
      <c r="B332" s="32" t="s">
        <v>1088</v>
      </c>
      <c r="C332" s="32" t="s">
        <v>796</v>
      </c>
      <c r="D332" s="32" t="s">
        <v>796</v>
      </c>
      <c r="E332" s="33" t="s">
        <v>772</v>
      </c>
      <c r="F332" s="34">
        <v>5603740</v>
      </c>
      <c r="G332" s="34">
        <v>5092718</v>
      </c>
      <c r="H332" s="35" t="s">
        <v>1055</v>
      </c>
    </row>
    <row r="333" spans="1:8" ht="27" customHeight="1" x14ac:dyDescent="0.2">
      <c r="A333" s="31" t="s">
        <v>1087</v>
      </c>
      <c r="B333" s="32" t="s">
        <v>1088</v>
      </c>
      <c r="C333" s="32" t="s">
        <v>776</v>
      </c>
      <c r="D333" s="32" t="s">
        <v>812</v>
      </c>
      <c r="E333" s="33" t="s">
        <v>777</v>
      </c>
      <c r="F333" s="34">
        <v>6103227</v>
      </c>
      <c r="G333" s="34">
        <v>6115500</v>
      </c>
      <c r="H333" s="35" t="s">
        <v>1055</v>
      </c>
    </row>
    <row r="334" spans="1:8" ht="27" customHeight="1" x14ac:dyDescent="0.2">
      <c r="A334" s="31" t="s">
        <v>1087</v>
      </c>
      <c r="B334" s="32" t="s">
        <v>1088</v>
      </c>
      <c r="C334" s="32" t="s">
        <v>798</v>
      </c>
      <c r="D334" s="32" t="s">
        <v>1049</v>
      </c>
      <c r="E334" s="33" t="s">
        <v>800</v>
      </c>
      <c r="F334" s="34">
        <v>0</v>
      </c>
      <c r="G334" s="34">
        <v>0</v>
      </c>
      <c r="H334" s="35" t="s">
        <v>1049</v>
      </c>
    </row>
    <row r="335" spans="1:8" ht="27" customHeight="1" x14ac:dyDescent="0.2">
      <c r="A335" s="31" t="s">
        <v>1087</v>
      </c>
      <c r="B335" s="32" t="s">
        <v>1088</v>
      </c>
      <c r="C335" s="32" t="s">
        <v>892</v>
      </c>
      <c r="D335" s="32" t="s">
        <v>1049</v>
      </c>
      <c r="E335" s="33" t="s">
        <v>893</v>
      </c>
      <c r="F335" s="34">
        <v>0</v>
      </c>
      <c r="G335" s="34">
        <v>0</v>
      </c>
      <c r="H335" s="35" t="s">
        <v>1049</v>
      </c>
    </row>
    <row r="336" spans="1:8" ht="27" customHeight="1" x14ac:dyDescent="0.2">
      <c r="A336" s="31" t="s">
        <v>1087</v>
      </c>
      <c r="B336" s="32" t="s">
        <v>1088</v>
      </c>
      <c r="C336" s="32" t="s">
        <v>779</v>
      </c>
      <c r="D336" s="32" t="s">
        <v>876</v>
      </c>
      <c r="E336" s="33" t="s">
        <v>780</v>
      </c>
      <c r="F336" s="34">
        <v>308300</v>
      </c>
      <c r="G336" s="34">
        <v>308871</v>
      </c>
      <c r="H336" s="35" t="s">
        <v>1055</v>
      </c>
    </row>
    <row r="337" spans="1:8" ht="27" customHeight="1" x14ac:dyDescent="0.2">
      <c r="A337" s="31" t="s">
        <v>1087</v>
      </c>
      <c r="B337" s="32" t="s">
        <v>1088</v>
      </c>
      <c r="C337" s="32" t="s">
        <v>782</v>
      </c>
      <c r="D337" s="32" t="s">
        <v>1049</v>
      </c>
      <c r="E337" s="33" t="s">
        <v>784</v>
      </c>
      <c r="F337" s="34">
        <v>0</v>
      </c>
      <c r="G337" s="34">
        <v>0</v>
      </c>
      <c r="H337" s="35" t="s">
        <v>1049</v>
      </c>
    </row>
    <row r="338" spans="1:8" ht="27" customHeight="1" x14ac:dyDescent="0.2">
      <c r="A338" s="31" t="s">
        <v>1089</v>
      </c>
      <c r="B338" s="32" t="s">
        <v>1090</v>
      </c>
      <c r="C338" s="32" t="s">
        <v>763</v>
      </c>
      <c r="D338" s="32" t="s">
        <v>816</v>
      </c>
      <c r="E338" s="33" t="s">
        <v>764</v>
      </c>
      <c r="F338" s="34">
        <v>4328</v>
      </c>
      <c r="G338" s="34">
        <v>839344</v>
      </c>
      <c r="H338" s="35" t="s">
        <v>1048</v>
      </c>
    </row>
    <row r="339" spans="1:8" ht="27" customHeight="1" x14ac:dyDescent="0.2">
      <c r="A339" s="31" t="s">
        <v>1089</v>
      </c>
      <c r="B339" s="32" t="s">
        <v>1090</v>
      </c>
      <c r="C339" s="32" t="s">
        <v>766</v>
      </c>
      <c r="D339" s="32" t="s">
        <v>1091</v>
      </c>
      <c r="E339" s="33" t="s">
        <v>768</v>
      </c>
      <c r="F339" s="34">
        <v>0</v>
      </c>
      <c r="G339" s="34">
        <v>0</v>
      </c>
      <c r="H339" s="35" t="s">
        <v>1091</v>
      </c>
    </row>
    <row r="340" spans="1:8" ht="27" customHeight="1" x14ac:dyDescent="0.2">
      <c r="A340" s="31" t="s">
        <v>1089</v>
      </c>
      <c r="B340" s="32" t="s">
        <v>1090</v>
      </c>
      <c r="C340" s="32" t="s">
        <v>770</v>
      </c>
      <c r="D340" s="32" t="s">
        <v>1011</v>
      </c>
      <c r="E340" s="33" t="s">
        <v>772</v>
      </c>
      <c r="F340" s="34">
        <v>202178</v>
      </c>
      <c r="G340" s="34">
        <v>141210</v>
      </c>
      <c r="H340" s="35" t="s">
        <v>1048</v>
      </c>
    </row>
    <row r="341" spans="1:8" ht="27" customHeight="1" x14ac:dyDescent="0.2">
      <c r="A341" s="31" t="s">
        <v>1089</v>
      </c>
      <c r="B341" s="32" t="s">
        <v>1090</v>
      </c>
      <c r="C341" s="32" t="s">
        <v>884</v>
      </c>
      <c r="D341" s="32" t="s">
        <v>1091</v>
      </c>
      <c r="E341" s="33" t="s">
        <v>885</v>
      </c>
      <c r="F341" s="34">
        <v>0</v>
      </c>
      <c r="G341" s="34">
        <v>0</v>
      </c>
      <c r="H341" s="35" t="s">
        <v>1091</v>
      </c>
    </row>
    <row r="342" spans="1:8" ht="27" customHeight="1" x14ac:dyDescent="0.2">
      <c r="A342" s="31" t="s">
        <v>1089</v>
      </c>
      <c r="B342" s="32" t="s">
        <v>1090</v>
      </c>
      <c r="C342" s="32" t="s">
        <v>844</v>
      </c>
      <c r="D342" s="32" t="s">
        <v>1091</v>
      </c>
      <c r="E342" s="33" t="s">
        <v>846</v>
      </c>
      <c r="F342" s="34">
        <v>0</v>
      </c>
      <c r="G342" s="34">
        <v>0</v>
      </c>
      <c r="H342" s="35" t="s">
        <v>1091</v>
      </c>
    </row>
    <row r="343" spans="1:8" ht="27" customHeight="1" x14ac:dyDescent="0.2">
      <c r="A343" s="31" t="s">
        <v>1089</v>
      </c>
      <c r="B343" s="32" t="s">
        <v>1090</v>
      </c>
      <c r="C343" s="32" t="s">
        <v>773</v>
      </c>
      <c r="D343" s="32" t="s">
        <v>1091</v>
      </c>
      <c r="E343" s="33" t="s">
        <v>775</v>
      </c>
      <c r="F343" s="34">
        <v>0</v>
      </c>
      <c r="G343" s="34">
        <v>0</v>
      </c>
      <c r="H343" s="35" t="s">
        <v>1091</v>
      </c>
    </row>
    <row r="344" spans="1:8" ht="27" customHeight="1" x14ac:dyDescent="0.2">
      <c r="A344" s="31" t="s">
        <v>1089</v>
      </c>
      <c r="B344" s="32" t="s">
        <v>1090</v>
      </c>
      <c r="C344" s="32" t="s">
        <v>831</v>
      </c>
      <c r="D344" s="32" t="s">
        <v>1091</v>
      </c>
      <c r="E344" s="33"/>
      <c r="F344" s="34">
        <v>0</v>
      </c>
      <c r="G344" s="34">
        <v>0</v>
      </c>
      <c r="H344" s="35" t="s">
        <v>1091</v>
      </c>
    </row>
    <row r="345" spans="1:8" ht="27" customHeight="1" x14ac:dyDescent="0.2">
      <c r="A345" s="31" t="s">
        <v>1089</v>
      </c>
      <c r="B345" s="32" t="s">
        <v>1090</v>
      </c>
      <c r="C345" s="32" t="s">
        <v>886</v>
      </c>
      <c r="D345" s="32" t="s">
        <v>1091</v>
      </c>
      <c r="E345" s="33" t="s">
        <v>887</v>
      </c>
      <c r="F345" s="34">
        <v>0</v>
      </c>
      <c r="G345" s="34">
        <v>0</v>
      </c>
      <c r="H345" s="35" t="s">
        <v>1091</v>
      </c>
    </row>
    <row r="346" spans="1:8" ht="27" customHeight="1" x14ac:dyDescent="0.2">
      <c r="A346" s="31" t="s">
        <v>1089</v>
      </c>
      <c r="B346" s="32" t="s">
        <v>1090</v>
      </c>
      <c r="C346" s="32" t="s">
        <v>860</v>
      </c>
      <c r="D346" s="32" t="s">
        <v>1091</v>
      </c>
      <c r="E346" s="33" t="s">
        <v>861</v>
      </c>
      <c r="F346" s="34">
        <v>0</v>
      </c>
      <c r="G346" s="34">
        <v>0</v>
      </c>
      <c r="H346" s="35" t="s">
        <v>1091</v>
      </c>
    </row>
    <row r="347" spans="1:8" ht="27" customHeight="1" x14ac:dyDescent="0.2">
      <c r="A347" s="31" t="s">
        <v>1089</v>
      </c>
      <c r="B347" s="32" t="s">
        <v>1090</v>
      </c>
      <c r="C347" s="32" t="s">
        <v>796</v>
      </c>
      <c r="D347" s="32" t="s">
        <v>796</v>
      </c>
      <c r="E347" s="33" t="s">
        <v>772</v>
      </c>
      <c r="F347" s="34">
        <v>1500903</v>
      </c>
      <c r="G347" s="34">
        <v>1503275</v>
      </c>
      <c r="H347" s="35" t="s">
        <v>1048</v>
      </c>
    </row>
    <row r="348" spans="1:8" ht="27" customHeight="1" x14ac:dyDescent="0.2">
      <c r="A348" s="31" t="s">
        <v>1089</v>
      </c>
      <c r="B348" s="32" t="s">
        <v>1090</v>
      </c>
      <c r="C348" s="32" t="s">
        <v>776</v>
      </c>
      <c r="D348" s="32" t="s">
        <v>914</v>
      </c>
      <c r="E348" s="33" t="s">
        <v>777</v>
      </c>
      <c r="F348" s="34">
        <v>163998</v>
      </c>
      <c r="G348" s="34">
        <v>164141</v>
      </c>
      <c r="H348" s="35" t="s">
        <v>1048</v>
      </c>
    </row>
    <row r="349" spans="1:8" ht="27" customHeight="1" x14ac:dyDescent="0.2">
      <c r="A349" s="31" t="s">
        <v>1089</v>
      </c>
      <c r="B349" s="32" t="s">
        <v>1090</v>
      </c>
      <c r="C349" s="32" t="s">
        <v>798</v>
      </c>
      <c r="D349" s="32" t="s">
        <v>1091</v>
      </c>
      <c r="E349" s="33" t="s">
        <v>800</v>
      </c>
      <c r="F349" s="34">
        <v>0</v>
      </c>
      <c r="G349" s="34">
        <v>0</v>
      </c>
      <c r="H349" s="35" t="s">
        <v>1091</v>
      </c>
    </row>
    <row r="350" spans="1:8" ht="27" customHeight="1" x14ac:dyDescent="0.2">
      <c r="A350" s="31" t="s">
        <v>1089</v>
      </c>
      <c r="B350" s="32" t="s">
        <v>1090</v>
      </c>
      <c r="C350" s="32" t="s">
        <v>892</v>
      </c>
      <c r="D350" s="32" t="s">
        <v>1091</v>
      </c>
      <c r="E350" s="33" t="s">
        <v>893</v>
      </c>
      <c r="F350" s="34">
        <v>0</v>
      </c>
      <c r="G350" s="34">
        <v>0</v>
      </c>
      <c r="H350" s="35" t="s">
        <v>1091</v>
      </c>
    </row>
    <row r="351" spans="1:8" ht="27" customHeight="1" x14ac:dyDescent="0.2">
      <c r="A351" s="31" t="s">
        <v>1089</v>
      </c>
      <c r="B351" s="32" t="s">
        <v>1090</v>
      </c>
      <c r="C351" s="32" t="s">
        <v>779</v>
      </c>
      <c r="D351" s="32" t="s">
        <v>876</v>
      </c>
      <c r="E351" s="33" t="s">
        <v>780</v>
      </c>
      <c r="F351" s="34">
        <v>197305</v>
      </c>
      <c r="G351" s="34">
        <v>197481</v>
      </c>
      <c r="H351" s="35" t="s">
        <v>1048</v>
      </c>
    </row>
    <row r="352" spans="1:8" ht="27" customHeight="1" x14ac:dyDescent="0.2">
      <c r="A352" s="31" t="s">
        <v>1089</v>
      </c>
      <c r="B352" s="32" t="s">
        <v>1090</v>
      </c>
      <c r="C352" s="32" t="s">
        <v>782</v>
      </c>
      <c r="D352" s="32" t="s">
        <v>1091</v>
      </c>
      <c r="E352" s="33" t="s">
        <v>784</v>
      </c>
      <c r="F352" s="34">
        <v>0</v>
      </c>
      <c r="G352" s="34">
        <v>0</v>
      </c>
      <c r="H352" s="35" t="s">
        <v>1091</v>
      </c>
    </row>
    <row r="353" spans="1:8" ht="27" customHeight="1" x14ac:dyDescent="0.2">
      <c r="A353" s="31" t="s">
        <v>1092</v>
      </c>
      <c r="B353" s="32" t="s">
        <v>1093</v>
      </c>
      <c r="C353" s="32" t="s">
        <v>770</v>
      </c>
      <c r="D353" s="32" t="s">
        <v>970</v>
      </c>
      <c r="E353" s="33" t="s">
        <v>772</v>
      </c>
      <c r="F353" s="34">
        <v>725968</v>
      </c>
      <c r="G353" s="34">
        <v>719957</v>
      </c>
      <c r="H353" s="35" t="s">
        <v>1094</v>
      </c>
    </row>
    <row r="354" spans="1:8" ht="27" customHeight="1" x14ac:dyDescent="0.2">
      <c r="A354" s="31" t="s">
        <v>1092</v>
      </c>
      <c r="B354" s="32" t="s">
        <v>1093</v>
      </c>
      <c r="C354" s="32" t="s">
        <v>796</v>
      </c>
      <c r="D354" s="32" t="s">
        <v>1095</v>
      </c>
      <c r="E354" s="33" t="s">
        <v>823</v>
      </c>
      <c r="F354" s="34">
        <v>429245</v>
      </c>
      <c r="G354" s="34">
        <v>429925</v>
      </c>
      <c r="H354" s="35" t="s">
        <v>1096</v>
      </c>
    </row>
    <row r="355" spans="1:8" ht="27" customHeight="1" x14ac:dyDescent="0.2">
      <c r="A355" s="31" t="s">
        <v>1092</v>
      </c>
      <c r="B355" s="32" t="s">
        <v>1093</v>
      </c>
      <c r="C355" s="32" t="s">
        <v>776</v>
      </c>
      <c r="D355" s="32" t="s">
        <v>914</v>
      </c>
      <c r="E355" s="33" t="s">
        <v>777</v>
      </c>
      <c r="F355" s="34">
        <v>130917</v>
      </c>
      <c r="G355" s="34">
        <v>130917</v>
      </c>
      <c r="H355" s="35" t="s">
        <v>1097</v>
      </c>
    </row>
    <row r="356" spans="1:8" ht="27" customHeight="1" x14ac:dyDescent="0.2">
      <c r="A356" s="31" t="s">
        <v>1092</v>
      </c>
      <c r="B356" s="32" t="s">
        <v>1093</v>
      </c>
      <c r="C356" s="32" t="s">
        <v>779</v>
      </c>
      <c r="D356" s="32" t="s">
        <v>927</v>
      </c>
      <c r="E356" s="33" t="s">
        <v>780</v>
      </c>
      <c r="F356" s="34">
        <v>233840</v>
      </c>
      <c r="G356" s="34">
        <v>233840</v>
      </c>
      <c r="H356" s="35" t="s">
        <v>1098</v>
      </c>
    </row>
    <row r="357" spans="1:8" ht="27" customHeight="1" x14ac:dyDescent="0.2">
      <c r="A357" s="31" t="s">
        <v>1092</v>
      </c>
      <c r="B357" s="32" t="s">
        <v>1093</v>
      </c>
      <c r="C357" s="32" t="s">
        <v>782</v>
      </c>
      <c r="D357" s="32" t="s">
        <v>1099</v>
      </c>
      <c r="E357" s="33" t="s">
        <v>784</v>
      </c>
      <c r="F357" s="34">
        <v>296422</v>
      </c>
      <c r="G357" s="34">
        <v>296422</v>
      </c>
      <c r="H357" s="35" t="s">
        <v>1100</v>
      </c>
    </row>
    <row r="358" spans="1:8" ht="27" customHeight="1" x14ac:dyDescent="0.2">
      <c r="A358" s="31" t="s">
        <v>1101</v>
      </c>
      <c r="B358" s="32" t="s">
        <v>1102</v>
      </c>
      <c r="C358" s="32" t="s">
        <v>763</v>
      </c>
      <c r="D358" s="32" t="s">
        <v>763</v>
      </c>
      <c r="E358" s="33" t="s">
        <v>764</v>
      </c>
      <c r="F358" s="34">
        <v>871494</v>
      </c>
      <c r="G358" s="34">
        <v>1272399</v>
      </c>
      <c r="H358" s="35" t="s">
        <v>1103</v>
      </c>
    </row>
    <row r="359" spans="1:8" ht="27" customHeight="1" x14ac:dyDescent="0.2">
      <c r="A359" s="31" t="s">
        <v>1101</v>
      </c>
      <c r="B359" s="32" t="s">
        <v>1102</v>
      </c>
      <c r="C359" s="32" t="s">
        <v>770</v>
      </c>
      <c r="D359" s="32" t="s">
        <v>794</v>
      </c>
      <c r="E359" s="33" t="s">
        <v>772</v>
      </c>
      <c r="F359" s="34">
        <v>444192</v>
      </c>
      <c r="G359" s="34">
        <v>444422</v>
      </c>
      <c r="H359" s="35" t="s">
        <v>1104</v>
      </c>
    </row>
    <row r="360" spans="1:8" ht="27" customHeight="1" x14ac:dyDescent="0.2">
      <c r="A360" s="31" t="s">
        <v>1101</v>
      </c>
      <c r="B360" s="32" t="s">
        <v>1102</v>
      </c>
      <c r="C360" s="32" t="s">
        <v>844</v>
      </c>
      <c r="D360" s="32" t="s">
        <v>844</v>
      </c>
      <c r="E360" s="33" t="s">
        <v>846</v>
      </c>
      <c r="F360" s="34">
        <v>283243</v>
      </c>
      <c r="G360" s="34">
        <v>283383</v>
      </c>
      <c r="H360" s="35" t="s">
        <v>1105</v>
      </c>
    </row>
    <row r="361" spans="1:8" ht="27" customHeight="1" x14ac:dyDescent="0.2">
      <c r="A361" s="31" t="s">
        <v>1101</v>
      </c>
      <c r="B361" s="32" t="s">
        <v>1102</v>
      </c>
      <c r="C361" s="32" t="s">
        <v>860</v>
      </c>
      <c r="D361" s="32" t="s">
        <v>860</v>
      </c>
      <c r="E361" s="33" t="s">
        <v>861</v>
      </c>
      <c r="F361" s="34">
        <v>447291</v>
      </c>
      <c r="G361" s="34">
        <v>547521</v>
      </c>
      <c r="H361" s="35" t="s">
        <v>1106</v>
      </c>
    </row>
    <row r="362" spans="1:8" ht="27" customHeight="1" x14ac:dyDescent="0.2">
      <c r="A362" s="31" t="s">
        <v>1101</v>
      </c>
      <c r="B362" s="32" t="s">
        <v>1102</v>
      </c>
      <c r="C362" s="32" t="s">
        <v>796</v>
      </c>
      <c r="D362" s="32" t="s">
        <v>1050</v>
      </c>
      <c r="E362" s="33" t="s">
        <v>772</v>
      </c>
      <c r="F362" s="34">
        <v>1211532</v>
      </c>
      <c r="G362" s="34">
        <v>12112092</v>
      </c>
      <c r="H362" s="35" t="s">
        <v>1103</v>
      </c>
    </row>
    <row r="363" spans="1:8" ht="27" customHeight="1" x14ac:dyDescent="0.2">
      <c r="A363" s="31" t="s">
        <v>1101</v>
      </c>
      <c r="B363" s="32" t="s">
        <v>1102</v>
      </c>
      <c r="C363" s="32" t="s">
        <v>779</v>
      </c>
      <c r="D363" s="32" t="s">
        <v>1107</v>
      </c>
      <c r="E363" s="33" t="s">
        <v>780</v>
      </c>
      <c r="F363" s="34">
        <v>75893</v>
      </c>
      <c r="G363" s="34">
        <v>75933</v>
      </c>
      <c r="H363" s="35" t="s">
        <v>1103</v>
      </c>
    </row>
    <row r="364" spans="1:8" ht="27" customHeight="1" x14ac:dyDescent="0.2">
      <c r="A364" s="31" t="s">
        <v>1108</v>
      </c>
      <c r="B364" s="32" t="s">
        <v>1109</v>
      </c>
      <c r="C364" s="32" t="s">
        <v>770</v>
      </c>
      <c r="D364" s="32" t="s">
        <v>771</v>
      </c>
      <c r="E364" s="33" t="s">
        <v>772</v>
      </c>
      <c r="F364" s="34">
        <v>147771</v>
      </c>
      <c r="G364" s="34">
        <v>114466</v>
      </c>
      <c r="H364" s="35" t="s">
        <v>1110</v>
      </c>
    </row>
    <row r="365" spans="1:8" ht="27" customHeight="1" x14ac:dyDescent="0.2">
      <c r="A365" s="31" t="s">
        <v>1108</v>
      </c>
      <c r="B365" s="32" t="s">
        <v>1109</v>
      </c>
      <c r="C365" s="32" t="s">
        <v>860</v>
      </c>
      <c r="D365" s="32" t="s">
        <v>911</v>
      </c>
      <c r="E365" s="33" t="s">
        <v>861</v>
      </c>
      <c r="F365" s="34">
        <v>160025</v>
      </c>
      <c r="G365" s="34">
        <v>119025</v>
      </c>
      <c r="H365" s="35" t="s">
        <v>859</v>
      </c>
    </row>
    <row r="366" spans="1:8" ht="27" customHeight="1" x14ac:dyDescent="0.2">
      <c r="A366" s="31" t="s">
        <v>1108</v>
      </c>
      <c r="B366" s="32" t="s">
        <v>1109</v>
      </c>
      <c r="C366" s="32" t="s">
        <v>776</v>
      </c>
      <c r="D366" s="32" t="s">
        <v>776</v>
      </c>
      <c r="E366" s="33" t="s">
        <v>777</v>
      </c>
      <c r="F366" s="34">
        <v>100016</v>
      </c>
      <c r="G366" s="34">
        <v>100016</v>
      </c>
      <c r="H366" s="35" t="s">
        <v>1111</v>
      </c>
    </row>
    <row r="367" spans="1:8" ht="27" customHeight="1" x14ac:dyDescent="0.2">
      <c r="A367" s="31" t="s">
        <v>1108</v>
      </c>
      <c r="B367" s="32" t="s">
        <v>1109</v>
      </c>
      <c r="C367" s="32" t="s">
        <v>779</v>
      </c>
      <c r="D367" s="32" t="s">
        <v>826</v>
      </c>
      <c r="E367" s="33" t="s">
        <v>780</v>
      </c>
      <c r="F367" s="34">
        <v>59719</v>
      </c>
      <c r="G367" s="34">
        <v>59719</v>
      </c>
      <c r="H367" s="35" t="s">
        <v>1112</v>
      </c>
    </row>
    <row r="368" spans="1:8" ht="27" customHeight="1" x14ac:dyDescent="0.2">
      <c r="A368" s="31" t="s">
        <v>1113</v>
      </c>
      <c r="B368" s="32" t="s">
        <v>1114</v>
      </c>
      <c r="C368" s="32" t="s">
        <v>763</v>
      </c>
      <c r="D368" s="32" t="s">
        <v>816</v>
      </c>
      <c r="E368" s="33" t="s">
        <v>764</v>
      </c>
      <c r="F368" s="34">
        <v>2250440</v>
      </c>
      <c r="G368" s="34">
        <v>2250440</v>
      </c>
      <c r="H368" s="35" t="s">
        <v>1115</v>
      </c>
    </row>
    <row r="369" spans="1:8" ht="27" customHeight="1" x14ac:dyDescent="0.2">
      <c r="A369" s="31" t="s">
        <v>1113</v>
      </c>
      <c r="B369" s="32" t="s">
        <v>1114</v>
      </c>
      <c r="C369" s="32" t="s">
        <v>770</v>
      </c>
      <c r="D369" s="32" t="s">
        <v>919</v>
      </c>
      <c r="E369" s="33" t="s">
        <v>772</v>
      </c>
      <c r="F369" s="34">
        <v>160631</v>
      </c>
      <c r="G369" s="34">
        <v>160631</v>
      </c>
      <c r="H369" s="35" t="s">
        <v>829</v>
      </c>
    </row>
    <row r="370" spans="1:8" ht="27" customHeight="1" x14ac:dyDescent="0.2">
      <c r="A370" s="31" t="s">
        <v>1113</v>
      </c>
      <c r="B370" s="32" t="s">
        <v>1114</v>
      </c>
      <c r="C370" s="32" t="s">
        <v>860</v>
      </c>
      <c r="D370" s="32" t="s">
        <v>911</v>
      </c>
      <c r="E370" s="33" t="s">
        <v>861</v>
      </c>
      <c r="F370" s="34">
        <v>200982</v>
      </c>
      <c r="G370" s="34">
        <v>200982</v>
      </c>
      <c r="H370" s="35" t="s">
        <v>829</v>
      </c>
    </row>
    <row r="371" spans="1:8" ht="27" customHeight="1" x14ac:dyDescent="0.2">
      <c r="A371" s="31" t="s">
        <v>1113</v>
      </c>
      <c r="B371" s="32" t="s">
        <v>1114</v>
      </c>
      <c r="C371" s="32" t="s">
        <v>796</v>
      </c>
      <c r="D371" s="32" t="s">
        <v>1116</v>
      </c>
      <c r="E371" s="33" t="s">
        <v>772</v>
      </c>
      <c r="F371" s="34">
        <v>902808</v>
      </c>
      <c r="G371" s="34">
        <v>902808</v>
      </c>
      <c r="H371" s="35" t="s">
        <v>829</v>
      </c>
    </row>
    <row r="372" spans="1:8" ht="27" customHeight="1" x14ac:dyDescent="0.2">
      <c r="A372" s="31" t="s">
        <v>1113</v>
      </c>
      <c r="B372" s="32" t="s">
        <v>1114</v>
      </c>
      <c r="C372" s="32" t="s">
        <v>779</v>
      </c>
      <c r="D372" s="32" t="s">
        <v>876</v>
      </c>
      <c r="E372" s="33" t="s">
        <v>780</v>
      </c>
      <c r="F372" s="34">
        <v>219215</v>
      </c>
      <c r="G372" s="34">
        <v>219215</v>
      </c>
      <c r="H372" s="35" t="s">
        <v>829</v>
      </c>
    </row>
    <row r="373" spans="1:8" ht="27" customHeight="1" x14ac:dyDescent="0.2">
      <c r="A373" s="31" t="s">
        <v>1113</v>
      </c>
      <c r="B373" s="32" t="s">
        <v>1114</v>
      </c>
      <c r="C373" s="32" t="s">
        <v>782</v>
      </c>
      <c r="D373" s="32" t="s">
        <v>813</v>
      </c>
      <c r="E373" s="33" t="s">
        <v>784</v>
      </c>
      <c r="F373" s="34">
        <v>80393</v>
      </c>
      <c r="G373" s="34">
        <v>80393</v>
      </c>
      <c r="H373" s="35" t="s">
        <v>829</v>
      </c>
    </row>
    <row r="374" spans="1:8" ht="27" customHeight="1" x14ac:dyDescent="0.2">
      <c r="A374" s="31" t="s">
        <v>1117</v>
      </c>
      <c r="B374" s="32" t="s">
        <v>1118</v>
      </c>
      <c r="C374" s="32" t="s">
        <v>763</v>
      </c>
      <c r="D374" s="32" t="s">
        <v>1091</v>
      </c>
      <c r="E374" s="33" t="s">
        <v>764</v>
      </c>
      <c r="F374" s="34">
        <v>0</v>
      </c>
      <c r="G374" s="34">
        <v>0</v>
      </c>
      <c r="H374" s="35" t="s">
        <v>1119</v>
      </c>
    </row>
    <row r="375" spans="1:8" ht="27" customHeight="1" x14ac:dyDescent="0.2">
      <c r="A375" s="31" t="s">
        <v>1117</v>
      </c>
      <c r="B375" s="32" t="s">
        <v>1118</v>
      </c>
      <c r="C375" s="32" t="s">
        <v>766</v>
      </c>
      <c r="D375" s="32" t="s">
        <v>832</v>
      </c>
      <c r="E375" s="33" t="s">
        <v>768</v>
      </c>
      <c r="F375" s="34">
        <v>499619</v>
      </c>
      <c r="G375" s="34">
        <v>499650</v>
      </c>
      <c r="H375" s="35" t="s">
        <v>1120</v>
      </c>
    </row>
    <row r="376" spans="1:8" ht="27" customHeight="1" x14ac:dyDescent="0.2">
      <c r="A376" s="31" t="s">
        <v>1117</v>
      </c>
      <c r="B376" s="32" t="s">
        <v>1118</v>
      </c>
      <c r="C376" s="32" t="s">
        <v>770</v>
      </c>
      <c r="D376" s="32" t="s">
        <v>1121</v>
      </c>
      <c r="E376" s="33" t="s">
        <v>772</v>
      </c>
      <c r="F376" s="34">
        <v>489962</v>
      </c>
      <c r="G376" s="34">
        <v>489962</v>
      </c>
      <c r="H376" s="35" t="s">
        <v>1122</v>
      </c>
    </row>
    <row r="377" spans="1:8" ht="27" customHeight="1" x14ac:dyDescent="0.2">
      <c r="A377" s="31" t="s">
        <v>1117</v>
      </c>
      <c r="B377" s="32" t="s">
        <v>1118</v>
      </c>
      <c r="C377" s="32" t="s">
        <v>884</v>
      </c>
      <c r="D377" s="32" t="s">
        <v>1091</v>
      </c>
      <c r="E377" s="33" t="s">
        <v>885</v>
      </c>
      <c r="F377" s="34">
        <v>0</v>
      </c>
      <c r="G377" s="34">
        <v>0</v>
      </c>
      <c r="H377" s="35" t="s">
        <v>1119</v>
      </c>
    </row>
    <row r="378" spans="1:8" ht="27" customHeight="1" x14ac:dyDescent="0.2">
      <c r="A378" s="31" t="s">
        <v>1117</v>
      </c>
      <c r="B378" s="32" t="s">
        <v>1118</v>
      </c>
      <c r="C378" s="32" t="s">
        <v>844</v>
      </c>
      <c r="D378" s="32" t="s">
        <v>1091</v>
      </c>
      <c r="E378" s="33" t="s">
        <v>846</v>
      </c>
      <c r="F378" s="34">
        <v>0</v>
      </c>
      <c r="G378" s="34">
        <v>0</v>
      </c>
      <c r="H378" s="35" t="s">
        <v>1119</v>
      </c>
    </row>
    <row r="379" spans="1:8" ht="27" customHeight="1" x14ac:dyDescent="0.2">
      <c r="A379" s="31" t="s">
        <v>1117</v>
      </c>
      <c r="B379" s="32" t="s">
        <v>1118</v>
      </c>
      <c r="C379" s="32" t="s">
        <v>773</v>
      </c>
      <c r="D379" s="32" t="s">
        <v>1025</v>
      </c>
      <c r="E379" s="33" t="s">
        <v>775</v>
      </c>
      <c r="F379" s="34">
        <v>26433</v>
      </c>
      <c r="G379" s="34">
        <v>26433</v>
      </c>
      <c r="H379" s="35" t="s">
        <v>1119</v>
      </c>
    </row>
    <row r="380" spans="1:8" ht="27" customHeight="1" x14ac:dyDescent="0.2">
      <c r="A380" s="31" t="s">
        <v>1117</v>
      </c>
      <c r="B380" s="32" t="s">
        <v>1118</v>
      </c>
      <c r="C380" s="32" t="s">
        <v>831</v>
      </c>
      <c r="D380" s="32" t="s">
        <v>1091</v>
      </c>
      <c r="E380" s="33"/>
      <c r="F380" s="34">
        <v>0</v>
      </c>
      <c r="G380" s="34">
        <v>0</v>
      </c>
      <c r="H380" s="35" t="s">
        <v>1123</v>
      </c>
    </row>
    <row r="381" spans="1:8" ht="27" customHeight="1" x14ac:dyDescent="0.2">
      <c r="A381" s="31" t="s">
        <v>1117</v>
      </c>
      <c r="B381" s="32" t="s">
        <v>1118</v>
      </c>
      <c r="C381" s="32" t="s">
        <v>886</v>
      </c>
      <c r="D381" s="32" t="s">
        <v>1091</v>
      </c>
      <c r="E381" s="33" t="s">
        <v>887</v>
      </c>
      <c r="F381" s="34">
        <v>0</v>
      </c>
      <c r="G381" s="34">
        <v>0</v>
      </c>
      <c r="H381" s="35" t="s">
        <v>1119</v>
      </c>
    </row>
    <row r="382" spans="1:8" ht="27" customHeight="1" x14ac:dyDescent="0.2">
      <c r="A382" s="31" t="s">
        <v>1117</v>
      </c>
      <c r="B382" s="32" t="s">
        <v>1118</v>
      </c>
      <c r="C382" s="32" t="s">
        <v>860</v>
      </c>
      <c r="D382" s="32" t="s">
        <v>1124</v>
      </c>
      <c r="E382" s="33" t="s">
        <v>861</v>
      </c>
      <c r="F382" s="34">
        <v>50000</v>
      </c>
      <c r="G382" s="34">
        <v>50000</v>
      </c>
      <c r="H382" s="35" t="s">
        <v>1119</v>
      </c>
    </row>
    <row r="383" spans="1:8" ht="27" customHeight="1" x14ac:dyDescent="0.2">
      <c r="A383" s="31" t="s">
        <v>1117</v>
      </c>
      <c r="B383" s="32" t="s">
        <v>1118</v>
      </c>
      <c r="C383" s="32" t="s">
        <v>796</v>
      </c>
      <c r="D383" s="32" t="s">
        <v>961</v>
      </c>
      <c r="E383" s="33" t="s">
        <v>823</v>
      </c>
      <c r="F383" s="34">
        <v>391614</v>
      </c>
      <c r="G383" s="34">
        <v>391614</v>
      </c>
      <c r="H383" s="35" t="s">
        <v>1119</v>
      </c>
    </row>
    <row r="384" spans="1:8" ht="27" customHeight="1" x14ac:dyDescent="0.2">
      <c r="A384" s="31" t="s">
        <v>1117</v>
      </c>
      <c r="B384" s="32" t="s">
        <v>1118</v>
      </c>
      <c r="C384" s="32" t="s">
        <v>776</v>
      </c>
      <c r="D384" s="32" t="s">
        <v>914</v>
      </c>
      <c r="E384" s="33" t="s">
        <v>777</v>
      </c>
      <c r="F384" s="34">
        <v>35000</v>
      </c>
      <c r="G384" s="34">
        <v>35000</v>
      </c>
      <c r="H384" s="35" t="s">
        <v>1119</v>
      </c>
    </row>
    <row r="385" spans="1:8" ht="27" customHeight="1" x14ac:dyDescent="0.2">
      <c r="A385" s="31" t="s">
        <v>1117</v>
      </c>
      <c r="B385" s="32" t="s">
        <v>1118</v>
      </c>
      <c r="C385" s="32" t="s">
        <v>798</v>
      </c>
      <c r="D385" s="32" t="s">
        <v>1125</v>
      </c>
      <c r="E385" s="33" t="s">
        <v>800</v>
      </c>
      <c r="F385" s="34">
        <v>0</v>
      </c>
      <c r="G385" s="34">
        <v>0</v>
      </c>
      <c r="H385" s="35" t="s">
        <v>1119</v>
      </c>
    </row>
    <row r="386" spans="1:8" ht="27" customHeight="1" x14ac:dyDescent="0.2">
      <c r="A386" s="31" t="s">
        <v>1117</v>
      </c>
      <c r="B386" s="32" t="s">
        <v>1118</v>
      </c>
      <c r="C386" s="32" t="s">
        <v>892</v>
      </c>
      <c r="D386" s="32" t="s">
        <v>1091</v>
      </c>
      <c r="E386" s="33" t="s">
        <v>893</v>
      </c>
      <c r="F386" s="34">
        <v>0</v>
      </c>
      <c r="G386" s="34">
        <v>0</v>
      </c>
      <c r="H386" s="35" t="s">
        <v>1119</v>
      </c>
    </row>
    <row r="387" spans="1:8" ht="27" customHeight="1" x14ac:dyDescent="0.2">
      <c r="A387" s="31" t="s">
        <v>1117</v>
      </c>
      <c r="B387" s="32" t="s">
        <v>1118</v>
      </c>
      <c r="C387" s="32" t="s">
        <v>779</v>
      </c>
      <c r="D387" s="32" t="s">
        <v>1126</v>
      </c>
      <c r="E387" s="33" t="s">
        <v>780</v>
      </c>
      <c r="F387" s="34">
        <v>117710</v>
      </c>
      <c r="G387" s="34">
        <v>117725</v>
      </c>
      <c r="H387" s="35" t="s">
        <v>1119</v>
      </c>
    </row>
    <row r="388" spans="1:8" ht="27" customHeight="1" x14ac:dyDescent="0.2">
      <c r="A388" s="31" t="s">
        <v>1117</v>
      </c>
      <c r="B388" s="32" t="s">
        <v>1118</v>
      </c>
      <c r="C388" s="32" t="s">
        <v>782</v>
      </c>
      <c r="D388" s="32" t="s">
        <v>1091</v>
      </c>
      <c r="E388" s="33" t="s">
        <v>784</v>
      </c>
      <c r="F388" s="34">
        <v>0</v>
      </c>
      <c r="G388" s="34">
        <v>0</v>
      </c>
      <c r="H388" s="35" t="s">
        <v>1119</v>
      </c>
    </row>
    <row r="389" spans="1:8" ht="27" customHeight="1" x14ac:dyDescent="0.2">
      <c r="A389" s="31" t="s">
        <v>1127</v>
      </c>
      <c r="B389" s="32" t="s">
        <v>1128</v>
      </c>
      <c r="C389" s="32" t="s">
        <v>770</v>
      </c>
      <c r="D389" s="32" t="s">
        <v>810</v>
      </c>
      <c r="E389" s="33" t="s">
        <v>772</v>
      </c>
      <c r="F389" s="34">
        <v>652839</v>
      </c>
      <c r="G389" s="34">
        <v>653399</v>
      </c>
      <c r="H389" s="35" t="s">
        <v>1129</v>
      </c>
    </row>
    <row r="390" spans="1:8" ht="27" customHeight="1" x14ac:dyDescent="0.2">
      <c r="A390" s="31" t="s">
        <v>1127</v>
      </c>
      <c r="B390" s="32" t="s">
        <v>1128</v>
      </c>
      <c r="C390" s="32" t="s">
        <v>860</v>
      </c>
      <c r="D390" s="32" t="s">
        <v>911</v>
      </c>
      <c r="E390" s="33" t="s">
        <v>861</v>
      </c>
      <c r="F390" s="34">
        <v>366030</v>
      </c>
      <c r="G390" s="34">
        <v>366330</v>
      </c>
      <c r="H390" s="35" t="s">
        <v>1130</v>
      </c>
    </row>
    <row r="391" spans="1:8" ht="27" customHeight="1" x14ac:dyDescent="0.2">
      <c r="A391" s="31" t="s">
        <v>1127</v>
      </c>
      <c r="B391" s="32" t="s">
        <v>1128</v>
      </c>
      <c r="C391" s="32" t="s">
        <v>796</v>
      </c>
      <c r="D391" s="32" t="s">
        <v>811</v>
      </c>
      <c r="E391" s="33" t="s">
        <v>823</v>
      </c>
      <c r="F391" s="34">
        <v>481069</v>
      </c>
      <c r="G391" s="34">
        <v>481469</v>
      </c>
      <c r="H391" s="35" t="s">
        <v>1130</v>
      </c>
    </row>
    <row r="392" spans="1:8" ht="27" customHeight="1" x14ac:dyDescent="0.2">
      <c r="A392" s="31" t="s">
        <v>1127</v>
      </c>
      <c r="B392" s="32" t="s">
        <v>1128</v>
      </c>
      <c r="C392" s="32" t="s">
        <v>779</v>
      </c>
      <c r="D392" s="32" t="s">
        <v>826</v>
      </c>
      <c r="E392" s="33" t="s">
        <v>780</v>
      </c>
      <c r="F392" s="34">
        <v>225224</v>
      </c>
      <c r="G392" s="34">
        <v>225414</v>
      </c>
      <c r="H392" s="35" t="s">
        <v>1130</v>
      </c>
    </row>
    <row r="393" spans="1:8" ht="27" customHeight="1" x14ac:dyDescent="0.2">
      <c r="A393" s="31" t="s">
        <v>1131</v>
      </c>
      <c r="B393" s="32" t="s">
        <v>1132</v>
      </c>
      <c r="C393" s="32" t="s">
        <v>763</v>
      </c>
      <c r="D393" s="32" t="s">
        <v>1133</v>
      </c>
      <c r="E393" s="33" t="s">
        <v>764</v>
      </c>
      <c r="F393" s="34">
        <v>1003521</v>
      </c>
      <c r="G393" s="34">
        <v>1003521</v>
      </c>
      <c r="H393" s="35" t="s">
        <v>1134</v>
      </c>
    </row>
    <row r="394" spans="1:8" ht="27" customHeight="1" x14ac:dyDescent="0.2">
      <c r="A394" s="31" t="s">
        <v>1131</v>
      </c>
      <c r="B394" s="32" t="s">
        <v>1132</v>
      </c>
      <c r="C394" s="32" t="s">
        <v>766</v>
      </c>
      <c r="D394" s="32" t="s">
        <v>767</v>
      </c>
      <c r="E394" s="33" t="s">
        <v>768</v>
      </c>
      <c r="F394" s="34">
        <v>335650</v>
      </c>
      <c r="G394" s="34">
        <v>335650</v>
      </c>
      <c r="H394" s="35" t="s">
        <v>1135</v>
      </c>
    </row>
    <row r="395" spans="1:8" ht="27" customHeight="1" x14ac:dyDescent="0.2">
      <c r="A395" s="31" t="s">
        <v>1131</v>
      </c>
      <c r="B395" s="32" t="s">
        <v>1132</v>
      </c>
      <c r="C395" s="32" t="s">
        <v>770</v>
      </c>
      <c r="D395" s="32" t="s">
        <v>1136</v>
      </c>
      <c r="E395" s="33" t="s">
        <v>772</v>
      </c>
      <c r="F395" s="34">
        <v>361761</v>
      </c>
      <c r="G395" s="34">
        <v>361761</v>
      </c>
      <c r="H395" s="35" t="s">
        <v>1137</v>
      </c>
    </row>
    <row r="396" spans="1:8" ht="27" customHeight="1" x14ac:dyDescent="0.2">
      <c r="A396" s="31" t="s">
        <v>1131</v>
      </c>
      <c r="B396" s="32" t="s">
        <v>1132</v>
      </c>
      <c r="C396" s="32" t="s">
        <v>844</v>
      </c>
      <c r="D396" s="32" t="s">
        <v>844</v>
      </c>
      <c r="E396" s="33" t="s">
        <v>846</v>
      </c>
      <c r="F396" s="34">
        <v>33313</v>
      </c>
      <c r="G396" s="34">
        <v>33313</v>
      </c>
      <c r="H396" s="35" t="s">
        <v>1135</v>
      </c>
    </row>
    <row r="397" spans="1:8" ht="27" customHeight="1" x14ac:dyDescent="0.2">
      <c r="A397" s="31" t="s">
        <v>1131</v>
      </c>
      <c r="B397" s="32" t="s">
        <v>1132</v>
      </c>
      <c r="C397" s="32" t="s">
        <v>796</v>
      </c>
      <c r="D397" s="32" t="s">
        <v>796</v>
      </c>
      <c r="E397" s="33" t="s">
        <v>772</v>
      </c>
      <c r="F397" s="34">
        <v>3929159</v>
      </c>
      <c r="G397" s="34">
        <v>3795159</v>
      </c>
      <c r="H397" s="35" t="s">
        <v>1138</v>
      </c>
    </row>
    <row r="398" spans="1:8" ht="27" customHeight="1" x14ac:dyDescent="0.2">
      <c r="A398" s="31" t="s">
        <v>1131</v>
      </c>
      <c r="B398" s="32" t="s">
        <v>1132</v>
      </c>
      <c r="C398" s="32" t="s">
        <v>776</v>
      </c>
      <c r="D398" s="32" t="s">
        <v>776</v>
      </c>
      <c r="E398" s="33" t="s">
        <v>777</v>
      </c>
      <c r="F398" s="34">
        <v>395026</v>
      </c>
      <c r="G398" s="34">
        <v>395026</v>
      </c>
      <c r="H398" s="35" t="s">
        <v>1135</v>
      </c>
    </row>
    <row r="399" spans="1:8" ht="27" customHeight="1" x14ac:dyDescent="0.2">
      <c r="A399" s="31" t="s">
        <v>1131</v>
      </c>
      <c r="B399" s="32" t="s">
        <v>1132</v>
      </c>
      <c r="C399" s="32" t="s">
        <v>779</v>
      </c>
      <c r="D399" s="32" t="s">
        <v>779</v>
      </c>
      <c r="E399" s="33" t="s">
        <v>780</v>
      </c>
      <c r="F399" s="34">
        <v>128160</v>
      </c>
      <c r="G399" s="34">
        <v>128160</v>
      </c>
      <c r="H399" s="35" t="s">
        <v>1135</v>
      </c>
    </row>
    <row r="400" spans="1:8" ht="27" customHeight="1" x14ac:dyDescent="0.2">
      <c r="A400" s="31" t="s">
        <v>1131</v>
      </c>
      <c r="B400" s="32" t="s">
        <v>1132</v>
      </c>
      <c r="C400" s="32" t="s">
        <v>782</v>
      </c>
      <c r="D400" s="32" t="s">
        <v>782</v>
      </c>
      <c r="E400" s="33" t="s">
        <v>784</v>
      </c>
      <c r="F400" s="34">
        <v>304936</v>
      </c>
      <c r="G400" s="34">
        <v>304936</v>
      </c>
      <c r="H400" s="35" t="s">
        <v>1139</v>
      </c>
    </row>
    <row r="401" spans="1:8" ht="27" customHeight="1" x14ac:dyDescent="0.2">
      <c r="A401" s="31" t="s">
        <v>1140</v>
      </c>
      <c r="B401" s="32" t="s">
        <v>1141</v>
      </c>
      <c r="C401" s="32" t="s">
        <v>763</v>
      </c>
      <c r="D401" s="32" t="s">
        <v>1142</v>
      </c>
      <c r="E401" s="33" t="s">
        <v>764</v>
      </c>
      <c r="F401" s="34">
        <v>2711001</v>
      </c>
      <c r="G401" s="34">
        <v>2715375</v>
      </c>
      <c r="H401" s="35" t="s">
        <v>1143</v>
      </c>
    </row>
    <row r="402" spans="1:8" ht="27" customHeight="1" x14ac:dyDescent="0.2">
      <c r="A402" s="31" t="s">
        <v>1140</v>
      </c>
      <c r="B402" s="32" t="s">
        <v>1141</v>
      </c>
      <c r="C402" s="32" t="s">
        <v>770</v>
      </c>
      <c r="D402" s="32" t="s">
        <v>1144</v>
      </c>
      <c r="E402" s="33" t="s">
        <v>772</v>
      </c>
      <c r="F402" s="34">
        <v>404746</v>
      </c>
      <c r="G402" s="34">
        <v>391592</v>
      </c>
      <c r="H402" s="35" t="s">
        <v>1145</v>
      </c>
    </row>
    <row r="403" spans="1:8" ht="27" customHeight="1" x14ac:dyDescent="0.2">
      <c r="A403" s="31" t="s">
        <v>1140</v>
      </c>
      <c r="B403" s="32" t="s">
        <v>1141</v>
      </c>
      <c r="C403" s="32" t="s">
        <v>844</v>
      </c>
      <c r="D403" s="32" t="s">
        <v>972</v>
      </c>
      <c r="E403" s="33" t="s">
        <v>846</v>
      </c>
      <c r="F403" s="34">
        <v>113122</v>
      </c>
      <c r="G403" s="34">
        <v>113304</v>
      </c>
      <c r="H403" s="35" t="s">
        <v>1146</v>
      </c>
    </row>
    <row r="404" spans="1:8" ht="27" customHeight="1" x14ac:dyDescent="0.2">
      <c r="A404" s="31" t="s">
        <v>1140</v>
      </c>
      <c r="B404" s="32" t="s">
        <v>1141</v>
      </c>
      <c r="C404" s="32" t="s">
        <v>831</v>
      </c>
      <c r="D404" s="32" t="s">
        <v>943</v>
      </c>
      <c r="E404" s="33" t="s">
        <v>1147</v>
      </c>
      <c r="F404" s="34">
        <v>568713</v>
      </c>
      <c r="G404" s="34">
        <v>270562</v>
      </c>
      <c r="H404" s="35" t="s">
        <v>1148</v>
      </c>
    </row>
    <row r="405" spans="1:8" ht="27" customHeight="1" x14ac:dyDescent="0.2">
      <c r="A405" s="31" t="s">
        <v>1140</v>
      </c>
      <c r="B405" s="32" t="s">
        <v>1141</v>
      </c>
      <c r="C405" s="32" t="s">
        <v>796</v>
      </c>
      <c r="D405" s="32" t="s">
        <v>1149</v>
      </c>
      <c r="E405" s="33" t="s">
        <v>823</v>
      </c>
      <c r="F405" s="34">
        <v>670792</v>
      </c>
      <c r="G405" s="34">
        <v>337550</v>
      </c>
      <c r="H405" s="35" t="s">
        <v>1150</v>
      </c>
    </row>
    <row r="406" spans="1:8" ht="27" customHeight="1" x14ac:dyDescent="0.2">
      <c r="A406" s="31" t="s">
        <v>1140</v>
      </c>
      <c r="B406" s="32" t="s">
        <v>1141</v>
      </c>
      <c r="C406" s="32" t="s">
        <v>779</v>
      </c>
      <c r="D406" s="32" t="s">
        <v>1151</v>
      </c>
      <c r="E406" s="33" t="s">
        <v>780</v>
      </c>
      <c r="F406" s="34">
        <v>71448</v>
      </c>
      <c r="G406" s="34">
        <v>67495</v>
      </c>
      <c r="H406" s="35" t="s">
        <v>1152</v>
      </c>
    </row>
    <row r="407" spans="1:8" ht="27" customHeight="1" x14ac:dyDescent="0.2">
      <c r="A407" s="31" t="s">
        <v>1153</v>
      </c>
      <c r="B407" s="32" t="s">
        <v>1154</v>
      </c>
      <c r="C407" s="32" t="s">
        <v>763</v>
      </c>
      <c r="D407" s="32" t="s">
        <v>816</v>
      </c>
      <c r="E407" s="33" t="s">
        <v>764</v>
      </c>
      <c r="F407" s="34">
        <v>700000</v>
      </c>
      <c r="G407" s="34">
        <v>1000000</v>
      </c>
      <c r="H407" s="35" t="s">
        <v>1135</v>
      </c>
    </row>
    <row r="408" spans="1:8" ht="27" customHeight="1" x14ac:dyDescent="0.2">
      <c r="A408" s="31" t="s">
        <v>1153</v>
      </c>
      <c r="B408" s="32" t="s">
        <v>1154</v>
      </c>
      <c r="C408" s="32" t="s">
        <v>770</v>
      </c>
      <c r="D408" s="32" t="s">
        <v>1011</v>
      </c>
      <c r="E408" s="33" t="s">
        <v>772</v>
      </c>
      <c r="F408" s="34">
        <v>918252</v>
      </c>
      <c r="G408" s="34">
        <v>864063</v>
      </c>
      <c r="H408" s="35" t="s">
        <v>1155</v>
      </c>
    </row>
    <row r="409" spans="1:8" ht="27" customHeight="1" x14ac:dyDescent="0.2">
      <c r="A409" s="31" t="s">
        <v>1153</v>
      </c>
      <c r="B409" s="32" t="s">
        <v>1154</v>
      </c>
      <c r="C409" s="32" t="s">
        <v>796</v>
      </c>
      <c r="D409" s="32" t="s">
        <v>835</v>
      </c>
      <c r="E409" s="33" t="s">
        <v>823</v>
      </c>
      <c r="F409" s="34">
        <v>549535</v>
      </c>
      <c r="G409" s="34">
        <v>549535</v>
      </c>
      <c r="H409" s="35" t="s">
        <v>1135</v>
      </c>
    </row>
    <row r="410" spans="1:8" ht="27" customHeight="1" x14ac:dyDescent="0.2">
      <c r="A410" s="31" t="s">
        <v>1153</v>
      </c>
      <c r="B410" s="32" t="s">
        <v>1154</v>
      </c>
      <c r="C410" s="32" t="s">
        <v>779</v>
      </c>
      <c r="D410" s="32" t="s">
        <v>1156</v>
      </c>
      <c r="E410" s="33" t="s">
        <v>780</v>
      </c>
      <c r="F410" s="34">
        <v>200000</v>
      </c>
      <c r="G410" s="34">
        <v>200000</v>
      </c>
      <c r="H410" s="35" t="s">
        <v>1157</v>
      </c>
    </row>
    <row r="411" spans="1:8" ht="27" customHeight="1" x14ac:dyDescent="0.2">
      <c r="A411" s="31" t="s">
        <v>1153</v>
      </c>
      <c r="B411" s="32" t="s">
        <v>1154</v>
      </c>
      <c r="C411" s="32" t="s">
        <v>782</v>
      </c>
      <c r="D411" s="32" t="s">
        <v>901</v>
      </c>
      <c r="E411" s="33" t="s">
        <v>784</v>
      </c>
      <c r="F411" s="34">
        <v>31410</v>
      </c>
      <c r="G411" s="34">
        <v>31410</v>
      </c>
      <c r="H411" s="35" t="s">
        <v>1135</v>
      </c>
    </row>
    <row r="412" spans="1:8" ht="27" customHeight="1" x14ac:dyDescent="0.2">
      <c r="A412" s="31" t="s">
        <v>1158</v>
      </c>
      <c r="B412" s="32" t="s">
        <v>1159</v>
      </c>
      <c r="C412" s="32" t="s">
        <v>763</v>
      </c>
      <c r="D412" s="32" t="s">
        <v>943</v>
      </c>
      <c r="E412" s="33" t="s">
        <v>764</v>
      </c>
      <c r="F412" s="34">
        <v>171841</v>
      </c>
      <c r="G412" s="34">
        <v>171841</v>
      </c>
      <c r="H412" s="35" t="s">
        <v>1160</v>
      </c>
    </row>
    <row r="413" spans="1:8" ht="27" customHeight="1" x14ac:dyDescent="0.2">
      <c r="A413" s="31" t="s">
        <v>1158</v>
      </c>
      <c r="B413" s="32" t="s">
        <v>1159</v>
      </c>
      <c r="C413" s="32" t="s">
        <v>766</v>
      </c>
      <c r="D413" s="32" t="s">
        <v>906</v>
      </c>
      <c r="E413" s="33" t="s">
        <v>768</v>
      </c>
      <c r="F413" s="34">
        <v>1873396</v>
      </c>
      <c r="G413" s="34">
        <v>1873396</v>
      </c>
      <c r="H413" s="35" t="s">
        <v>1161</v>
      </c>
    </row>
    <row r="414" spans="1:8" ht="27" customHeight="1" x14ac:dyDescent="0.2">
      <c r="A414" s="31" t="s">
        <v>1158</v>
      </c>
      <c r="B414" s="32" t="s">
        <v>1159</v>
      </c>
      <c r="C414" s="32" t="s">
        <v>770</v>
      </c>
      <c r="D414" s="32" t="s">
        <v>1011</v>
      </c>
      <c r="E414" s="33" t="s">
        <v>772</v>
      </c>
      <c r="F414" s="34">
        <v>1329182</v>
      </c>
      <c r="G414" s="34">
        <v>1329182</v>
      </c>
      <c r="H414" s="35" t="s">
        <v>1049</v>
      </c>
    </row>
    <row r="415" spans="1:8" ht="27" customHeight="1" x14ac:dyDescent="0.2">
      <c r="A415" s="31" t="s">
        <v>1158</v>
      </c>
      <c r="B415" s="32" t="s">
        <v>1159</v>
      </c>
      <c r="C415" s="32" t="s">
        <v>844</v>
      </c>
      <c r="D415" s="32" t="s">
        <v>1162</v>
      </c>
      <c r="E415" s="33" t="s">
        <v>846</v>
      </c>
      <c r="F415" s="34">
        <v>121079</v>
      </c>
      <c r="G415" s="34">
        <v>121079</v>
      </c>
      <c r="H415" s="35" t="s">
        <v>1049</v>
      </c>
    </row>
    <row r="416" spans="1:8" ht="27" customHeight="1" x14ac:dyDescent="0.2">
      <c r="A416" s="31" t="s">
        <v>1158</v>
      </c>
      <c r="B416" s="32" t="s">
        <v>1159</v>
      </c>
      <c r="C416" s="32" t="s">
        <v>773</v>
      </c>
      <c r="D416" s="32" t="s">
        <v>1025</v>
      </c>
      <c r="E416" s="33" t="s">
        <v>775</v>
      </c>
      <c r="F416" s="34">
        <v>100000</v>
      </c>
      <c r="G416" s="34">
        <v>100000</v>
      </c>
      <c r="H416" s="35" t="s">
        <v>1049</v>
      </c>
    </row>
    <row r="417" spans="1:8" ht="27" customHeight="1" x14ac:dyDescent="0.2">
      <c r="A417" s="31" t="s">
        <v>1158</v>
      </c>
      <c r="B417" s="32" t="s">
        <v>1159</v>
      </c>
      <c r="C417" s="32" t="s">
        <v>886</v>
      </c>
      <c r="D417" s="32" t="s">
        <v>1163</v>
      </c>
      <c r="E417" s="33" t="s">
        <v>887</v>
      </c>
      <c r="F417" s="34">
        <v>80596</v>
      </c>
      <c r="G417" s="34">
        <v>80596</v>
      </c>
      <c r="H417" s="35" t="s">
        <v>1049</v>
      </c>
    </row>
    <row r="418" spans="1:8" ht="27" customHeight="1" x14ac:dyDescent="0.2">
      <c r="A418" s="31" t="s">
        <v>1158</v>
      </c>
      <c r="B418" s="32" t="s">
        <v>1159</v>
      </c>
      <c r="C418" s="32" t="s">
        <v>796</v>
      </c>
      <c r="D418" s="32" t="s">
        <v>1164</v>
      </c>
      <c r="E418" s="33" t="s">
        <v>823</v>
      </c>
      <c r="F418" s="34">
        <v>853835</v>
      </c>
      <c r="G418" s="34">
        <v>853835</v>
      </c>
      <c r="H418" s="35" t="s">
        <v>1165</v>
      </c>
    </row>
    <row r="419" spans="1:8" ht="27" customHeight="1" x14ac:dyDescent="0.2">
      <c r="A419" s="31" t="s">
        <v>1158</v>
      </c>
      <c r="B419" s="32" t="s">
        <v>1159</v>
      </c>
      <c r="C419" s="32" t="s">
        <v>776</v>
      </c>
      <c r="D419" s="32" t="s">
        <v>776</v>
      </c>
      <c r="E419" s="33" t="s">
        <v>777</v>
      </c>
      <c r="F419" s="34">
        <v>70817</v>
      </c>
      <c r="G419" s="34">
        <v>70817</v>
      </c>
      <c r="H419" s="35" t="s">
        <v>1166</v>
      </c>
    </row>
    <row r="420" spans="1:8" ht="27" customHeight="1" x14ac:dyDescent="0.2">
      <c r="A420" s="31" t="s">
        <v>1158</v>
      </c>
      <c r="B420" s="32" t="s">
        <v>1159</v>
      </c>
      <c r="C420" s="32" t="s">
        <v>779</v>
      </c>
      <c r="D420" s="32" t="s">
        <v>826</v>
      </c>
      <c r="E420" s="33" t="s">
        <v>780</v>
      </c>
      <c r="F420" s="34">
        <v>281421</v>
      </c>
      <c r="G420" s="34">
        <v>281421</v>
      </c>
      <c r="H420" s="35" t="s">
        <v>1167</v>
      </c>
    </row>
    <row r="421" spans="1:8" ht="27" customHeight="1" x14ac:dyDescent="0.2">
      <c r="A421" s="31" t="s">
        <v>1158</v>
      </c>
      <c r="B421" s="32" t="s">
        <v>1159</v>
      </c>
      <c r="C421" s="32" t="s">
        <v>782</v>
      </c>
      <c r="D421" s="32" t="s">
        <v>813</v>
      </c>
      <c r="E421" s="33" t="s">
        <v>784</v>
      </c>
      <c r="F421" s="34">
        <v>175000</v>
      </c>
      <c r="G421" s="34">
        <v>175000</v>
      </c>
      <c r="H421" s="35" t="s">
        <v>1168</v>
      </c>
    </row>
    <row r="422" spans="1:8" ht="27" customHeight="1" x14ac:dyDescent="0.2">
      <c r="A422" s="31" t="s">
        <v>1169</v>
      </c>
      <c r="B422" s="32" t="s">
        <v>1170</v>
      </c>
      <c r="C422" s="32" t="s">
        <v>763</v>
      </c>
      <c r="D422" s="32" t="s">
        <v>816</v>
      </c>
      <c r="E422" s="33" t="s">
        <v>764</v>
      </c>
      <c r="F422" s="34">
        <v>1041254</v>
      </c>
      <c r="G422" s="34">
        <v>0</v>
      </c>
      <c r="H422" s="35" t="s">
        <v>1171</v>
      </c>
    </row>
    <row r="423" spans="1:8" ht="27" customHeight="1" x14ac:dyDescent="0.2">
      <c r="A423" s="31" t="s">
        <v>1169</v>
      </c>
      <c r="B423" s="32" t="s">
        <v>1170</v>
      </c>
      <c r="C423" s="32" t="s">
        <v>763</v>
      </c>
      <c r="D423" s="32" t="s">
        <v>1172</v>
      </c>
      <c r="E423" s="33" t="s">
        <v>764</v>
      </c>
      <c r="F423" s="34">
        <v>7444135</v>
      </c>
      <c r="G423" s="34">
        <v>7000000</v>
      </c>
      <c r="H423" s="35" t="s">
        <v>1173</v>
      </c>
    </row>
    <row r="424" spans="1:8" ht="27" customHeight="1" x14ac:dyDescent="0.2">
      <c r="A424" s="31" t="s">
        <v>1169</v>
      </c>
      <c r="B424" s="32" t="s">
        <v>1170</v>
      </c>
      <c r="C424" s="32" t="s">
        <v>770</v>
      </c>
      <c r="D424" s="32" t="s">
        <v>830</v>
      </c>
      <c r="E424" s="33" t="s">
        <v>772</v>
      </c>
      <c r="F424" s="34">
        <v>1203201</v>
      </c>
      <c r="G424" s="34">
        <v>1207053</v>
      </c>
      <c r="H424" s="35" t="s">
        <v>1136</v>
      </c>
    </row>
    <row r="425" spans="1:8" ht="27" customHeight="1" x14ac:dyDescent="0.2">
      <c r="A425" s="31" t="s">
        <v>1169</v>
      </c>
      <c r="B425" s="32" t="s">
        <v>1170</v>
      </c>
      <c r="C425" s="32" t="s">
        <v>860</v>
      </c>
      <c r="D425" s="32" t="s">
        <v>1174</v>
      </c>
      <c r="E425" s="33" t="s">
        <v>861</v>
      </c>
      <c r="F425" s="34">
        <v>1532962</v>
      </c>
      <c r="G425" s="34">
        <v>1538808</v>
      </c>
      <c r="H425" s="35" t="s">
        <v>1175</v>
      </c>
    </row>
    <row r="426" spans="1:8" ht="27" customHeight="1" x14ac:dyDescent="0.2">
      <c r="A426" s="31" t="s">
        <v>1169</v>
      </c>
      <c r="B426" s="32" t="s">
        <v>1170</v>
      </c>
      <c r="C426" s="32" t="s">
        <v>796</v>
      </c>
      <c r="D426" s="32" t="s">
        <v>1176</v>
      </c>
      <c r="E426" s="33" t="s">
        <v>823</v>
      </c>
      <c r="F426" s="34">
        <v>1826872</v>
      </c>
      <c r="G426" s="34">
        <v>1631019</v>
      </c>
      <c r="H426" s="35" t="s">
        <v>1177</v>
      </c>
    </row>
    <row r="427" spans="1:8" ht="27" customHeight="1" x14ac:dyDescent="0.2">
      <c r="A427" s="31" t="s">
        <v>1169</v>
      </c>
      <c r="B427" s="32" t="s">
        <v>1170</v>
      </c>
      <c r="C427" s="32" t="s">
        <v>798</v>
      </c>
      <c r="D427" s="32" t="s">
        <v>1014</v>
      </c>
      <c r="E427" s="33" t="s">
        <v>800</v>
      </c>
      <c r="F427" s="34">
        <v>1624701</v>
      </c>
      <c r="G427" s="34">
        <v>2778508</v>
      </c>
      <c r="H427" s="35" t="s">
        <v>1178</v>
      </c>
    </row>
    <row r="428" spans="1:8" ht="27" customHeight="1" x14ac:dyDescent="0.2">
      <c r="A428" s="31" t="s">
        <v>1169</v>
      </c>
      <c r="B428" s="32" t="s">
        <v>1170</v>
      </c>
      <c r="C428" s="32" t="s">
        <v>779</v>
      </c>
      <c r="D428" s="32" t="s">
        <v>1179</v>
      </c>
      <c r="E428" s="33" t="s">
        <v>780</v>
      </c>
      <c r="F428" s="34">
        <v>684014</v>
      </c>
      <c r="G428" s="34">
        <v>677818</v>
      </c>
      <c r="H428" s="35" t="s">
        <v>1180</v>
      </c>
    </row>
    <row r="429" spans="1:8" ht="27" customHeight="1" x14ac:dyDescent="0.2">
      <c r="A429" s="31" t="s">
        <v>1169</v>
      </c>
      <c r="B429" s="32" t="s">
        <v>1170</v>
      </c>
      <c r="C429" s="32" t="s">
        <v>782</v>
      </c>
      <c r="D429" s="32" t="s">
        <v>1181</v>
      </c>
      <c r="E429" s="33" t="s">
        <v>784</v>
      </c>
      <c r="F429" s="34">
        <v>260484</v>
      </c>
      <c r="G429" s="34">
        <v>238573</v>
      </c>
      <c r="H429" s="35" t="s">
        <v>1182</v>
      </c>
    </row>
    <row r="430" spans="1:8" ht="27" customHeight="1" x14ac:dyDescent="0.2">
      <c r="A430" s="31" t="s">
        <v>1183</v>
      </c>
      <c r="B430" s="32" t="s">
        <v>1184</v>
      </c>
      <c r="C430" s="32" t="s">
        <v>763</v>
      </c>
      <c r="D430" s="32" t="s">
        <v>1185</v>
      </c>
      <c r="E430" s="33" t="s">
        <v>764</v>
      </c>
      <c r="F430" s="34">
        <v>753545</v>
      </c>
      <c r="G430" s="34">
        <v>753554</v>
      </c>
      <c r="H430" s="35" t="s">
        <v>1186</v>
      </c>
    </row>
    <row r="431" spans="1:8" ht="27" customHeight="1" x14ac:dyDescent="0.2">
      <c r="A431" s="31" t="s">
        <v>1183</v>
      </c>
      <c r="B431" s="32" t="s">
        <v>1184</v>
      </c>
      <c r="C431" s="32" t="s">
        <v>770</v>
      </c>
      <c r="D431" s="32" t="s">
        <v>1187</v>
      </c>
      <c r="E431" s="33" t="s">
        <v>772</v>
      </c>
      <c r="F431" s="34">
        <v>723584</v>
      </c>
      <c r="G431" s="34">
        <v>723591</v>
      </c>
      <c r="H431" s="35" t="s">
        <v>1188</v>
      </c>
    </row>
    <row r="432" spans="1:8" ht="27" customHeight="1" x14ac:dyDescent="0.2">
      <c r="A432" s="31" t="s">
        <v>1183</v>
      </c>
      <c r="B432" s="32" t="s">
        <v>1184</v>
      </c>
      <c r="C432" s="32" t="s">
        <v>796</v>
      </c>
      <c r="D432" s="32" t="s">
        <v>1116</v>
      </c>
      <c r="E432" s="33" t="s">
        <v>772</v>
      </c>
      <c r="F432" s="34">
        <v>356345</v>
      </c>
      <c r="G432" s="34">
        <v>356350</v>
      </c>
      <c r="H432" s="35" t="s">
        <v>1189</v>
      </c>
    </row>
    <row r="433" spans="1:8" ht="27" customHeight="1" x14ac:dyDescent="0.2">
      <c r="A433" s="31" t="s">
        <v>1183</v>
      </c>
      <c r="B433" s="32" t="s">
        <v>1184</v>
      </c>
      <c r="C433" s="32" t="s">
        <v>779</v>
      </c>
      <c r="D433" s="32" t="s">
        <v>876</v>
      </c>
      <c r="E433" s="33" t="s">
        <v>780</v>
      </c>
      <c r="F433" s="34">
        <v>7181</v>
      </c>
      <c r="G433" s="34">
        <v>7183</v>
      </c>
      <c r="H433" s="35" t="s">
        <v>1190</v>
      </c>
    </row>
    <row r="434" spans="1:8" ht="27" customHeight="1" x14ac:dyDescent="0.2">
      <c r="A434" s="31" t="s">
        <v>1191</v>
      </c>
      <c r="B434" s="32" t="s">
        <v>117</v>
      </c>
      <c r="C434" s="32" t="s">
        <v>763</v>
      </c>
      <c r="D434" s="32" t="s">
        <v>1192</v>
      </c>
      <c r="E434" s="33" t="s">
        <v>764</v>
      </c>
      <c r="F434" s="34">
        <v>4059</v>
      </c>
      <c r="G434" s="34">
        <v>4062</v>
      </c>
      <c r="H434" s="35" t="s">
        <v>859</v>
      </c>
    </row>
    <row r="435" spans="1:8" ht="27" customHeight="1" x14ac:dyDescent="0.2">
      <c r="A435" s="31" t="s">
        <v>1191</v>
      </c>
      <c r="B435" s="32" t="s">
        <v>117</v>
      </c>
      <c r="C435" s="32" t="s">
        <v>763</v>
      </c>
      <c r="D435" s="32" t="s">
        <v>1193</v>
      </c>
      <c r="E435" s="33" t="s">
        <v>764</v>
      </c>
      <c r="F435" s="34">
        <v>0</v>
      </c>
      <c r="G435" s="34">
        <v>50000</v>
      </c>
      <c r="H435" s="35" t="s">
        <v>1194</v>
      </c>
    </row>
    <row r="436" spans="1:8" ht="27" customHeight="1" x14ac:dyDescent="0.2">
      <c r="A436" s="31" t="s">
        <v>1191</v>
      </c>
      <c r="B436" s="32" t="s">
        <v>117</v>
      </c>
      <c r="C436" s="32" t="s">
        <v>763</v>
      </c>
      <c r="D436" s="32" t="s">
        <v>1195</v>
      </c>
      <c r="E436" s="33" t="s">
        <v>764</v>
      </c>
      <c r="F436" s="34">
        <v>0</v>
      </c>
      <c r="G436" s="34">
        <v>100000</v>
      </c>
      <c r="H436" s="35" t="s">
        <v>1194</v>
      </c>
    </row>
    <row r="437" spans="1:8" ht="27" customHeight="1" x14ac:dyDescent="0.2">
      <c r="A437" s="31" t="s">
        <v>1191</v>
      </c>
      <c r="B437" s="32" t="s">
        <v>117</v>
      </c>
      <c r="C437" s="32" t="s">
        <v>770</v>
      </c>
      <c r="D437" s="32" t="s">
        <v>1196</v>
      </c>
      <c r="E437" s="33" t="s">
        <v>772</v>
      </c>
      <c r="F437" s="34">
        <v>263115</v>
      </c>
      <c r="G437" s="34">
        <v>263382</v>
      </c>
      <c r="H437" s="35" t="s">
        <v>1197</v>
      </c>
    </row>
    <row r="438" spans="1:8" ht="27" customHeight="1" x14ac:dyDescent="0.2">
      <c r="A438" s="31" t="s">
        <v>1191</v>
      </c>
      <c r="B438" s="32" t="s">
        <v>117</v>
      </c>
      <c r="C438" s="32" t="s">
        <v>844</v>
      </c>
      <c r="D438" s="32" t="s">
        <v>972</v>
      </c>
      <c r="E438" s="33" t="s">
        <v>846</v>
      </c>
      <c r="F438" s="34">
        <v>254959</v>
      </c>
      <c r="G438" s="34">
        <v>55243</v>
      </c>
      <c r="H438" s="35" t="s">
        <v>1198</v>
      </c>
    </row>
    <row r="439" spans="1:8" ht="27" customHeight="1" x14ac:dyDescent="0.2">
      <c r="A439" s="31" t="s">
        <v>1191</v>
      </c>
      <c r="B439" s="32" t="s">
        <v>117</v>
      </c>
      <c r="C439" s="32" t="s">
        <v>773</v>
      </c>
      <c r="D439" s="32" t="s">
        <v>1199</v>
      </c>
      <c r="E439" s="33" t="s">
        <v>775</v>
      </c>
      <c r="F439" s="34">
        <v>277388</v>
      </c>
      <c r="G439" s="34">
        <v>57670</v>
      </c>
      <c r="H439" s="35" t="s">
        <v>1200</v>
      </c>
    </row>
    <row r="440" spans="1:8" ht="27" customHeight="1" x14ac:dyDescent="0.2">
      <c r="A440" s="31" t="s">
        <v>1191</v>
      </c>
      <c r="B440" s="32" t="s">
        <v>117</v>
      </c>
      <c r="C440" s="32" t="s">
        <v>796</v>
      </c>
      <c r="D440" s="32" t="s">
        <v>811</v>
      </c>
      <c r="E440" s="33" t="s">
        <v>823</v>
      </c>
      <c r="F440" s="34">
        <v>1802954</v>
      </c>
      <c r="G440" s="34">
        <v>979750</v>
      </c>
      <c r="H440" s="35" t="s">
        <v>1201</v>
      </c>
    </row>
    <row r="441" spans="1:8" ht="27" customHeight="1" x14ac:dyDescent="0.2">
      <c r="A441" s="31" t="s">
        <v>1191</v>
      </c>
      <c r="B441" s="32" t="s">
        <v>117</v>
      </c>
      <c r="C441" s="32" t="s">
        <v>776</v>
      </c>
      <c r="D441" s="32" t="s">
        <v>812</v>
      </c>
      <c r="E441" s="33" t="s">
        <v>777</v>
      </c>
      <c r="F441" s="34">
        <v>1654630</v>
      </c>
      <c r="G441" s="34">
        <v>1656270</v>
      </c>
      <c r="H441" s="35" t="s">
        <v>1202</v>
      </c>
    </row>
    <row r="442" spans="1:8" ht="27" customHeight="1" x14ac:dyDescent="0.2">
      <c r="A442" s="31" t="s">
        <v>1191</v>
      </c>
      <c r="B442" s="32" t="s">
        <v>117</v>
      </c>
      <c r="C442" s="32" t="s">
        <v>779</v>
      </c>
      <c r="D442" s="32" t="s">
        <v>876</v>
      </c>
      <c r="E442" s="33" t="s">
        <v>780</v>
      </c>
      <c r="F442" s="34">
        <v>150380</v>
      </c>
      <c r="G442" s="34">
        <v>75451</v>
      </c>
      <c r="H442" s="35" t="s">
        <v>1203</v>
      </c>
    </row>
    <row r="443" spans="1:8" ht="27" customHeight="1" x14ac:dyDescent="0.2">
      <c r="A443" s="31" t="s">
        <v>1204</v>
      </c>
      <c r="B443" s="32" t="s">
        <v>1205</v>
      </c>
      <c r="C443" s="32" t="s">
        <v>763</v>
      </c>
      <c r="D443" s="32" t="s">
        <v>1206</v>
      </c>
      <c r="E443" s="33" t="s">
        <v>764</v>
      </c>
      <c r="F443" s="34">
        <v>1208111</v>
      </c>
      <c r="G443" s="34">
        <v>1958111</v>
      </c>
      <c r="H443" s="35" t="s">
        <v>1207</v>
      </c>
    </row>
    <row r="444" spans="1:8" ht="27" customHeight="1" x14ac:dyDescent="0.2">
      <c r="A444" s="31" t="s">
        <v>1204</v>
      </c>
      <c r="B444" s="32" t="s">
        <v>1205</v>
      </c>
      <c r="C444" s="32" t="s">
        <v>844</v>
      </c>
      <c r="D444" s="32" t="s">
        <v>1208</v>
      </c>
      <c r="E444" s="33" t="s">
        <v>846</v>
      </c>
      <c r="F444" s="34">
        <v>600000</v>
      </c>
      <c r="G444" s="34">
        <v>600000</v>
      </c>
      <c r="H444" s="35" t="s">
        <v>1209</v>
      </c>
    </row>
    <row r="445" spans="1:8" ht="27" customHeight="1" x14ac:dyDescent="0.2">
      <c r="A445" s="31" t="s">
        <v>1204</v>
      </c>
      <c r="B445" s="32" t="s">
        <v>1205</v>
      </c>
      <c r="C445" s="32" t="s">
        <v>796</v>
      </c>
      <c r="D445" s="32" t="s">
        <v>1210</v>
      </c>
      <c r="E445" s="33" t="s">
        <v>823</v>
      </c>
      <c r="F445" s="34">
        <v>411000</v>
      </c>
      <c r="G445" s="34">
        <v>411000</v>
      </c>
      <c r="H445" s="35" t="s">
        <v>1211</v>
      </c>
    </row>
    <row r="446" spans="1:8" ht="27" customHeight="1" x14ac:dyDescent="0.2">
      <c r="A446" s="31" t="s">
        <v>1204</v>
      </c>
      <c r="B446" s="32" t="s">
        <v>1205</v>
      </c>
      <c r="C446" s="32" t="s">
        <v>779</v>
      </c>
      <c r="D446" s="32" t="s">
        <v>1212</v>
      </c>
      <c r="E446" s="33" t="s">
        <v>780</v>
      </c>
      <c r="F446" s="34">
        <v>563727</v>
      </c>
      <c r="G446" s="34">
        <v>313727</v>
      </c>
      <c r="H446" s="35" t="s">
        <v>1213</v>
      </c>
    </row>
    <row r="447" spans="1:8" ht="27" customHeight="1" x14ac:dyDescent="0.2">
      <c r="A447" s="31" t="s">
        <v>1214</v>
      </c>
      <c r="B447" s="32" t="s">
        <v>1215</v>
      </c>
      <c r="C447" s="32" t="s">
        <v>763</v>
      </c>
      <c r="D447" s="32" t="s">
        <v>763</v>
      </c>
      <c r="E447" s="33" t="s">
        <v>764</v>
      </c>
      <c r="F447" s="34">
        <v>455</v>
      </c>
      <c r="G447" s="34">
        <v>200455</v>
      </c>
      <c r="H447" s="35" t="s">
        <v>1216</v>
      </c>
    </row>
    <row r="448" spans="1:8" ht="27" customHeight="1" x14ac:dyDescent="0.2">
      <c r="A448" s="31" t="s">
        <v>1214</v>
      </c>
      <c r="B448" s="32" t="s">
        <v>1215</v>
      </c>
      <c r="C448" s="32" t="s">
        <v>770</v>
      </c>
      <c r="D448" s="32" t="s">
        <v>1217</v>
      </c>
      <c r="E448" s="33" t="s">
        <v>772</v>
      </c>
      <c r="F448" s="34">
        <v>103268</v>
      </c>
      <c r="G448" s="34">
        <v>103289</v>
      </c>
      <c r="H448" s="35" t="s">
        <v>1216</v>
      </c>
    </row>
    <row r="449" spans="1:8" ht="27" customHeight="1" x14ac:dyDescent="0.2">
      <c r="A449" s="31" t="s">
        <v>1214</v>
      </c>
      <c r="B449" s="32" t="s">
        <v>1215</v>
      </c>
      <c r="C449" s="32" t="s">
        <v>886</v>
      </c>
      <c r="D449" s="32" t="s">
        <v>886</v>
      </c>
      <c r="E449" s="33" t="s">
        <v>887</v>
      </c>
      <c r="F449" s="34">
        <v>37916</v>
      </c>
      <c r="G449" s="34">
        <v>37937</v>
      </c>
      <c r="H449" s="35" t="s">
        <v>1216</v>
      </c>
    </row>
    <row r="450" spans="1:8" ht="27" customHeight="1" x14ac:dyDescent="0.2">
      <c r="A450" s="31" t="s">
        <v>1214</v>
      </c>
      <c r="B450" s="32" t="s">
        <v>1215</v>
      </c>
      <c r="C450" s="32" t="s">
        <v>860</v>
      </c>
      <c r="D450" s="32" t="s">
        <v>860</v>
      </c>
      <c r="E450" s="33" t="s">
        <v>861</v>
      </c>
      <c r="F450" s="34">
        <v>1097520</v>
      </c>
      <c r="G450" s="34">
        <v>1098198</v>
      </c>
      <c r="H450" s="35" t="s">
        <v>1216</v>
      </c>
    </row>
    <row r="451" spans="1:8" ht="27" customHeight="1" x14ac:dyDescent="0.2">
      <c r="A451" s="31" t="s">
        <v>1214</v>
      </c>
      <c r="B451" s="32" t="s">
        <v>1215</v>
      </c>
      <c r="C451" s="32" t="s">
        <v>796</v>
      </c>
      <c r="D451" s="32" t="s">
        <v>1218</v>
      </c>
      <c r="E451" s="33" t="s">
        <v>772</v>
      </c>
      <c r="F451" s="34">
        <v>448685</v>
      </c>
      <c r="G451" s="34">
        <v>476393</v>
      </c>
      <c r="H451" s="35" t="s">
        <v>1216</v>
      </c>
    </row>
    <row r="452" spans="1:8" ht="27" customHeight="1" x14ac:dyDescent="0.2">
      <c r="A452" s="31" t="s">
        <v>1214</v>
      </c>
      <c r="B452" s="32" t="s">
        <v>1215</v>
      </c>
      <c r="C452" s="32" t="s">
        <v>798</v>
      </c>
      <c r="D452" s="32" t="s">
        <v>799</v>
      </c>
      <c r="E452" s="33" t="s">
        <v>800</v>
      </c>
      <c r="F452" s="34">
        <v>176826</v>
      </c>
      <c r="G452" s="34">
        <v>51935</v>
      </c>
      <c r="H452" s="35" t="s">
        <v>1216</v>
      </c>
    </row>
    <row r="453" spans="1:8" ht="27" customHeight="1" x14ac:dyDescent="0.2">
      <c r="A453" s="31" t="s">
        <v>1214</v>
      </c>
      <c r="B453" s="32" t="s">
        <v>1215</v>
      </c>
      <c r="C453" s="32" t="s">
        <v>779</v>
      </c>
      <c r="D453" s="32" t="s">
        <v>802</v>
      </c>
      <c r="E453" s="33" t="s">
        <v>780</v>
      </c>
      <c r="F453" s="34">
        <v>108831</v>
      </c>
      <c r="G453" s="34">
        <v>108898</v>
      </c>
      <c r="H453" s="35" t="s">
        <v>1216</v>
      </c>
    </row>
    <row r="454" spans="1:8" ht="27" customHeight="1" x14ac:dyDescent="0.2">
      <c r="A454" s="31" t="s">
        <v>1214</v>
      </c>
      <c r="B454" s="32" t="s">
        <v>1215</v>
      </c>
      <c r="C454" s="32" t="s">
        <v>782</v>
      </c>
      <c r="D454" s="32" t="s">
        <v>782</v>
      </c>
      <c r="E454" s="33" t="s">
        <v>784</v>
      </c>
      <c r="F454" s="34">
        <v>14270</v>
      </c>
      <c r="G454" s="34">
        <v>15280</v>
      </c>
      <c r="H454" s="35" t="s">
        <v>1216</v>
      </c>
    </row>
    <row r="455" spans="1:8" ht="27" customHeight="1" x14ac:dyDescent="0.2">
      <c r="A455" s="31" t="s">
        <v>1219</v>
      </c>
      <c r="B455" s="32" t="s">
        <v>567</v>
      </c>
      <c r="C455" s="32" t="s">
        <v>763</v>
      </c>
      <c r="D455" s="32" t="s">
        <v>763</v>
      </c>
      <c r="E455" s="33" t="s">
        <v>764</v>
      </c>
      <c r="F455" s="34">
        <v>0</v>
      </c>
      <c r="G455" s="34">
        <v>0</v>
      </c>
      <c r="H455" s="35" t="s">
        <v>859</v>
      </c>
    </row>
    <row r="456" spans="1:8" ht="27" customHeight="1" x14ac:dyDescent="0.2">
      <c r="A456" s="31" t="s">
        <v>1219</v>
      </c>
      <c r="B456" s="32" t="s">
        <v>567</v>
      </c>
      <c r="C456" s="32" t="s">
        <v>766</v>
      </c>
      <c r="D456" s="32" t="s">
        <v>767</v>
      </c>
      <c r="E456" s="33" t="s">
        <v>768</v>
      </c>
      <c r="F456" s="34">
        <v>223404</v>
      </c>
      <c r="G456" s="34">
        <v>191588</v>
      </c>
      <c r="H456" s="35" t="s">
        <v>1220</v>
      </c>
    </row>
    <row r="457" spans="1:8" ht="27" customHeight="1" x14ac:dyDescent="0.2">
      <c r="A457" s="31" t="s">
        <v>1219</v>
      </c>
      <c r="B457" s="32" t="s">
        <v>567</v>
      </c>
      <c r="C457" s="32" t="s">
        <v>770</v>
      </c>
      <c r="D457" s="32" t="s">
        <v>872</v>
      </c>
      <c r="E457" s="33" t="s">
        <v>772</v>
      </c>
      <c r="F457" s="34">
        <v>242405</v>
      </c>
      <c r="G457" s="34">
        <v>242405</v>
      </c>
      <c r="H457" s="35" t="s">
        <v>1221</v>
      </c>
    </row>
    <row r="458" spans="1:8" ht="27" customHeight="1" x14ac:dyDescent="0.2">
      <c r="A458" s="31" t="s">
        <v>1219</v>
      </c>
      <c r="B458" s="32" t="s">
        <v>567</v>
      </c>
      <c r="C458" s="32" t="s">
        <v>884</v>
      </c>
      <c r="D458" s="32" t="s">
        <v>1222</v>
      </c>
      <c r="E458" s="33" t="s">
        <v>885</v>
      </c>
      <c r="F458" s="34">
        <v>0</v>
      </c>
      <c r="G458" s="34">
        <v>0</v>
      </c>
      <c r="H458" s="35" t="s">
        <v>859</v>
      </c>
    </row>
    <row r="459" spans="1:8" ht="27" customHeight="1" x14ac:dyDescent="0.2">
      <c r="A459" s="31" t="s">
        <v>1219</v>
      </c>
      <c r="B459" s="32" t="s">
        <v>567</v>
      </c>
      <c r="C459" s="32" t="s">
        <v>844</v>
      </c>
      <c r="D459" s="32" t="s">
        <v>844</v>
      </c>
      <c r="E459" s="33" t="s">
        <v>846</v>
      </c>
      <c r="F459" s="34">
        <v>0</v>
      </c>
      <c r="G459" s="34">
        <v>0</v>
      </c>
      <c r="H459" s="35" t="s">
        <v>859</v>
      </c>
    </row>
    <row r="460" spans="1:8" ht="27" customHeight="1" x14ac:dyDescent="0.2">
      <c r="A460" s="31" t="s">
        <v>1219</v>
      </c>
      <c r="B460" s="32" t="s">
        <v>567</v>
      </c>
      <c r="C460" s="32" t="s">
        <v>773</v>
      </c>
      <c r="D460" s="32" t="s">
        <v>773</v>
      </c>
      <c r="E460" s="33" t="s">
        <v>775</v>
      </c>
      <c r="F460" s="34">
        <v>0</v>
      </c>
      <c r="G460" s="34">
        <v>0</v>
      </c>
      <c r="H460" s="35" t="s">
        <v>859</v>
      </c>
    </row>
    <row r="461" spans="1:8" ht="27" customHeight="1" x14ac:dyDescent="0.2">
      <c r="A461" s="31" t="s">
        <v>1219</v>
      </c>
      <c r="B461" s="32" t="s">
        <v>567</v>
      </c>
      <c r="C461" s="32" t="s">
        <v>886</v>
      </c>
      <c r="D461" s="32" t="s">
        <v>886</v>
      </c>
      <c r="E461" s="33" t="s">
        <v>887</v>
      </c>
      <c r="F461" s="34">
        <v>0</v>
      </c>
      <c r="G461" s="34">
        <v>0</v>
      </c>
      <c r="H461" s="35" t="s">
        <v>859</v>
      </c>
    </row>
    <row r="462" spans="1:8" ht="27" customHeight="1" x14ac:dyDescent="0.2">
      <c r="A462" s="31" t="s">
        <v>1219</v>
      </c>
      <c r="B462" s="32" t="s">
        <v>567</v>
      </c>
      <c r="C462" s="32" t="s">
        <v>860</v>
      </c>
      <c r="D462" s="32" t="s">
        <v>860</v>
      </c>
      <c r="E462" s="33" t="s">
        <v>861</v>
      </c>
      <c r="F462" s="34">
        <v>1139680</v>
      </c>
      <c r="G462" s="34">
        <v>1139680</v>
      </c>
      <c r="H462" s="35" t="s">
        <v>1223</v>
      </c>
    </row>
    <row r="463" spans="1:8" ht="27" customHeight="1" x14ac:dyDescent="0.2">
      <c r="A463" s="31" t="s">
        <v>1219</v>
      </c>
      <c r="B463" s="32" t="s">
        <v>567</v>
      </c>
      <c r="C463" s="32" t="s">
        <v>796</v>
      </c>
      <c r="D463" s="32" t="s">
        <v>961</v>
      </c>
      <c r="E463" s="33" t="s">
        <v>772</v>
      </c>
      <c r="F463" s="34">
        <v>500818</v>
      </c>
      <c r="G463" s="34">
        <v>500819</v>
      </c>
      <c r="H463" s="35" t="s">
        <v>1224</v>
      </c>
    </row>
    <row r="464" spans="1:8" ht="27" customHeight="1" x14ac:dyDescent="0.2">
      <c r="A464" s="31" t="s">
        <v>1219</v>
      </c>
      <c r="B464" s="32" t="s">
        <v>567</v>
      </c>
      <c r="C464" s="32" t="s">
        <v>776</v>
      </c>
      <c r="D464" s="32" t="s">
        <v>776</v>
      </c>
      <c r="E464" s="33" t="s">
        <v>777</v>
      </c>
      <c r="F464" s="34">
        <v>2141</v>
      </c>
      <c r="G464" s="34">
        <v>2142</v>
      </c>
      <c r="H464" s="35" t="s">
        <v>1225</v>
      </c>
    </row>
    <row r="465" spans="1:8" ht="27" customHeight="1" x14ac:dyDescent="0.2">
      <c r="A465" s="31" t="s">
        <v>1219</v>
      </c>
      <c r="B465" s="32" t="s">
        <v>567</v>
      </c>
      <c r="C465" s="32" t="s">
        <v>798</v>
      </c>
      <c r="D465" s="32" t="s">
        <v>1014</v>
      </c>
      <c r="E465" s="33" t="s">
        <v>800</v>
      </c>
      <c r="F465" s="34">
        <v>0</v>
      </c>
      <c r="G465" s="34">
        <v>0</v>
      </c>
      <c r="H465" s="35" t="s">
        <v>859</v>
      </c>
    </row>
    <row r="466" spans="1:8" ht="27" customHeight="1" x14ac:dyDescent="0.2">
      <c r="A466" s="31" t="s">
        <v>1219</v>
      </c>
      <c r="B466" s="32" t="s">
        <v>567</v>
      </c>
      <c r="C466" s="32" t="s">
        <v>892</v>
      </c>
      <c r="D466" s="32" t="s">
        <v>1226</v>
      </c>
      <c r="E466" s="33" t="s">
        <v>893</v>
      </c>
      <c r="F466" s="34">
        <v>0</v>
      </c>
      <c r="G466" s="34">
        <v>0</v>
      </c>
      <c r="H466" s="35" t="s">
        <v>859</v>
      </c>
    </row>
    <row r="467" spans="1:8" ht="27" customHeight="1" x14ac:dyDescent="0.2">
      <c r="A467" s="31" t="s">
        <v>1219</v>
      </c>
      <c r="B467" s="32" t="s">
        <v>567</v>
      </c>
      <c r="C467" s="32" t="s">
        <v>779</v>
      </c>
      <c r="D467" s="32" t="s">
        <v>779</v>
      </c>
      <c r="E467" s="33" t="s">
        <v>780</v>
      </c>
      <c r="F467" s="34">
        <v>335002</v>
      </c>
      <c r="G467" s="34">
        <v>335003</v>
      </c>
      <c r="H467" s="35" t="s">
        <v>1227</v>
      </c>
    </row>
    <row r="468" spans="1:8" ht="27" customHeight="1" x14ac:dyDescent="0.2">
      <c r="A468" s="31" t="s">
        <v>1219</v>
      </c>
      <c r="B468" s="32" t="s">
        <v>567</v>
      </c>
      <c r="C468" s="32" t="s">
        <v>782</v>
      </c>
      <c r="D468" s="32" t="s">
        <v>782</v>
      </c>
      <c r="E468" s="33" t="s">
        <v>784</v>
      </c>
      <c r="F468" s="34">
        <v>122841</v>
      </c>
      <c r="G468" s="34">
        <v>122842</v>
      </c>
      <c r="H468" s="35" t="s">
        <v>1228</v>
      </c>
    </row>
    <row r="469" spans="1:8" ht="27" customHeight="1" x14ac:dyDescent="0.2">
      <c r="A469" s="31" t="s">
        <v>1229</v>
      </c>
      <c r="B469" s="32" t="s">
        <v>1230</v>
      </c>
      <c r="C469" s="32" t="s">
        <v>763</v>
      </c>
      <c r="D469" s="32" t="s">
        <v>816</v>
      </c>
      <c r="E469" s="33" t="s">
        <v>764</v>
      </c>
      <c r="F469" s="34">
        <v>800000</v>
      </c>
      <c r="G469" s="34">
        <v>2000000</v>
      </c>
      <c r="H469" s="35" t="s">
        <v>1231</v>
      </c>
    </row>
    <row r="470" spans="1:8" ht="27" customHeight="1" x14ac:dyDescent="0.2">
      <c r="A470" s="31" t="s">
        <v>1229</v>
      </c>
      <c r="B470" s="32" t="s">
        <v>1230</v>
      </c>
      <c r="C470" s="32" t="s">
        <v>766</v>
      </c>
      <c r="D470" s="32" t="s">
        <v>808</v>
      </c>
      <c r="E470" s="33" t="s">
        <v>768</v>
      </c>
      <c r="F470" s="34">
        <v>5589</v>
      </c>
      <c r="G470" s="34">
        <v>5589</v>
      </c>
      <c r="H470" s="35" t="s">
        <v>1232</v>
      </c>
    </row>
    <row r="471" spans="1:8" ht="27" customHeight="1" x14ac:dyDescent="0.2">
      <c r="A471" s="31" t="s">
        <v>1229</v>
      </c>
      <c r="B471" s="32" t="s">
        <v>1230</v>
      </c>
      <c r="C471" s="32" t="s">
        <v>770</v>
      </c>
      <c r="D471" s="32" t="s">
        <v>810</v>
      </c>
      <c r="E471" s="33" t="s">
        <v>772</v>
      </c>
      <c r="F471" s="34">
        <v>578108</v>
      </c>
      <c r="G471" s="34">
        <v>578108</v>
      </c>
      <c r="H471" s="35" t="s">
        <v>1233</v>
      </c>
    </row>
    <row r="472" spans="1:8" ht="27" customHeight="1" x14ac:dyDescent="0.2">
      <c r="A472" s="31" t="s">
        <v>1229</v>
      </c>
      <c r="B472" s="32" t="s">
        <v>1230</v>
      </c>
      <c r="C472" s="32" t="s">
        <v>860</v>
      </c>
      <c r="D472" s="32" t="s">
        <v>911</v>
      </c>
      <c r="E472" s="33" t="s">
        <v>861</v>
      </c>
      <c r="F472" s="34">
        <v>84630</v>
      </c>
      <c r="G472" s="34">
        <v>91462</v>
      </c>
      <c r="H472" s="35" t="s">
        <v>1234</v>
      </c>
    </row>
    <row r="473" spans="1:8" ht="27" customHeight="1" x14ac:dyDescent="0.2">
      <c r="A473" s="31" t="s">
        <v>1229</v>
      </c>
      <c r="B473" s="32" t="s">
        <v>1230</v>
      </c>
      <c r="C473" s="32" t="s">
        <v>796</v>
      </c>
      <c r="D473" s="32" t="s">
        <v>811</v>
      </c>
      <c r="E473" s="33" t="s">
        <v>823</v>
      </c>
      <c r="F473" s="34">
        <v>1782609</v>
      </c>
      <c r="G473" s="34">
        <v>1100000</v>
      </c>
      <c r="H473" s="35" t="s">
        <v>1235</v>
      </c>
    </row>
    <row r="474" spans="1:8" ht="27" customHeight="1" x14ac:dyDescent="0.2">
      <c r="A474" s="31" t="s">
        <v>1229</v>
      </c>
      <c r="B474" s="32" t="s">
        <v>1230</v>
      </c>
      <c r="C474" s="32" t="s">
        <v>779</v>
      </c>
      <c r="D474" s="32" t="s">
        <v>876</v>
      </c>
      <c r="E474" s="33" t="s">
        <v>780</v>
      </c>
      <c r="F474" s="34">
        <v>307875</v>
      </c>
      <c r="G474" s="34">
        <v>307875</v>
      </c>
      <c r="H474" s="35" t="s">
        <v>1232</v>
      </c>
    </row>
    <row r="475" spans="1:8" ht="27" customHeight="1" x14ac:dyDescent="0.2">
      <c r="A475" s="31" t="s">
        <v>1229</v>
      </c>
      <c r="B475" s="32" t="s">
        <v>1230</v>
      </c>
      <c r="C475" s="32" t="s">
        <v>782</v>
      </c>
      <c r="D475" s="32" t="s">
        <v>964</v>
      </c>
      <c r="E475" s="33" t="s">
        <v>784</v>
      </c>
      <c r="F475" s="34">
        <v>942084</v>
      </c>
      <c r="G475" s="34">
        <v>600000</v>
      </c>
      <c r="H475" s="35" t="s">
        <v>1236</v>
      </c>
    </row>
    <row r="476" spans="1:8" ht="27" customHeight="1" x14ac:dyDescent="0.2">
      <c r="A476" s="31" t="s">
        <v>1237</v>
      </c>
      <c r="B476" s="32" t="s">
        <v>1238</v>
      </c>
      <c r="C476" s="32" t="s">
        <v>763</v>
      </c>
      <c r="D476" s="32" t="s">
        <v>897</v>
      </c>
      <c r="E476" s="33" t="s">
        <v>764</v>
      </c>
      <c r="F476" s="34">
        <v>1500000</v>
      </c>
      <c r="G476" s="34">
        <v>1750000</v>
      </c>
      <c r="H476" s="35" t="s">
        <v>1239</v>
      </c>
    </row>
    <row r="477" spans="1:8" ht="27" customHeight="1" x14ac:dyDescent="0.2">
      <c r="A477" s="31" t="s">
        <v>1237</v>
      </c>
      <c r="B477" s="32" t="s">
        <v>1238</v>
      </c>
      <c r="C477" s="32" t="s">
        <v>770</v>
      </c>
      <c r="D477" s="32" t="s">
        <v>1240</v>
      </c>
      <c r="E477" s="33" t="s">
        <v>772</v>
      </c>
      <c r="F477" s="34">
        <v>161778</v>
      </c>
      <c r="G477" s="34">
        <v>161778</v>
      </c>
      <c r="H477" s="35" t="s">
        <v>1241</v>
      </c>
    </row>
    <row r="478" spans="1:8" ht="27" customHeight="1" x14ac:dyDescent="0.2">
      <c r="A478" s="31" t="s">
        <v>1237</v>
      </c>
      <c r="B478" s="32" t="s">
        <v>1238</v>
      </c>
      <c r="C478" s="32" t="s">
        <v>844</v>
      </c>
      <c r="D478" s="32" t="s">
        <v>972</v>
      </c>
      <c r="E478" s="33" t="s">
        <v>846</v>
      </c>
      <c r="F478" s="34">
        <v>250000</v>
      </c>
      <c r="G478" s="34">
        <v>250000</v>
      </c>
      <c r="H478" s="35" t="s">
        <v>1242</v>
      </c>
    </row>
    <row r="479" spans="1:8" ht="27" customHeight="1" x14ac:dyDescent="0.2">
      <c r="A479" s="31" t="s">
        <v>1237</v>
      </c>
      <c r="B479" s="32" t="s">
        <v>1238</v>
      </c>
      <c r="C479" s="32" t="s">
        <v>860</v>
      </c>
      <c r="D479" s="32" t="s">
        <v>1027</v>
      </c>
      <c r="E479" s="33" t="s">
        <v>861</v>
      </c>
      <c r="F479" s="34">
        <v>194117</v>
      </c>
      <c r="G479" s="34">
        <v>194117</v>
      </c>
      <c r="H479" s="35" t="s">
        <v>1243</v>
      </c>
    </row>
    <row r="480" spans="1:8" ht="27" customHeight="1" x14ac:dyDescent="0.2">
      <c r="A480" s="31" t="s">
        <v>1237</v>
      </c>
      <c r="B480" s="32" t="s">
        <v>1238</v>
      </c>
      <c r="C480" s="32" t="s">
        <v>796</v>
      </c>
      <c r="D480" s="32" t="s">
        <v>811</v>
      </c>
      <c r="E480" s="33" t="s">
        <v>823</v>
      </c>
      <c r="F480" s="34">
        <v>219103</v>
      </c>
      <c r="G480" s="34">
        <v>719103</v>
      </c>
      <c r="H480" s="35" t="s">
        <v>1244</v>
      </c>
    </row>
    <row r="481" spans="1:8" ht="27" customHeight="1" x14ac:dyDescent="0.2">
      <c r="A481" s="31" t="s">
        <v>1237</v>
      </c>
      <c r="B481" s="32" t="s">
        <v>1238</v>
      </c>
      <c r="C481" s="32" t="s">
        <v>776</v>
      </c>
      <c r="D481" s="32" t="s">
        <v>914</v>
      </c>
      <c r="E481" s="33" t="s">
        <v>777</v>
      </c>
      <c r="F481" s="34">
        <v>100000</v>
      </c>
      <c r="G481" s="34">
        <v>100000</v>
      </c>
      <c r="H481" s="35" t="s">
        <v>1245</v>
      </c>
    </row>
    <row r="482" spans="1:8" ht="27" customHeight="1" x14ac:dyDescent="0.2">
      <c r="A482" s="31" t="s">
        <v>1237</v>
      </c>
      <c r="B482" s="32" t="s">
        <v>1238</v>
      </c>
      <c r="C482" s="32" t="s">
        <v>779</v>
      </c>
      <c r="D482" s="32" t="s">
        <v>1246</v>
      </c>
      <c r="E482" s="33" t="s">
        <v>780</v>
      </c>
      <c r="F482" s="34">
        <v>100029</v>
      </c>
      <c r="G482" s="34">
        <v>100029</v>
      </c>
      <c r="H482" s="35" t="s">
        <v>1247</v>
      </c>
    </row>
    <row r="483" spans="1:8" ht="27" customHeight="1" x14ac:dyDescent="0.2">
      <c r="A483" s="31" t="s">
        <v>1237</v>
      </c>
      <c r="B483" s="32" t="s">
        <v>1238</v>
      </c>
      <c r="C483" s="32" t="s">
        <v>782</v>
      </c>
      <c r="D483" s="32" t="s">
        <v>1248</v>
      </c>
      <c r="E483" s="33" t="s">
        <v>784</v>
      </c>
      <c r="F483" s="34">
        <v>169094</v>
      </c>
      <c r="G483" s="34">
        <v>169094</v>
      </c>
      <c r="H483" s="35" t="s">
        <v>1249</v>
      </c>
    </row>
    <row r="484" spans="1:8" ht="27" customHeight="1" x14ac:dyDescent="0.2">
      <c r="A484" s="31" t="s">
        <v>1250</v>
      </c>
      <c r="B484" s="32" t="s">
        <v>1251</v>
      </c>
      <c r="C484" s="32" t="s">
        <v>796</v>
      </c>
      <c r="D484" s="32" t="s">
        <v>1252</v>
      </c>
      <c r="E484" s="33" t="s">
        <v>772</v>
      </c>
      <c r="F484" s="34">
        <v>1248032</v>
      </c>
      <c r="G484" s="34">
        <v>1248347</v>
      </c>
      <c r="H484" s="35" t="s">
        <v>1253</v>
      </c>
    </row>
    <row r="485" spans="1:8" ht="27" customHeight="1" x14ac:dyDescent="0.2">
      <c r="A485" s="31" t="s">
        <v>1250</v>
      </c>
      <c r="B485" s="32" t="s">
        <v>1251</v>
      </c>
      <c r="C485" s="32" t="s">
        <v>776</v>
      </c>
      <c r="D485" s="32" t="s">
        <v>914</v>
      </c>
      <c r="E485" s="33" t="s">
        <v>777</v>
      </c>
      <c r="F485" s="34">
        <v>365782</v>
      </c>
      <c r="G485" s="34">
        <v>465104</v>
      </c>
      <c r="H485" s="35" t="s">
        <v>1254</v>
      </c>
    </row>
    <row r="486" spans="1:8" ht="27" customHeight="1" x14ac:dyDescent="0.2">
      <c r="A486" s="31" t="s">
        <v>1250</v>
      </c>
      <c r="B486" s="32" t="s">
        <v>1251</v>
      </c>
      <c r="C486" s="32" t="s">
        <v>779</v>
      </c>
      <c r="D486" s="32" t="s">
        <v>826</v>
      </c>
      <c r="E486" s="33" t="s">
        <v>780</v>
      </c>
      <c r="F486" s="34">
        <v>251537</v>
      </c>
      <c r="G486" s="34">
        <v>251160</v>
      </c>
      <c r="H486" s="35" t="s">
        <v>1255</v>
      </c>
    </row>
    <row r="487" spans="1:8" ht="27" customHeight="1" x14ac:dyDescent="0.2">
      <c r="A487" s="31" t="s">
        <v>1256</v>
      </c>
      <c r="B487" s="32" t="s">
        <v>1257</v>
      </c>
      <c r="C487" s="32" t="s">
        <v>763</v>
      </c>
      <c r="D487" s="32" t="s">
        <v>816</v>
      </c>
      <c r="E487" s="33" t="s">
        <v>764</v>
      </c>
      <c r="F487" s="34">
        <v>1290000</v>
      </c>
      <c r="G487" s="34">
        <v>1290000</v>
      </c>
      <c r="H487" s="35" t="s">
        <v>1258</v>
      </c>
    </row>
    <row r="488" spans="1:8" ht="27" customHeight="1" x14ac:dyDescent="0.2">
      <c r="A488" s="31" t="s">
        <v>1256</v>
      </c>
      <c r="B488" s="32" t="s">
        <v>1257</v>
      </c>
      <c r="C488" s="32" t="s">
        <v>766</v>
      </c>
      <c r="D488" s="32" t="s">
        <v>818</v>
      </c>
      <c r="E488" s="33" t="s">
        <v>768</v>
      </c>
      <c r="F488" s="34">
        <v>330321</v>
      </c>
      <c r="G488" s="34">
        <v>330321</v>
      </c>
      <c r="H488" s="35" t="s">
        <v>1259</v>
      </c>
    </row>
    <row r="489" spans="1:8" ht="27" customHeight="1" x14ac:dyDescent="0.2">
      <c r="A489" s="31" t="s">
        <v>1256</v>
      </c>
      <c r="B489" s="32" t="s">
        <v>1257</v>
      </c>
      <c r="C489" s="32" t="s">
        <v>770</v>
      </c>
      <c r="D489" s="32" t="s">
        <v>1260</v>
      </c>
      <c r="E489" s="33" t="s">
        <v>772</v>
      </c>
      <c r="F489" s="34">
        <v>377567</v>
      </c>
      <c r="G489" s="34">
        <v>377567</v>
      </c>
      <c r="H489" s="35" t="s">
        <v>1261</v>
      </c>
    </row>
    <row r="490" spans="1:8" ht="27" customHeight="1" x14ac:dyDescent="0.2">
      <c r="A490" s="31" t="s">
        <v>1256</v>
      </c>
      <c r="B490" s="32" t="s">
        <v>1257</v>
      </c>
      <c r="C490" s="32" t="s">
        <v>796</v>
      </c>
      <c r="D490" s="32" t="s">
        <v>1149</v>
      </c>
      <c r="E490" s="33" t="s">
        <v>772</v>
      </c>
      <c r="F490" s="34">
        <v>478291</v>
      </c>
      <c r="G490" s="34">
        <v>728291</v>
      </c>
      <c r="H490" s="35" t="s">
        <v>1262</v>
      </c>
    </row>
    <row r="491" spans="1:8" ht="27" customHeight="1" x14ac:dyDescent="0.2">
      <c r="A491" s="31" t="s">
        <v>1256</v>
      </c>
      <c r="B491" s="32" t="s">
        <v>1257</v>
      </c>
      <c r="C491" s="32" t="s">
        <v>779</v>
      </c>
      <c r="D491" s="32" t="s">
        <v>927</v>
      </c>
      <c r="E491" s="33" t="s">
        <v>780</v>
      </c>
      <c r="F491" s="34">
        <v>170936</v>
      </c>
      <c r="G491" s="34">
        <v>170066</v>
      </c>
      <c r="H491" s="35" t="s">
        <v>1263</v>
      </c>
    </row>
    <row r="492" spans="1:8" ht="27" customHeight="1" x14ac:dyDescent="0.2">
      <c r="A492" s="31" t="s">
        <v>1264</v>
      </c>
      <c r="B492" s="32" t="s">
        <v>1265</v>
      </c>
      <c r="C492" s="32" t="s">
        <v>763</v>
      </c>
      <c r="D492" s="32" t="s">
        <v>1266</v>
      </c>
      <c r="E492" s="33" t="s">
        <v>764</v>
      </c>
      <c r="F492" s="34">
        <v>950096</v>
      </c>
      <c r="G492" s="34">
        <v>951063</v>
      </c>
      <c r="H492" s="35" t="s">
        <v>1267</v>
      </c>
    </row>
    <row r="493" spans="1:8" ht="27" customHeight="1" x14ac:dyDescent="0.2">
      <c r="A493" s="31" t="s">
        <v>1264</v>
      </c>
      <c r="B493" s="32" t="s">
        <v>1265</v>
      </c>
      <c r="C493" s="32" t="s">
        <v>770</v>
      </c>
      <c r="D493" s="32" t="s">
        <v>770</v>
      </c>
      <c r="E493" s="33" t="s">
        <v>772</v>
      </c>
      <c r="F493" s="34">
        <v>1419501</v>
      </c>
      <c r="G493" s="34">
        <v>1420945</v>
      </c>
      <c r="H493" s="35" t="s">
        <v>1268</v>
      </c>
    </row>
    <row r="494" spans="1:8" ht="27" customHeight="1" x14ac:dyDescent="0.2">
      <c r="A494" s="31" t="s">
        <v>1264</v>
      </c>
      <c r="B494" s="32" t="s">
        <v>1265</v>
      </c>
      <c r="C494" s="32" t="s">
        <v>844</v>
      </c>
      <c r="D494" s="32" t="s">
        <v>844</v>
      </c>
      <c r="E494" s="33" t="s">
        <v>846</v>
      </c>
      <c r="F494" s="34">
        <v>0</v>
      </c>
      <c r="G494" s="34">
        <v>0</v>
      </c>
      <c r="H494" s="35" t="s">
        <v>1269</v>
      </c>
    </row>
    <row r="495" spans="1:8" ht="27" customHeight="1" x14ac:dyDescent="0.2">
      <c r="A495" s="31" t="s">
        <v>1264</v>
      </c>
      <c r="B495" s="32" t="s">
        <v>1265</v>
      </c>
      <c r="C495" s="32" t="s">
        <v>796</v>
      </c>
      <c r="D495" s="32" t="s">
        <v>796</v>
      </c>
      <c r="E495" s="33" t="s">
        <v>823</v>
      </c>
      <c r="F495" s="34">
        <v>1356576</v>
      </c>
      <c r="G495" s="34">
        <v>1357956</v>
      </c>
      <c r="H495" s="35" t="s">
        <v>1270</v>
      </c>
    </row>
    <row r="496" spans="1:8" ht="27" customHeight="1" x14ac:dyDescent="0.2">
      <c r="A496" s="31" t="s">
        <v>1264</v>
      </c>
      <c r="B496" s="32" t="s">
        <v>1265</v>
      </c>
      <c r="C496" s="32" t="s">
        <v>779</v>
      </c>
      <c r="D496" s="32" t="s">
        <v>802</v>
      </c>
      <c r="E496" s="33" t="s">
        <v>780</v>
      </c>
      <c r="F496" s="34">
        <v>182336</v>
      </c>
      <c r="G496" s="34">
        <v>182522</v>
      </c>
      <c r="H496" s="35" t="s">
        <v>1271</v>
      </c>
    </row>
    <row r="497" spans="1:8" ht="27" customHeight="1" x14ac:dyDescent="0.2">
      <c r="A497" s="31" t="s">
        <v>1272</v>
      </c>
      <c r="B497" s="32" t="s">
        <v>1273</v>
      </c>
      <c r="C497" s="32" t="s">
        <v>763</v>
      </c>
      <c r="D497" s="32" t="s">
        <v>1274</v>
      </c>
      <c r="E497" s="33" t="s">
        <v>764</v>
      </c>
      <c r="F497" s="34">
        <v>1633067</v>
      </c>
      <c r="G497" s="34">
        <v>1720565</v>
      </c>
      <c r="H497" s="35" t="s">
        <v>1275</v>
      </c>
    </row>
    <row r="498" spans="1:8" ht="27" customHeight="1" x14ac:dyDescent="0.2">
      <c r="A498" s="31" t="s">
        <v>1272</v>
      </c>
      <c r="B498" s="32" t="s">
        <v>1273</v>
      </c>
      <c r="C498" s="32" t="s">
        <v>796</v>
      </c>
      <c r="D498" s="32" t="s">
        <v>811</v>
      </c>
      <c r="E498" s="33" t="s">
        <v>823</v>
      </c>
      <c r="F498" s="34">
        <v>815752</v>
      </c>
      <c r="G498" s="34">
        <v>815752</v>
      </c>
      <c r="H498" s="35" t="s">
        <v>1276</v>
      </c>
    </row>
    <row r="499" spans="1:8" ht="27" customHeight="1" x14ac:dyDescent="0.2">
      <c r="A499" s="31" t="s">
        <v>1272</v>
      </c>
      <c r="B499" s="32" t="s">
        <v>1273</v>
      </c>
      <c r="C499" s="32" t="s">
        <v>776</v>
      </c>
      <c r="D499" s="32" t="s">
        <v>914</v>
      </c>
      <c r="E499" s="33" t="s">
        <v>777</v>
      </c>
      <c r="F499" s="34">
        <v>16380</v>
      </c>
      <c r="G499" s="34">
        <v>16380</v>
      </c>
      <c r="H499" s="35" t="s">
        <v>1277</v>
      </c>
    </row>
    <row r="500" spans="1:8" ht="27" customHeight="1" x14ac:dyDescent="0.2">
      <c r="A500" s="31" t="s">
        <v>1272</v>
      </c>
      <c r="B500" s="32" t="s">
        <v>1273</v>
      </c>
      <c r="C500" s="32" t="s">
        <v>779</v>
      </c>
      <c r="D500" s="32" t="s">
        <v>876</v>
      </c>
      <c r="E500" s="33" t="s">
        <v>780</v>
      </c>
      <c r="F500" s="34">
        <v>78173</v>
      </c>
      <c r="G500" s="34">
        <v>78173</v>
      </c>
      <c r="H500" s="35" t="s">
        <v>1278</v>
      </c>
    </row>
    <row r="501" spans="1:8" ht="27" customHeight="1" x14ac:dyDescent="0.2">
      <c r="A501" s="31" t="s">
        <v>1272</v>
      </c>
      <c r="B501" s="32" t="s">
        <v>1273</v>
      </c>
      <c r="C501" s="32" t="s">
        <v>782</v>
      </c>
      <c r="D501" s="32" t="s">
        <v>813</v>
      </c>
      <c r="E501" s="33" t="s">
        <v>784</v>
      </c>
      <c r="F501" s="34">
        <v>613224</v>
      </c>
      <c r="G501" s="34">
        <v>613224</v>
      </c>
      <c r="H501" s="35" t="s">
        <v>1279</v>
      </c>
    </row>
    <row r="502" spans="1:8" ht="27" customHeight="1" x14ac:dyDescent="0.2">
      <c r="A502" s="31" t="s">
        <v>1280</v>
      </c>
      <c r="B502" s="32" t="s">
        <v>1281</v>
      </c>
      <c r="C502" s="32" t="s">
        <v>763</v>
      </c>
      <c r="D502" s="32" t="s">
        <v>943</v>
      </c>
      <c r="E502" s="33" t="s">
        <v>764</v>
      </c>
      <c r="F502" s="34">
        <v>488485</v>
      </c>
      <c r="G502" s="34">
        <v>803906</v>
      </c>
      <c r="H502" s="35" t="s">
        <v>1282</v>
      </c>
    </row>
    <row r="503" spans="1:8" ht="27" customHeight="1" x14ac:dyDescent="0.2">
      <c r="A503" s="31" t="s">
        <v>1280</v>
      </c>
      <c r="B503" s="32" t="s">
        <v>1281</v>
      </c>
      <c r="C503" s="32" t="s">
        <v>763</v>
      </c>
      <c r="D503" s="32" t="s">
        <v>1283</v>
      </c>
      <c r="E503" s="33" t="s">
        <v>764</v>
      </c>
      <c r="F503" s="34">
        <v>457537</v>
      </c>
      <c r="G503" s="34">
        <v>457931</v>
      </c>
      <c r="H503" s="35" t="s">
        <v>1284</v>
      </c>
    </row>
    <row r="504" spans="1:8" ht="27" customHeight="1" x14ac:dyDescent="0.2">
      <c r="A504" s="31" t="s">
        <v>1280</v>
      </c>
      <c r="B504" s="32" t="s">
        <v>1281</v>
      </c>
      <c r="C504" s="32" t="s">
        <v>770</v>
      </c>
      <c r="D504" s="32" t="s">
        <v>1260</v>
      </c>
      <c r="E504" s="33" t="s">
        <v>772</v>
      </c>
      <c r="F504" s="34">
        <v>737663</v>
      </c>
      <c r="G504" s="34">
        <v>738299</v>
      </c>
      <c r="H504" s="35" t="s">
        <v>1285</v>
      </c>
    </row>
    <row r="505" spans="1:8" ht="27" customHeight="1" x14ac:dyDescent="0.2">
      <c r="A505" s="31" t="s">
        <v>1280</v>
      </c>
      <c r="B505" s="32" t="s">
        <v>1281</v>
      </c>
      <c r="C505" s="32" t="s">
        <v>844</v>
      </c>
      <c r="D505" s="32" t="s">
        <v>972</v>
      </c>
      <c r="E505" s="33" t="s">
        <v>846</v>
      </c>
      <c r="F505" s="34">
        <v>77050</v>
      </c>
      <c r="G505" s="34">
        <v>76117</v>
      </c>
      <c r="H505" s="35" t="s">
        <v>1286</v>
      </c>
    </row>
    <row r="506" spans="1:8" ht="27" customHeight="1" x14ac:dyDescent="0.2">
      <c r="A506" s="31" t="s">
        <v>1280</v>
      </c>
      <c r="B506" s="32" t="s">
        <v>1281</v>
      </c>
      <c r="C506" s="32" t="s">
        <v>796</v>
      </c>
      <c r="D506" s="32" t="s">
        <v>1095</v>
      </c>
      <c r="E506" s="33" t="s">
        <v>823</v>
      </c>
      <c r="F506" s="34">
        <v>608764</v>
      </c>
      <c r="G506" s="34">
        <v>609289</v>
      </c>
      <c r="H506" s="35" t="s">
        <v>1285</v>
      </c>
    </row>
    <row r="507" spans="1:8" ht="27" customHeight="1" x14ac:dyDescent="0.2">
      <c r="A507" s="31" t="s">
        <v>1280</v>
      </c>
      <c r="B507" s="32" t="s">
        <v>1281</v>
      </c>
      <c r="C507" s="32" t="s">
        <v>776</v>
      </c>
      <c r="D507" s="32" t="s">
        <v>812</v>
      </c>
      <c r="E507" s="33" t="s">
        <v>777</v>
      </c>
      <c r="F507" s="34">
        <v>50905</v>
      </c>
      <c r="G507" s="34">
        <v>50949</v>
      </c>
      <c r="H507" s="35" t="s">
        <v>1287</v>
      </c>
    </row>
    <row r="508" spans="1:8" ht="27" customHeight="1" x14ac:dyDescent="0.2">
      <c r="A508" s="31" t="s">
        <v>1280</v>
      </c>
      <c r="B508" s="32" t="s">
        <v>1281</v>
      </c>
      <c r="C508" s="32" t="s">
        <v>779</v>
      </c>
      <c r="D508" s="32" t="s">
        <v>826</v>
      </c>
      <c r="E508" s="33" t="s">
        <v>780</v>
      </c>
      <c r="F508" s="34">
        <v>46558</v>
      </c>
      <c r="G508" s="34">
        <v>36253</v>
      </c>
      <c r="H508" s="35" t="s">
        <v>1288</v>
      </c>
    </row>
    <row r="509" spans="1:8" ht="27" customHeight="1" x14ac:dyDescent="0.2">
      <c r="A509" s="31" t="s">
        <v>1289</v>
      </c>
      <c r="B509" s="32" t="s">
        <v>1290</v>
      </c>
      <c r="C509" s="32" t="s">
        <v>763</v>
      </c>
      <c r="D509" s="32" t="s">
        <v>763</v>
      </c>
      <c r="E509" s="33" t="s">
        <v>764</v>
      </c>
      <c r="F509" s="34">
        <v>79026</v>
      </c>
      <c r="G509" s="34">
        <v>79026</v>
      </c>
      <c r="H509" s="35" t="s">
        <v>1261</v>
      </c>
    </row>
    <row r="510" spans="1:8" ht="27" customHeight="1" x14ac:dyDescent="0.2">
      <c r="A510" s="31" t="s">
        <v>1289</v>
      </c>
      <c r="B510" s="32" t="s">
        <v>1290</v>
      </c>
      <c r="C510" s="32" t="s">
        <v>770</v>
      </c>
      <c r="D510" s="32" t="s">
        <v>794</v>
      </c>
      <c r="E510" s="33" t="s">
        <v>772</v>
      </c>
      <c r="F510" s="34">
        <v>405611</v>
      </c>
      <c r="G510" s="34">
        <v>348611</v>
      </c>
      <c r="H510" s="35" t="s">
        <v>1291</v>
      </c>
    </row>
    <row r="511" spans="1:8" ht="27" customHeight="1" x14ac:dyDescent="0.2">
      <c r="A511" s="31" t="s">
        <v>1289</v>
      </c>
      <c r="B511" s="32" t="s">
        <v>1290</v>
      </c>
      <c r="C511" s="32" t="s">
        <v>796</v>
      </c>
      <c r="D511" s="32" t="s">
        <v>1050</v>
      </c>
      <c r="E511" s="33" t="s">
        <v>823</v>
      </c>
      <c r="F511" s="34">
        <v>446257</v>
      </c>
      <c r="G511" s="34">
        <v>356257</v>
      </c>
      <c r="H511" s="35" t="s">
        <v>1292</v>
      </c>
    </row>
    <row r="512" spans="1:8" ht="27" customHeight="1" x14ac:dyDescent="0.2">
      <c r="A512" s="31" t="s">
        <v>1289</v>
      </c>
      <c r="B512" s="32" t="s">
        <v>1290</v>
      </c>
      <c r="C512" s="32" t="s">
        <v>779</v>
      </c>
      <c r="D512" s="32" t="s">
        <v>779</v>
      </c>
      <c r="E512" s="33" t="s">
        <v>780</v>
      </c>
      <c r="F512" s="34">
        <v>24267</v>
      </c>
      <c r="G512" s="34">
        <v>24267</v>
      </c>
      <c r="H512" s="35" t="s">
        <v>1261</v>
      </c>
    </row>
    <row r="513" spans="1:8" ht="27" customHeight="1" x14ac:dyDescent="0.2">
      <c r="A513" s="31" t="s">
        <v>1293</v>
      </c>
      <c r="B513" s="32" t="s">
        <v>1294</v>
      </c>
      <c r="C513" s="32" t="s">
        <v>763</v>
      </c>
      <c r="D513" s="32" t="s">
        <v>1295</v>
      </c>
      <c r="E513" s="33" t="s">
        <v>764</v>
      </c>
      <c r="F513" s="34">
        <v>265395</v>
      </c>
      <c r="G513" s="34">
        <v>265395</v>
      </c>
      <c r="H513" s="35" t="s">
        <v>1296</v>
      </c>
    </row>
    <row r="514" spans="1:8" ht="27" customHeight="1" x14ac:dyDescent="0.2">
      <c r="A514" s="31" t="s">
        <v>1293</v>
      </c>
      <c r="B514" s="32" t="s">
        <v>1294</v>
      </c>
      <c r="C514" s="32" t="s">
        <v>766</v>
      </c>
      <c r="D514" s="32" t="s">
        <v>832</v>
      </c>
      <c r="E514" s="33" t="s">
        <v>768</v>
      </c>
      <c r="F514" s="34">
        <v>23479</v>
      </c>
      <c r="G514" s="34">
        <v>23479</v>
      </c>
      <c r="H514" s="35" t="s">
        <v>1296</v>
      </c>
    </row>
    <row r="515" spans="1:8" ht="27" customHeight="1" x14ac:dyDescent="0.2">
      <c r="A515" s="31" t="s">
        <v>1293</v>
      </c>
      <c r="B515" s="32" t="s">
        <v>1294</v>
      </c>
      <c r="C515" s="32" t="s">
        <v>770</v>
      </c>
      <c r="D515" s="32" t="s">
        <v>830</v>
      </c>
      <c r="E515" s="33" t="s">
        <v>772</v>
      </c>
      <c r="F515" s="34">
        <v>326037</v>
      </c>
      <c r="G515" s="34">
        <v>326037</v>
      </c>
      <c r="H515" s="35" t="s">
        <v>1296</v>
      </c>
    </row>
    <row r="516" spans="1:8" ht="27" customHeight="1" x14ac:dyDescent="0.2">
      <c r="A516" s="31" t="s">
        <v>1293</v>
      </c>
      <c r="B516" s="32" t="s">
        <v>1294</v>
      </c>
      <c r="C516" s="32" t="s">
        <v>860</v>
      </c>
      <c r="D516" s="32" t="s">
        <v>911</v>
      </c>
      <c r="E516" s="33" t="s">
        <v>861</v>
      </c>
      <c r="F516" s="34">
        <v>200036</v>
      </c>
      <c r="G516" s="34">
        <v>250036</v>
      </c>
      <c r="H516" s="35" t="s">
        <v>1296</v>
      </c>
    </row>
    <row r="517" spans="1:8" ht="27" customHeight="1" x14ac:dyDescent="0.2">
      <c r="A517" s="31" t="s">
        <v>1293</v>
      </c>
      <c r="B517" s="32" t="s">
        <v>1294</v>
      </c>
      <c r="C517" s="32" t="s">
        <v>796</v>
      </c>
      <c r="D517" s="32" t="s">
        <v>1252</v>
      </c>
      <c r="E517" s="33" t="s">
        <v>823</v>
      </c>
      <c r="F517" s="34">
        <v>8778019</v>
      </c>
      <c r="G517" s="34">
        <v>8242453</v>
      </c>
      <c r="H517" s="35" t="s">
        <v>1297</v>
      </c>
    </row>
    <row r="518" spans="1:8" ht="27" customHeight="1" x14ac:dyDescent="0.2">
      <c r="A518" s="31" t="s">
        <v>1293</v>
      </c>
      <c r="B518" s="32" t="s">
        <v>1294</v>
      </c>
      <c r="C518" s="32" t="s">
        <v>776</v>
      </c>
      <c r="D518" s="32" t="s">
        <v>812</v>
      </c>
      <c r="E518" s="33" t="s">
        <v>777</v>
      </c>
      <c r="F518" s="34">
        <v>3779971</v>
      </c>
      <c r="G518" s="34">
        <v>3257893</v>
      </c>
      <c r="H518" s="35" t="s">
        <v>1298</v>
      </c>
    </row>
    <row r="519" spans="1:8" ht="27" customHeight="1" x14ac:dyDescent="0.2">
      <c r="A519" s="31" t="s">
        <v>1293</v>
      </c>
      <c r="B519" s="32" t="s">
        <v>1294</v>
      </c>
      <c r="C519" s="32" t="s">
        <v>779</v>
      </c>
      <c r="D519" s="32" t="s">
        <v>826</v>
      </c>
      <c r="E519" s="33" t="s">
        <v>780</v>
      </c>
      <c r="F519" s="34">
        <v>6084778</v>
      </c>
      <c r="G519" s="34">
        <v>6084778</v>
      </c>
      <c r="H519" s="35" t="s">
        <v>1296</v>
      </c>
    </row>
    <row r="520" spans="1:8" ht="27" customHeight="1" x14ac:dyDescent="0.2">
      <c r="A520" s="31" t="s">
        <v>1299</v>
      </c>
      <c r="B520" s="32" t="s">
        <v>1300</v>
      </c>
      <c r="C520" s="32" t="s">
        <v>766</v>
      </c>
      <c r="D520" s="32" t="s">
        <v>1301</v>
      </c>
      <c r="E520" s="33" t="s">
        <v>768</v>
      </c>
      <c r="F520" s="34">
        <v>460797</v>
      </c>
      <c r="G520" s="34">
        <v>460800</v>
      </c>
      <c r="H520" s="35" t="s">
        <v>1302</v>
      </c>
    </row>
    <row r="521" spans="1:8" ht="27" customHeight="1" x14ac:dyDescent="0.2">
      <c r="A521" s="31" t="s">
        <v>1299</v>
      </c>
      <c r="B521" s="32" t="s">
        <v>1300</v>
      </c>
      <c r="C521" s="32" t="s">
        <v>770</v>
      </c>
      <c r="D521" s="32" t="s">
        <v>1011</v>
      </c>
      <c r="E521" s="33" t="s">
        <v>772</v>
      </c>
      <c r="F521" s="34">
        <v>70085</v>
      </c>
      <c r="G521" s="34">
        <v>70125</v>
      </c>
      <c r="H521" s="35" t="s">
        <v>1303</v>
      </c>
    </row>
    <row r="522" spans="1:8" ht="27" customHeight="1" x14ac:dyDescent="0.2">
      <c r="A522" s="31" t="s">
        <v>1299</v>
      </c>
      <c r="B522" s="32" t="s">
        <v>1300</v>
      </c>
      <c r="C522" s="32" t="s">
        <v>844</v>
      </c>
      <c r="D522" s="32" t="s">
        <v>972</v>
      </c>
      <c r="E522" s="33" t="s">
        <v>846</v>
      </c>
      <c r="F522" s="34">
        <v>308858</v>
      </c>
      <c r="G522" s="34">
        <v>309000</v>
      </c>
      <c r="H522" s="35" t="s">
        <v>1304</v>
      </c>
    </row>
    <row r="523" spans="1:8" ht="27" customHeight="1" x14ac:dyDescent="0.2">
      <c r="A523" s="31" t="s">
        <v>1299</v>
      </c>
      <c r="B523" s="32" t="s">
        <v>1300</v>
      </c>
      <c r="C523" s="32" t="s">
        <v>776</v>
      </c>
      <c r="D523" s="32" t="s">
        <v>776</v>
      </c>
      <c r="E523" s="33" t="s">
        <v>777</v>
      </c>
      <c r="F523" s="34">
        <v>31153</v>
      </c>
      <c r="G523" s="34">
        <v>31170</v>
      </c>
      <c r="H523" s="35" t="s">
        <v>1305</v>
      </c>
    </row>
    <row r="524" spans="1:8" ht="27" customHeight="1" x14ac:dyDescent="0.2">
      <c r="A524" s="31" t="s">
        <v>1299</v>
      </c>
      <c r="B524" s="32" t="s">
        <v>1300</v>
      </c>
      <c r="C524" s="32" t="s">
        <v>779</v>
      </c>
      <c r="D524" s="32" t="s">
        <v>826</v>
      </c>
      <c r="E524" s="33" t="s">
        <v>780</v>
      </c>
      <c r="F524" s="34">
        <v>198722</v>
      </c>
      <c r="G524" s="34">
        <v>198825</v>
      </c>
      <c r="H524" s="35" t="s">
        <v>1306</v>
      </c>
    </row>
    <row r="525" spans="1:8" ht="27" customHeight="1" x14ac:dyDescent="0.2">
      <c r="A525" s="31" t="s">
        <v>1299</v>
      </c>
      <c r="B525" s="32" t="s">
        <v>1300</v>
      </c>
      <c r="C525" s="32" t="s">
        <v>782</v>
      </c>
      <c r="D525" s="32" t="s">
        <v>839</v>
      </c>
      <c r="E525" s="33" t="s">
        <v>784</v>
      </c>
      <c r="F525" s="34">
        <v>137725</v>
      </c>
      <c r="G525" s="34">
        <v>137800</v>
      </c>
      <c r="H525" s="35" t="s">
        <v>1307</v>
      </c>
    </row>
    <row r="526" spans="1:8" ht="27" customHeight="1" x14ac:dyDescent="0.2">
      <c r="A526" s="31" t="s">
        <v>1308</v>
      </c>
      <c r="B526" s="32" t="s">
        <v>1309</v>
      </c>
      <c r="C526" s="32" t="s">
        <v>763</v>
      </c>
      <c r="D526" s="32" t="s">
        <v>816</v>
      </c>
      <c r="E526" s="33" t="s">
        <v>764</v>
      </c>
      <c r="F526" s="34">
        <v>3730973</v>
      </c>
      <c r="G526" s="34">
        <v>3530000</v>
      </c>
      <c r="H526" s="35" t="s">
        <v>1310</v>
      </c>
    </row>
    <row r="527" spans="1:8" ht="27" customHeight="1" x14ac:dyDescent="0.2">
      <c r="A527" s="31" t="s">
        <v>1308</v>
      </c>
      <c r="B527" s="32" t="s">
        <v>1309</v>
      </c>
      <c r="C527" s="32" t="s">
        <v>766</v>
      </c>
      <c r="D527" s="32" t="s">
        <v>818</v>
      </c>
      <c r="E527" s="33" t="s">
        <v>768</v>
      </c>
      <c r="F527" s="34">
        <v>5745662</v>
      </c>
      <c r="G527" s="34">
        <v>5745662</v>
      </c>
      <c r="H527" s="35" t="s">
        <v>1311</v>
      </c>
    </row>
    <row r="528" spans="1:8" ht="27" customHeight="1" x14ac:dyDescent="0.2">
      <c r="A528" s="31" t="s">
        <v>1308</v>
      </c>
      <c r="B528" s="32" t="s">
        <v>1309</v>
      </c>
      <c r="C528" s="32" t="s">
        <v>770</v>
      </c>
      <c r="D528" s="32" t="s">
        <v>1312</v>
      </c>
      <c r="E528" s="33" t="s">
        <v>772</v>
      </c>
      <c r="F528" s="34">
        <v>1169252</v>
      </c>
      <c r="G528" s="34">
        <v>115000</v>
      </c>
      <c r="H528" s="35" t="s">
        <v>1313</v>
      </c>
    </row>
    <row r="529" spans="1:8" ht="27" customHeight="1" x14ac:dyDescent="0.2">
      <c r="A529" s="31" t="s">
        <v>1308</v>
      </c>
      <c r="B529" s="32" t="s">
        <v>1309</v>
      </c>
      <c r="C529" s="32" t="s">
        <v>796</v>
      </c>
      <c r="D529" s="32" t="s">
        <v>1314</v>
      </c>
      <c r="E529" s="33" t="s">
        <v>772</v>
      </c>
      <c r="F529" s="34">
        <v>559989</v>
      </c>
      <c r="G529" s="34">
        <v>602500</v>
      </c>
      <c r="H529" s="35" t="s">
        <v>1315</v>
      </c>
    </row>
    <row r="530" spans="1:8" ht="27" customHeight="1" x14ac:dyDescent="0.2">
      <c r="A530" s="31" t="s">
        <v>1308</v>
      </c>
      <c r="B530" s="32" t="s">
        <v>1309</v>
      </c>
      <c r="C530" s="32" t="s">
        <v>776</v>
      </c>
      <c r="D530" s="32" t="s">
        <v>914</v>
      </c>
      <c r="E530" s="33" t="s">
        <v>777</v>
      </c>
      <c r="F530" s="34">
        <v>212365</v>
      </c>
      <c r="G530" s="34">
        <v>215000</v>
      </c>
      <c r="H530" s="35" t="s">
        <v>1316</v>
      </c>
    </row>
    <row r="531" spans="1:8" ht="27" customHeight="1" x14ac:dyDescent="0.2">
      <c r="A531" s="31" t="s">
        <v>1308</v>
      </c>
      <c r="B531" s="32" t="s">
        <v>1309</v>
      </c>
      <c r="C531" s="32" t="s">
        <v>779</v>
      </c>
      <c r="D531" s="32" t="s">
        <v>927</v>
      </c>
      <c r="E531" s="33" t="s">
        <v>780</v>
      </c>
      <c r="F531" s="34">
        <v>107514</v>
      </c>
      <c r="G531" s="34">
        <v>107514</v>
      </c>
      <c r="H531" s="35" t="s">
        <v>1317</v>
      </c>
    </row>
    <row r="532" spans="1:8" ht="27" customHeight="1" x14ac:dyDescent="0.2">
      <c r="A532" s="31" t="s">
        <v>1318</v>
      </c>
      <c r="B532" s="32" t="s">
        <v>1319</v>
      </c>
      <c r="C532" s="32" t="s">
        <v>763</v>
      </c>
      <c r="D532" s="32" t="s">
        <v>1320</v>
      </c>
      <c r="E532" s="33" t="s">
        <v>764</v>
      </c>
      <c r="F532" s="34">
        <v>1441766</v>
      </c>
      <c r="G532" s="34">
        <v>1441766</v>
      </c>
      <c r="H532" s="35" t="s">
        <v>1321</v>
      </c>
    </row>
    <row r="533" spans="1:8" ht="27" customHeight="1" x14ac:dyDescent="0.2">
      <c r="A533" s="31" t="s">
        <v>1318</v>
      </c>
      <c r="B533" s="32" t="s">
        <v>1319</v>
      </c>
      <c r="C533" s="32" t="s">
        <v>770</v>
      </c>
      <c r="D533" s="32" t="s">
        <v>1136</v>
      </c>
      <c r="E533" s="33" t="s">
        <v>772</v>
      </c>
      <c r="F533" s="34">
        <v>135354</v>
      </c>
      <c r="G533" s="34">
        <v>135354</v>
      </c>
      <c r="H533" s="35" t="s">
        <v>829</v>
      </c>
    </row>
    <row r="534" spans="1:8" ht="27" customHeight="1" x14ac:dyDescent="0.2">
      <c r="A534" s="31" t="s">
        <v>1318</v>
      </c>
      <c r="B534" s="32" t="s">
        <v>1319</v>
      </c>
      <c r="C534" s="32" t="s">
        <v>831</v>
      </c>
      <c r="D534" s="32" t="s">
        <v>1322</v>
      </c>
      <c r="E534" s="33" t="s">
        <v>1323</v>
      </c>
      <c r="F534" s="34">
        <v>1408568</v>
      </c>
      <c r="G534" s="34">
        <v>1408568</v>
      </c>
      <c r="H534" s="35" t="s">
        <v>829</v>
      </c>
    </row>
    <row r="535" spans="1:8" ht="27" customHeight="1" x14ac:dyDescent="0.2">
      <c r="A535" s="31" t="s">
        <v>1318</v>
      </c>
      <c r="B535" s="32" t="s">
        <v>1319</v>
      </c>
      <c r="C535" s="32" t="s">
        <v>886</v>
      </c>
      <c r="D535" s="32" t="s">
        <v>886</v>
      </c>
      <c r="E535" s="33" t="s">
        <v>887</v>
      </c>
      <c r="F535" s="34">
        <v>275856</v>
      </c>
      <c r="G535" s="34">
        <v>275856</v>
      </c>
      <c r="H535" s="35" t="s">
        <v>829</v>
      </c>
    </row>
    <row r="536" spans="1:8" ht="27" customHeight="1" x14ac:dyDescent="0.2">
      <c r="A536" s="31" t="s">
        <v>1318</v>
      </c>
      <c r="B536" s="32" t="s">
        <v>1319</v>
      </c>
      <c r="C536" s="32" t="s">
        <v>796</v>
      </c>
      <c r="D536" s="32" t="s">
        <v>1095</v>
      </c>
      <c r="E536" s="33" t="s">
        <v>823</v>
      </c>
      <c r="F536" s="34">
        <v>2195786</v>
      </c>
      <c r="G536" s="34">
        <v>2149969</v>
      </c>
      <c r="H536" s="35" t="s">
        <v>1324</v>
      </c>
    </row>
    <row r="537" spans="1:8" ht="27" customHeight="1" x14ac:dyDescent="0.2">
      <c r="A537" s="31" t="s">
        <v>1318</v>
      </c>
      <c r="B537" s="32" t="s">
        <v>1319</v>
      </c>
      <c r="C537" s="32" t="s">
        <v>776</v>
      </c>
      <c r="D537" s="32" t="s">
        <v>1325</v>
      </c>
      <c r="E537" s="33" t="s">
        <v>777</v>
      </c>
      <c r="F537" s="34">
        <v>100240</v>
      </c>
      <c r="G537" s="34">
        <v>100240</v>
      </c>
      <c r="H537" s="35" t="s">
        <v>829</v>
      </c>
    </row>
    <row r="538" spans="1:8" ht="27" customHeight="1" x14ac:dyDescent="0.2">
      <c r="A538" s="31" t="s">
        <v>1318</v>
      </c>
      <c r="B538" s="32" t="s">
        <v>1319</v>
      </c>
      <c r="C538" s="32" t="s">
        <v>779</v>
      </c>
      <c r="D538" s="32" t="s">
        <v>826</v>
      </c>
      <c r="E538" s="33" t="s">
        <v>780</v>
      </c>
      <c r="F538" s="34">
        <v>276197</v>
      </c>
      <c r="G538" s="34">
        <v>266197</v>
      </c>
      <c r="H538" s="35" t="s">
        <v>829</v>
      </c>
    </row>
    <row r="539" spans="1:8" ht="27" customHeight="1" x14ac:dyDescent="0.2">
      <c r="A539" s="31" t="s">
        <v>1318</v>
      </c>
      <c r="B539" s="32" t="s">
        <v>1319</v>
      </c>
      <c r="C539" s="32" t="s">
        <v>782</v>
      </c>
      <c r="D539" s="32" t="s">
        <v>1326</v>
      </c>
      <c r="E539" s="33" t="s">
        <v>784</v>
      </c>
      <c r="F539" s="34">
        <v>357750</v>
      </c>
      <c r="G539" s="34">
        <v>342750</v>
      </c>
      <c r="H539" s="35" t="s">
        <v>829</v>
      </c>
    </row>
    <row r="540" spans="1:8" ht="27" customHeight="1" x14ac:dyDescent="0.2">
      <c r="A540" s="31" t="s">
        <v>1327</v>
      </c>
      <c r="B540" s="32" t="s">
        <v>1328</v>
      </c>
      <c r="C540" s="32" t="s">
        <v>763</v>
      </c>
      <c r="D540" s="32" t="s">
        <v>1329</v>
      </c>
      <c r="E540" s="33" t="s">
        <v>764</v>
      </c>
      <c r="F540" s="34">
        <v>671331</v>
      </c>
      <c r="G540" s="34">
        <v>186111</v>
      </c>
      <c r="H540" s="35" t="s">
        <v>829</v>
      </c>
    </row>
    <row r="541" spans="1:8" ht="27" customHeight="1" x14ac:dyDescent="0.2">
      <c r="A541" s="31" t="s">
        <v>1327</v>
      </c>
      <c r="B541" s="32" t="s">
        <v>1328</v>
      </c>
      <c r="C541" s="32" t="s">
        <v>770</v>
      </c>
      <c r="D541" s="32" t="s">
        <v>820</v>
      </c>
      <c r="E541" s="33" t="s">
        <v>772</v>
      </c>
      <c r="F541" s="34">
        <v>260333</v>
      </c>
      <c r="G541" s="34">
        <v>232243</v>
      </c>
      <c r="H541" s="35" t="s">
        <v>1330</v>
      </c>
    </row>
    <row r="542" spans="1:8" ht="27" customHeight="1" x14ac:dyDescent="0.2">
      <c r="A542" s="31" t="s">
        <v>1327</v>
      </c>
      <c r="B542" s="32" t="s">
        <v>1328</v>
      </c>
      <c r="C542" s="32" t="s">
        <v>844</v>
      </c>
      <c r="D542" s="32" t="s">
        <v>972</v>
      </c>
      <c r="E542" s="33" t="s">
        <v>846</v>
      </c>
      <c r="F542" s="34">
        <v>95406</v>
      </c>
      <c r="G542" s="34">
        <v>50000</v>
      </c>
      <c r="H542" s="35" t="s">
        <v>829</v>
      </c>
    </row>
    <row r="543" spans="1:8" ht="27" customHeight="1" x14ac:dyDescent="0.2">
      <c r="A543" s="31" t="s">
        <v>1327</v>
      </c>
      <c r="B543" s="32" t="s">
        <v>1328</v>
      </c>
      <c r="C543" s="32" t="s">
        <v>886</v>
      </c>
      <c r="D543" s="32" t="s">
        <v>951</v>
      </c>
      <c r="E543" s="33" t="s">
        <v>887</v>
      </c>
      <c r="F543" s="34">
        <v>43803</v>
      </c>
      <c r="G543" s="34">
        <v>43803</v>
      </c>
      <c r="H543" s="35" t="s">
        <v>829</v>
      </c>
    </row>
    <row r="544" spans="1:8" ht="27" customHeight="1" x14ac:dyDescent="0.2">
      <c r="A544" s="31" t="s">
        <v>1327</v>
      </c>
      <c r="B544" s="32" t="s">
        <v>1328</v>
      </c>
      <c r="C544" s="32" t="s">
        <v>796</v>
      </c>
      <c r="D544" s="32" t="s">
        <v>1331</v>
      </c>
      <c r="E544" s="33" t="s">
        <v>772</v>
      </c>
      <c r="F544" s="34">
        <v>758640</v>
      </c>
      <c r="G544" s="34">
        <v>641439</v>
      </c>
      <c r="H544" s="35" t="s">
        <v>1332</v>
      </c>
    </row>
    <row r="545" spans="1:8" ht="27" customHeight="1" x14ac:dyDescent="0.2">
      <c r="A545" s="31" t="s">
        <v>1327</v>
      </c>
      <c r="B545" s="32" t="s">
        <v>1328</v>
      </c>
      <c r="C545" s="32" t="s">
        <v>779</v>
      </c>
      <c r="D545" s="32" t="s">
        <v>826</v>
      </c>
      <c r="E545" s="33" t="s">
        <v>780</v>
      </c>
      <c r="F545" s="34">
        <v>173811</v>
      </c>
      <c r="G545" s="34">
        <v>35410</v>
      </c>
      <c r="H545" s="35" t="s">
        <v>829</v>
      </c>
    </row>
    <row r="546" spans="1:8" ht="27" customHeight="1" x14ac:dyDescent="0.2">
      <c r="A546" s="31" t="s">
        <v>1333</v>
      </c>
      <c r="B546" s="32" t="s">
        <v>1334</v>
      </c>
      <c r="C546" s="32" t="s">
        <v>763</v>
      </c>
      <c r="D546" s="32" t="s">
        <v>1335</v>
      </c>
      <c r="E546" s="33" t="s">
        <v>764</v>
      </c>
      <c r="F546" s="34">
        <v>333933</v>
      </c>
      <c r="G546" s="34">
        <v>333933</v>
      </c>
      <c r="H546" s="35" t="s">
        <v>1336</v>
      </c>
    </row>
    <row r="547" spans="1:8" ht="27" customHeight="1" x14ac:dyDescent="0.2">
      <c r="A547" s="31" t="s">
        <v>1333</v>
      </c>
      <c r="B547" s="32" t="s">
        <v>1334</v>
      </c>
      <c r="C547" s="32" t="s">
        <v>860</v>
      </c>
      <c r="D547" s="32" t="s">
        <v>1027</v>
      </c>
      <c r="E547" s="33" t="s">
        <v>861</v>
      </c>
      <c r="F547" s="34">
        <v>150000</v>
      </c>
      <c r="G547" s="34">
        <v>150000</v>
      </c>
      <c r="H547" s="35" t="s">
        <v>1336</v>
      </c>
    </row>
    <row r="548" spans="1:8" ht="27" customHeight="1" x14ac:dyDescent="0.2">
      <c r="A548" s="31" t="s">
        <v>1333</v>
      </c>
      <c r="B548" s="32" t="s">
        <v>1334</v>
      </c>
      <c r="C548" s="32" t="s">
        <v>796</v>
      </c>
      <c r="D548" s="32" t="s">
        <v>1252</v>
      </c>
      <c r="E548" s="33" t="s">
        <v>823</v>
      </c>
      <c r="F548" s="34">
        <v>264729</v>
      </c>
      <c r="G548" s="34">
        <v>264729</v>
      </c>
      <c r="H548" s="35" t="s">
        <v>1336</v>
      </c>
    </row>
    <row r="549" spans="1:8" ht="27" customHeight="1" x14ac:dyDescent="0.2">
      <c r="A549" s="31" t="s">
        <v>1337</v>
      </c>
      <c r="B549" s="32" t="s">
        <v>1338</v>
      </c>
      <c r="C549" s="32" t="s">
        <v>763</v>
      </c>
      <c r="D549" s="32" t="s">
        <v>816</v>
      </c>
      <c r="E549" s="33" t="s">
        <v>764</v>
      </c>
      <c r="F549" s="34">
        <v>0</v>
      </c>
      <c r="G549" s="34">
        <v>2000000</v>
      </c>
      <c r="H549" s="35" t="s">
        <v>1339</v>
      </c>
    </row>
    <row r="550" spans="1:8" ht="27" customHeight="1" x14ac:dyDescent="0.2">
      <c r="A550" s="31" t="s">
        <v>1337</v>
      </c>
      <c r="B550" s="32" t="s">
        <v>1338</v>
      </c>
      <c r="C550" s="32" t="s">
        <v>770</v>
      </c>
      <c r="D550" s="32" t="s">
        <v>1340</v>
      </c>
      <c r="E550" s="33" t="s">
        <v>772</v>
      </c>
      <c r="F550" s="34">
        <v>2306586</v>
      </c>
      <c r="G550" s="34">
        <v>1636615</v>
      </c>
      <c r="H550" s="35" t="s">
        <v>1341</v>
      </c>
    </row>
    <row r="551" spans="1:8" ht="27" customHeight="1" x14ac:dyDescent="0.2">
      <c r="A551" s="31" t="s">
        <v>1337</v>
      </c>
      <c r="B551" s="32" t="s">
        <v>1338</v>
      </c>
      <c r="C551" s="32" t="s">
        <v>796</v>
      </c>
      <c r="D551" s="32" t="s">
        <v>811</v>
      </c>
      <c r="E551" s="33" t="s">
        <v>823</v>
      </c>
      <c r="F551" s="34">
        <v>0</v>
      </c>
      <c r="G551" s="34">
        <v>2602664</v>
      </c>
      <c r="H551" s="35" t="s">
        <v>1342</v>
      </c>
    </row>
    <row r="552" spans="1:8" ht="27" customHeight="1" x14ac:dyDescent="0.2">
      <c r="A552" s="31" t="s">
        <v>1337</v>
      </c>
      <c r="B552" s="32" t="s">
        <v>1338</v>
      </c>
      <c r="C552" s="32" t="s">
        <v>776</v>
      </c>
      <c r="D552" s="32" t="s">
        <v>812</v>
      </c>
      <c r="E552" s="33" t="s">
        <v>777</v>
      </c>
      <c r="F552" s="34">
        <v>0</v>
      </c>
      <c r="G552" s="34">
        <v>195000</v>
      </c>
      <c r="H552" s="35" t="s">
        <v>1343</v>
      </c>
    </row>
    <row r="553" spans="1:8" ht="27" customHeight="1" x14ac:dyDescent="0.2">
      <c r="A553" s="31" t="s">
        <v>1337</v>
      </c>
      <c r="B553" s="32" t="s">
        <v>1338</v>
      </c>
      <c r="C553" s="32" t="s">
        <v>782</v>
      </c>
      <c r="D553" s="32" t="s">
        <v>964</v>
      </c>
      <c r="E553" s="33" t="s">
        <v>784</v>
      </c>
      <c r="F553" s="34">
        <v>1246635</v>
      </c>
      <c r="G553" s="34">
        <v>1246553</v>
      </c>
      <c r="H553" s="35" t="s">
        <v>1344</v>
      </c>
    </row>
    <row r="554" spans="1:8" ht="27" customHeight="1" x14ac:dyDescent="0.2">
      <c r="A554" s="31" t="s">
        <v>1345</v>
      </c>
      <c r="B554" s="32" t="s">
        <v>1346</v>
      </c>
      <c r="C554" s="32" t="s">
        <v>763</v>
      </c>
      <c r="D554" s="32" t="s">
        <v>816</v>
      </c>
      <c r="E554" s="33" t="s">
        <v>764</v>
      </c>
      <c r="F554" s="34">
        <v>300000</v>
      </c>
      <c r="G554" s="34">
        <v>500000</v>
      </c>
      <c r="H554" s="35" t="s">
        <v>1347</v>
      </c>
    </row>
    <row r="555" spans="1:8" ht="27" customHeight="1" x14ac:dyDescent="0.2">
      <c r="A555" s="31" t="s">
        <v>1345</v>
      </c>
      <c r="B555" s="32" t="s">
        <v>1346</v>
      </c>
      <c r="C555" s="32" t="s">
        <v>770</v>
      </c>
      <c r="D555" s="32" t="s">
        <v>970</v>
      </c>
      <c r="E555" s="33" t="s">
        <v>772</v>
      </c>
      <c r="F555" s="34">
        <v>122255</v>
      </c>
      <c r="G555" s="34">
        <v>122255</v>
      </c>
      <c r="H555" s="35" t="s">
        <v>1348</v>
      </c>
    </row>
    <row r="556" spans="1:8" ht="27" customHeight="1" x14ac:dyDescent="0.2">
      <c r="A556" s="31" t="s">
        <v>1345</v>
      </c>
      <c r="B556" s="32" t="s">
        <v>1346</v>
      </c>
      <c r="C556" s="32" t="s">
        <v>796</v>
      </c>
      <c r="D556" s="32" t="s">
        <v>1095</v>
      </c>
      <c r="E556" s="33" t="s">
        <v>823</v>
      </c>
      <c r="F556" s="34">
        <v>278131</v>
      </c>
      <c r="G556" s="34">
        <v>278131</v>
      </c>
      <c r="H556" s="35" t="s">
        <v>1349</v>
      </c>
    </row>
    <row r="557" spans="1:8" ht="27" customHeight="1" x14ac:dyDescent="0.2">
      <c r="A557" s="31" t="s">
        <v>1345</v>
      </c>
      <c r="B557" s="32" t="s">
        <v>1346</v>
      </c>
      <c r="C557" s="32" t="s">
        <v>776</v>
      </c>
      <c r="D557" s="32" t="s">
        <v>812</v>
      </c>
      <c r="E557" s="33" t="s">
        <v>777</v>
      </c>
      <c r="F557" s="34">
        <v>451281</v>
      </c>
      <c r="G557" s="34">
        <v>451281</v>
      </c>
      <c r="H557" s="35" t="s">
        <v>1350</v>
      </c>
    </row>
    <row r="558" spans="1:8" ht="27" customHeight="1" x14ac:dyDescent="0.2">
      <c r="A558" s="31" t="s">
        <v>1345</v>
      </c>
      <c r="B558" s="32" t="s">
        <v>1346</v>
      </c>
      <c r="C558" s="32" t="s">
        <v>779</v>
      </c>
      <c r="D558" s="32" t="s">
        <v>876</v>
      </c>
      <c r="E558" s="33" t="s">
        <v>780</v>
      </c>
      <c r="F558" s="34">
        <v>66109</v>
      </c>
      <c r="G558" s="34">
        <v>66109</v>
      </c>
      <c r="H558" s="35" t="s">
        <v>802</v>
      </c>
    </row>
    <row r="559" spans="1:8" ht="27" customHeight="1" x14ac:dyDescent="0.2">
      <c r="A559" s="31" t="s">
        <v>1351</v>
      </c>
      <c r="B559" s="32" t="s">
        <v>1352</v>
      </c>
      <c r="C559" s="32" t="s">
        <v>763</v>
      </c>
      <c r="D559" s="32" t="s">
        <v>1353</v>
      </c>
      <c r="E559" s="33" t="s">
        <v>764</v>
      </c>
      <c r="F559" s="34">
        <v>0</v>
      </c>
      <c r="G559" s="34">
        <v>500000</v>
      </c>
      <c r="H559" s="35" t="s">
        <v>1354</v>
      </c>
    </row>
    <row r="560" spans="1:8" ht="27" customHeight="1" x14ac:dyDescent="0.2">
      <c r="A560" s="31" t="s">
        <v>1351</v>
      </c>
      <c r="B560" s="32" t="s">
        <v>1352</v>
      </c>
      <c r="C560" s="32" t="s">
        <v>766</v>
      </c>
      <c r="D560" s="32" t="s">
        <v>832</v>
      </c>
      <c r="E560" s="33" t="s">
        <v>768</v>
      </c>
      <c r="F560" s="34">
        <v>727185</v>
      </c>
      <c r="G560" s="34">
        <v>727285</v>
      </c>
      <c r="H560" s="35" t="s">
        <v>1355</v>
      </c>
    </row>
    <row r="561" spans="1:8" ht="27" customHeight="1" x14ac:dyDescent="0.2">
      <c r="A561" s="31" t="s">
        <v>1351</v>
      </c>
      <c r="B561" s="32" t="s">
        <v>1352</v>
      </c>
      <c r="C561" s="32" t="s">
        <v>770</v>
      </c>
      <c r="D561" s="32" t="s">
        <v>1136</v>
      </c>
      <c r="E561" s="33" t="s">
        <v>772</v>
      </c>
      <c r="F561" s="34">
        <v>334668</v>
      </c>
      <c r="G561" s="34">
        <v>284769</v>
      </c>
      <c r="H561" s="35" t="s">
        <v>1356</v>
      </c>
    </row>
    <row r="562" spans="1:8" ht="27" customHeight="1" x14ac:dyDescent="0.2">
      <c r="A562" s="31" t="s">
        <v>1351</v>
      </c>
      <c r="B562" s="32" t="s">
        <v>1352</v>
      </c>
      <c r="C562" s="32" t="s">
        <v>779</v>
      </c>
      <c r="D562" s="32" t="s">
        <v>876</v>
      </c>
      <c r="E562" s="33" t="s">
        <v>780</v>
      </c>
      <c r="F562" s="34">
        <v>202694</v>
      </c>
      <c r="G562" s="34">
        <v>202794</v>
      </c>
      <c r="H562" s="35" t="s">
        <v>1357</v>
      </c>
    </row>
    <row r="563" spans="1:8" ht="27" customHeight="1" x14ac:dyDescent="0.2">
      <c r="A563" s="31" t="s">
        <v>1351</v>
      </c>
      <c r="B563" s="32" t="s">
        <v>1352</v>
      </c>
      <c r="C563" s="32" t="s">
        <v>782</v>
      </c>
      <c r="D563" s="32" t="s">
        <v>813</v>
      </c>
      <c r="E563" s="33" t="s">
        <v>784</v>
      </c>
      <c r="F563" s="34">
        <v>304039</v>
      </c>
      <c r="G563" s="34">
        <v>304139</v>
      </c>
      <c r="H563" s="35" t="s">
        <v>1358</v>
      </c>
    </row>
    <row r="564" spans="1:8" ht="27" customHeight="1" x14ac:dyDescent="0.2">
      <c r="A564" s="31" t="s">
        <v>1359</v>
      </c>
      <c r="B564" s="32" t="s">
        <v>1360</v>
      </c>
      <c r="C564" s="32" t="s">
        <v>763</v>
      </c>
      <c r="D564" s="32" t="s">
        <v>1361</v>
      </c>
      <c r="E564" s="33" t="s">
        <v>764</v>
      </c>
      <c r="F564" s="34">
        <v>0</v>
      </c>
      <c r="G564" s="34">
        <v>177406</v>
      </c>
      <c r="H564" s="35" t="s">
        <v>1362</v>
      </c>
    </row>
    <row r="565" spans="1:8" ht="27" customHeight="1" x14ac:dyDescent="0.2">
      <c r="A565" s="31" t="s">
        <v>1359</v>
      </c>
      <c r="B565" s="32" t="s">
        <v>1360</v>
      </c>
      <c r="C565" s="32" t="s">
        <v>770</v>
      </c>
      <c r="D565" s="32" t="s">
        <v>1363</v>
      </c>
      <c r="E565" s="33" t="s">
        <v>772</v>
      </c>
      <c r="F565" s="34">
        <v>105519</v>
      </c>
      <c r="G565" s="34">
        <v>105519</v>
      </c>
      <c r="H565" s="35" t="s">
        <v>1364</v>
      </c>
    </row>
    <row r="566" spans="1:8" ht="27" customHeight="1" x14ac:dyDescent="0.2">
      <c r="A566" s="31" t="s">
        <v>1359</v>
      </c>
      <c r="B566" s="32" t="s">
        <v>1360</v>
      </c>
      <c r="C566" s="32" t="s">
        <v>844</v>
      </c>
      <c r="D566" s="32" t="s">
        <v>1365</v>
      </c>
      <c r="E566" s="33" t="s">
        <v>846</v>
      </c>
      <c r="F566" s="34">
        <v>22580</v>
      </c>
      <c r="G566" s="34">
        <v>22580</v>
      </c>
      <c r="H566" s="35" t="s">
        <v>1366</v>
      </c>
    </row>
    <row r="567" spans="1:8" ht="27" customHeight="1" x14ac:dyDescent="0.2">
      <c r="A567" s="31" t="s">
        <v>1359</v>
      </c>
      <c r="B567" s="32" t="s">
        <v>1360</v>
      </c>
      <c r="C567" s="32" t="s">
        <v>796</v>
      </c>
      <c r="D567" s="32" t="s">
        <v>796</v>
      </c>
      <c r="E567" s="33" t="s">
        <v>823</v>
      </c>
      <c r="F567" s="34">
        <v>300035</v>
      </c>
      <c r="G567" s="34">
        <v>300035</v>
      </c>
      <c r="H567" s="35" t="s">
        <v>1367</v>
      </c>
    </row>
    <row r="568" spans="1:8" ht="27" customHeight="1" x14ac:dyDescent="0.2">
      <c r="A568" s="31" t="s">
        <v>1359</v>
      </c>
      <c r="B568" s="32" t="s">
        <v>1360</v>
      </c>
      <c r="C568" s="32" t="s">
        <v>779</v>
      </c>
      <c r="D568" s="32" t="s">
        <v>876</v>
      </c>
      <c r="E568" s="33" t="s">
        <v>780</v>
      </c>
      <c r="F568" s="34">
        <v>600585</v>
      </c>
      <c r="G568" s="34">
        <v>385585</v>
      </c>
      <c r="H568" s="35" t="s">
        <v>1368</v>
      </c>
    </row>
    <row r="569" spans="1:8" ht="27" customHeight="1" x14ac:dyDescent="0.2">
      <c r="A569" s="31" t="s">
        <v>1359</v>
      </c>
      <c r="B569" s="32" t="s">
        <v>1360</v>
      </c>
      <c r="C569" s="32" t="s">
        <v>782</v>
      </c>
      <c r="D569" s="32" t="s">
        <v>1369</v>
      </c>
      <c r="E569" s="33" t="s">
        <v>784</v>
      </c>
      <c r="F569" s="34">
        <v>221672</v>
      </c>
      <c r="G569" s="34">
        <v>221672</v>
      </c>
      <c r="H569" s="35" t="s">
        <v>1370</v>
      </c>
    </row>
    <row r="570" spans="1:8" ht="27" customHeight="1" x14ac:dyDescent="0.2">
      <c r="A570" s="31" t="s">
        <v>1371</v>
      </c>
      <c r="B570" s="32" t="s">
        <v>1372</v>
      </c>
      <c r="C570" s="32" t="s">
        <v>770</v>
      </c>
      <c r="D570" s="32" t="s">
        <v>820</v>
      </c>
      <c r="E570" s="33" t="s">
        <v>772</v>
      </c>
      <c r="F570" s="34">
        <v>69688</v>
      </c>
      <c r="G570" s="34">
        <v>69913</v>
      </c>
      <c r="H570" s="35" t="s">
        <v>1373</v>
      </c>
    </row>
    <row r="571" spans="1:8" ht="27" customHeight="1" x14ac:dyDescent="0.2">
      <c r="A571" s="31" t="s">
        <v>1371</v>
      </c>
      <c r="B571" s="32" t="s">
        <v>1372</v>
      </c>
      <c r="C571" s="32" t="s">
        <v>796</v>
      </c>
      <c r="D571" s="32" t="s">
        <v>1095</v>
      </c>
      <c r="E571" s="33" t="s">
        <v>772</v>
      </c>
      <c r="F571" s="34">
        <v>61331</v>
      </c>
      <c r="G571" s="34">
        <v>261871</v>
      </c>
      <c r="H571" s="35" t="s">
        <v>1374</v>
      </c>
    </row>
    <row r="572" spans="1:8" ht="27" customHeight="1" x14ac:dyDescent="0.2">
      <c r="A572" s="31" t="s">
        <v>1371</v>
      </c>
      <c r="B572" s="32" t="s">
        <v>1372</v>
      </c>
      <c r="C572" s="32" t="s">
        <v>779</v>
      </c>
      <c r="D572" s="32" t="s">
        <v>876</v>
      </c>
      <c r="E572" s="33" t="s">
        <v>780</v>
      </c>
      <c r="F572" s="34">
        <v>137096</v>
      </c>
      <c r="G572" s="34">
        <v>137546</v>
      </c>
      <c r="H572" s="35" t="s">
        <v>1375</v>
      </c>
    </row>
    <row r="573" spans="1:8" ht="27" customHeight="1" x14ac:dyDescent="0.2">
      <c r="A573" s="31" t="s">
        <v>1371</v>
      </c>
      <c r="B573" s="32" t="s">
        <v>1372</v>
      </c>
      <c r="C573" s="32" t="s">
        <v>782</v>
      </c>
      <c r="D573" s="32" t="s">
        <v>813</v>
      </c>
      <c r="E573" s="33" t="s">
        <v>784</v>
      </c>
      <c r="F573" s="34">
        <v>63426</v>
      </c>
      <c r="G573" s="34">
        <v>63546</v>
      </c>
      <c r="H573" s="35" t="s">
        <v>1376</v>
      </c>
    </row>
    <row r="574" spans="1:8" ht="27" customHeight="1" x14ac:dyDescent="0.2">
      <c r="A574" s="31" t="s">
        <v>1377</v>
      </c>
      <c r="B574" s="32" t="s">
        <v>1378</v>
      </c>
      <c r="C574" s="32" t="s">
        <v>770</v>
      </c>
      <c r="D574" s="32" t="s">
        <v>1260</v>
      </c>
      <c r="E574" s="33" t="s">
        <v>772</v>
      </c>
      <c r="F574" s="34">
        <v>1498436</v>
      </c>
      <c r="G574" s="34">
        <v>1498436</v>
      </c>
      <c r="H574" s="35" t="s">
        <v>1379</v>
      </c>
    </row>
    <row r="575" spans="1:8" ht="27" customHeight="1" x14ac:dyDescent="0.2">
      <c r="A575" s="31" t="s">
        <v>1377</v>
      </c>
      <c r="B575" s="32" t="s">
        <v>1378</v>
      </c>
      <c r="C575" s="32" t="s">
        <v>884</v>
      </c>
      <c r="D575" s="32" t="s">
        <v>1162</v>
      </c>
      <c r="E575" s="33" t="s">
        <v>885</v>
      </c>
      <c r="F575" s="34">
        <v>250226</v>
      </c>
      <c r="G575" s="34">
        <v>250226</v>
      </c>
      <c r="H575" s="35" t="s">
        <v>1380</v>
      </c>
    </row>
    <row r="576" spans="1:8" ht="27" customHeight="1" x14ac:dyDescent="0.2">
      <c r="A576" s="31" t="s">
        <v>1377</v>
      </c>
      <c r="B576" s="32" t="s">
        <v>1378</v>
      </c>
      <c r="C576" s="32" t="s">
        <v>796</v>
      </c>
      <c r="D576" s="32" t="s">
        <v>862</v>
      </c>
      <c r="E576" s="33" t="s">
        <v>772</v>
      </c>
      <c r="F576" s="34">
        <v>611522</v>
      </c>
      <c r="G576" s="34">
        <v>611522</v>
      </c>
      <c r="H576" s="35" t="s">
        <v>1381</v>
      </c>
    </row>
    <row r="577" spans="1:8" ht="27" customHeight="1" x14ac:dyDescent="0.2">
      <c r="A577" s="31" t="s">
        <v>1377</v>
      </c>
      <c r="B577" s="32" t="s">
        <v>1378</v>
      </c>
      <c r="C577" s="32" t="s">
        <v>776</v>
      </c>
      <c r="D577" s="32" t="s">
        <v>776</v>
      </c>
      <c r="E577" s="33" t="s">
        <v>777</v>
      </c>
      <c r="F577" s="34">
        <v>83194</v>
      </c>
      <c r="G577" s="34">
        <v>83194</v>
      </c>
      <c r="H577" s="35" t="s">
        <v>1382</v>
      </c>
    </row>
    <row r="578" spans="1:8" ht="27" customHeight="1" x14ac:dyDescent="0.2">
      <c r="A578" s="31" t="s">
        <v>1377</v>
      </c>
      <c r="B578" s="32" t="s">
        <v>1378</v>
      </c>
      <c r="C578" s="32" t="s">
        <v>779</v>
      </c>
      <c r="D578" s="32" t="s">
        <v>927</v>
      </c>
      <c r="E578" s="33" t="s">
        <v>780</v>
      </c>
      <c r="F578" s="34">
        <v>203481</v>
      </c>
      <c r="G578" s="34">
        <v>195481</v>
      </c>
      <c r="H578" s="35" t="s">
        <v>1383</v>
      </c>
    </row>
    <row r="579" spans="1:8" ht="27" customHeight="1" x14ac:dyDescent="0.2">
      <c r="A579" s="31" t="s">
        <v>1384</v>
      </c>
      <c r="B579" s="32" t="s">
        <v>271</v>
      </c>
      <c r="C579" s="32" t="s">
        <v>763</v>
      </c>
      <c r="D579" s="32" t="s">
        <v>816</v>
      </c>
      <c r="E579" s="33" t="s">
        <v>764</v>
      </c>
      <c r="F579" s="34">
        <v>6715688</v>
      </c>
      <c r="G579" s="34">
        <v>6717000</v>
      </c>
      <c r="H579" s="35" t="s">
        <v>1385</v>
      </c>
    </row>
    <row r="580" spans="1:8" ht="27" customHeight="1" x14ac:dyDescent="0.2">
      <c r="A580" s="31" t="s">
        <v>1384</v>
      </c>
      <c r="B580" s="32" t="s">
        <v>271</v>
      </c>
      <c r="C580" s="32" t="s">
        <v>770</v>
      </c>
      <c r="D580" s="32" t="s">
        <v>820</v>
      </c>
      <c r="E580" s="33" t="s">
        <v>772</v>
      </c>
      <c r="F580" s="34">
        <v>730137</v>
      </c>
      <c r="G580" s="34">
        <v>900000</v>
      </c>
      <c r="H580" s="35" t="s">
        <v>1386</v>
      </c>
    </row>
    <row r="581" spans="1:8" ht="27" customHeight="1" x14ac:dyDescent="0.2">
      <c r="A581" s="31" t="s">
        <v>1384</v>
      </c>
      <c r="B581" s="32" t="s">
        <v>271</v>
      </c>
      <c r="C581" s="32" t="s">
        <v>844</v>
      </c>
      <c r="D581" s="32" t="s">
        <v>972</v>
      </c>
      <c r="E581" s="33" t="s">
        <v>846</v>
      </c>
      <c r="F581" s="34">
        <v>1704323</v>
      </c>
      <c r="G581" s="34">
        <v>1706000</v>
      </c>
      <c r="H581" s="35" t="s">
        <v>1387</v>
      </c>
    </row>
    <row r="582" spans="1:8" ht="27" customHeight="1" x14ac:dyDescent="0.2">
      <c r="A582" s="31" t="s">
        <v>1384</v>
      </c>
      <c r="B582" s="32" t="s">
        <v>271</v>
      </c>
      <c r="C582" s="32" t="s">
        <v>773</v>
      </c>
      <c r="D582" s="32" t="s">
        <v>973</v>
      </c>
      <c r="E582" s="33" t="s">
        <v>775</v>
      </c>
      <c r="F582" s="34">
        <v>0</v>
      </c>
      <c r="G582" s="34">
        <v>500000</v>
      </c>
      <c r="H582" s="35" t="s">
        <v>1388</v>
      </c>
    </row>
    <row r="583" spans="1:8" ht="27" customHeight="1" x14ac:dyDescent="0.2">
      <c r="A583" s="31" t="s">
        <v>1384</v>
      </c>
      <c r="B583" s="32" t="s">
        <v>271</v>
      </c>
      <c r="C583" s="32" t="s">
        <v>796</v>
      </c>
      <c r="D583" s="32" t="s">
        <v>811</v>
      </c>
      <c r="E583" s="33" t="s">
        <v>823</v>
      </c>
      <c r="F583" s="34">
        <v>7017799</v>
      </c>
      <c r="G583" s="34">
        <v>7019000</v>
      </c>
      <c r="H583" s="35" t="s">
        <v>1389</v>
      </c>
    </row>
    <row r="584" spans="1:8" ht="27" customHeight="1" x14ac:dyDescent="0.2">
      <c r="A584" s="31" t="s">
        <v>1384</v>
      </c>
      <c r="B584" s="32" t="s">
        <v>271</v>
      </c>
      <c r="C584" s="32" t="s">
        <v>776</v>
      </c>
      <c r="D584" s="32" t="s">
        <v>812</v>
      </c>
      <c r="E584" s="33" t="s">
        <v>777</v>
      </c>
      <c r="F584" s="34">
        <v>351488</v>
      </c>
      <c r="G584" s="34">
        <v>353000</v>
      </c>
      <c r="H584" s="35" t="s">
        <v>1390</v>
      </c>
    </row>
    <row r="585" spans="1:8" ht="27" customHeight="1" x14ac:dyDescent="0.2">
      <c r="A585" s="31" t="s">
        <v>1384</v>
      </c>
      <c r="B585" s="32" t="s">
        <v>271</v>
      </c>
      <c r="C585" s="32" t="s">
        <v>798</v>
      </c>
      <c r="D585" s="32" t="s">
        <v>1014</v>
      </c>
      <c r="E585" s="33" t="s">
        <v>800</v>
      </c>
      <c r="F585" s="34">
        <v>427830</v>
      </c>
      <c r="G585" s="34">
        <v>429000</v>
      </c>
      <c r="H585" s="35" t="s">
        <v>1389</v>
      </c>
    </row>
    <row r="586" spans="1:8" ht="27" customHeight="1" x14ac:dyDescent="0.2">
      <c r="A586" s="31" t="s">
        <v>1384</v>
      </c>
      <c r="B586" s="32" t="s">
        <v>271</v>
      </c>
      <c r="C586" s="32" t="s">
        <v>779</v>
      </c>
      <c r="D586" s="32" t="s">
        <v>876</v>
      </c>
      <c r="E586" s="33" t="s">
        <v>780</v>
      </c>
      <c r="F586" s="34">
        <v>606600</v>
      </c>
      <c r="G586" s="34">
        <v>608000</v>
      </c>
      <c r="H586" s="35" t="s">
        <v>1389</v>
      </c>
    </row>
    <row r="587" spans="1:8" ht="27" customHeight="1" x14ac:dyDescent="0.2">
      <c r="A587" s="31" t="s">
        <v>1384</v>
      </c>
      <c r="B587" s="32" t="s">
        <v>271</v>
      </c>
      <c r="C587" s="32" t="s">
        <v>782</v>
      </c>
      <c r="D587" s="32" t="s">
        <v>1391</v>
      </c>
      <c r="E587" s="33" t="s">
        <v>784</v>
      </c>
      <c r="F587" s="34">
        <v>1244476</v>
      </c>
      <c r="G587" s="34">
        <v>1800000</v>
      </c>
      <c r="H587" s="35" t="s">
        <v>1392</v>
      </c>
    </row>
    <row r="588" spans="1:8" ht="27" customHeight="1" x14ac:dyDescent="0.2">
      <c r="A588" s="31" t="s">
        <v>1393</v>
      </c>
      <c r="B588" s="32" t="s">
        <v>375</v>
      </c>
      <c r="C588" s="32" t="s">
        <v>763</v>
      </c>
      <c r="D588" s="32" t="s">
        <v>816</v>
      </c>
      <c r="E588" s="33" t="s">
        <v>764</v>
      </c>
      <c r="F588" s="34">
        <v>2817362</v>
      </c>
      <c r="G588" s="34">
        <v>4221822</v>
      </c>
      <c r="H588" s="35" t="s">
        <v>1394</v>
      </c>
    </row>
    <row r="589" spans="1:8" ht="27" customHeight="1" x14ac:dyDescent="0.2">
      <c r="A589" s="31" t="s">
        <v>1393</v>
      </c>
      <c r="B589" s="32" t="s">
        <v>375</v>
      </c>
      <c r="C589" s="32" t="s">
        <v>770</v>
      </c>
      <c r="D589" s="32" t="s">
        <v>1395</v>
      </c>
      <c r="E589" s="33" t="s">
        <v>772</v>
      </c>
      <c r="F589" s="34">
        <v>1626443</v>
      </c>
      <c r="G589" s="34">
        <v>1541797</v>
      </c>
      <c r="H589" s="35" t="s">
        <v>1396</v>
      </c>
    </row>
    <row r="590" spans="1:8" ht="27" customHeight="1" x14ac:dyDescent="0.2">
      <c r="A590" s="31" t="s">
        <v>1393</v>
      </c>
      <c r="B590" s="32" t="s">
        <v>375</v>
      </c>
      <c r="C590" s="32" t="s">
        <v>796</v>
      </c>
      <c r="D590" s="32" t="s">
        <v>954</v>
      </c>
      <c r="E590" s="33" t="s">
        <v>823</v>
      </c>
      <c r="F590" s="34">
        <v>4648757</v>
      </c>
      <c r="G590" s="34">
        <v>5167132</v>
      </c>
      <c r="H590" s="35" t="s">
        <v>1397</v>
      </c>
    </row>
    <row r="591" spans="1:8" ht="27" customHeight="1" x14ac:dyDescent="0.2">
      <c r="A591" s="31" t="s">
        <v>1393</v>
      </c>
      <c r="B591" s="32" t="s">
        <v>375</v>
      </c>
      <c r="C591" s="32" t="s">
        <v>776</v>
      </c>
      <c r="D591" s="32" t="s">
        <v>914</v>
      </c>
      <c r="E591" s="33" t="s">
        <v>777</v>
      </c>
      <c r="F591" s="34">
        <v>639794</v>
      </c>
      <c r="G591" s="34">
        <v>944881</v>
      </c>
      <c r="H591" s="35" t="s">
        <v>1398</v>
      </c>
    </row>
    <row r="592" spans="1:8" ht="27" customHeight="1" x14ac:dyDescent="0.2">
      <c r="A592" s="31" t="s">
        <v>1393</v>
      </c>
      <c r="B592" s="32" t="s">
        <v>375</v>
      </c>
      <c r="C592" s="32" t="s">
        <v>779</v>
      </c>
      <c r="D592" s="32" t="s">
        <v>876</v>
      </c>
      <c r="E592" s="33" t="s">
        <v>780</v>
      </c>
      <c r="F592" s="34">
        <v>342773</v>
      </c>
      <c r="G592" s="34">
        <v>342900</v>
      </c>
      <c r="H592" s="35" t="s">
        <v>1399</v>
      </c>
    </row>
    <row r="593" spans="1:8" ht="27" customHeight="1" x14ac:dyDescent="0.2">
      <c r="A593" s="31" t="s">
        <v>1400</v>
      </c>
      <c r="B593" s="32" t="s">
        <v>1401</v>
      </c>
      <c r="C593" s="32" t="s">
        <v>763</v>
      </c>
      <c r="D593" s="32" t="s">
        <v>816</v>
      </c>
      <c r="E593" s="33" t="s">
        <v>764</v>
      </c>
      <c r="F593" s="34">
        <v>300298</v>
      </c>
      <c r="G593" s="34">
        <v>550400</v>
      </c>
      <c r="H593" s="35" t="s">
        <v>1402</v>
      </c>
    </row>
    <row r="594" spans="1:8" ht="27" customHeight="1" x14ac:dyDescent="0.2">
      <c r="A594" s="31" t="s">
        <v>1400</v>
      </c>
      <c r="B594" s="32" t="s">
        <v>1401</v>
      </c>
      <c r="C594" s="32" t="s">
        <v>766</v>
      </c>
      <c r="D594" s="32" t="s">
        <v>818</v>
      </c>
      <c r="E594" s="33" t="s">
        <v>768</v>
      </c>
      <c r="F594" s="34">
        <v>684339</v>
      </c>
      <c r="G594" s="34">
        <v>684400</v>
      </c>
      <c r="H594" s="35" t="s">
        <v>1403</v>
      </c>
    </row>
    <row r="595" spans="1:8" ht="27" customHeight="1" x14ac:dyDescent="0.2">
      <c r="A595" s="31" t="s">
        <v>1400</v>
      </c>
      <c r="B595" s="32" t="s">
        <v>1401</v>
      </c>
      <c r="C595" s="32" t="s">
        <v>770</v>
      </c>
      <c r="D595" s="32" t="s">
        <v>1404</v>
      </c>
      <c r="E595" s="33" t="s">
        <v>772</v>
      </c>
      <c r="F595" s="34">
        <v>258553</v>
      </c>
      <c r="G595" s="34">
        <v>258582</v>
      </c>
      <c r="H595" s="35" t="s">
        <v>1402</v>
      </c>
    </row>
    <row r="596" spans="1:8" ht="27" customHeight="1" x14ac:dyDescent="0.2">
      <c r="A596" s="31" t="s">
        <v>1400</v>
      </c>
      <c r="B596" s="32" t="s">
        <v>1401</v>
      </c>
      <c r="C596" s="32" t="s">
        <v>860</v>
      </c>
      <c r="D596" s="32" t="s">
        <v>911</v>
      </c>
      <c r="E596" s="33" t="s">
        <v>861</v>
      </c>
      <c r="F596" s="34">
        <v>205359</v>
      </c>
      <c r="G596" s="34">
        <v>205370</v>
      </c>
      <c r="H596" s="35" t="s">
        <v>1402</v>
      </c>
    </row>
    <row r="597" spans="1:8" ht="27" customHeight="1" x14ac:dyDescent="0.2">
      <c r="A597" s="31" t="s">
        <v>1400</v>
      </c>
      <c r="B597" s="32" t="s">
        <v>1401</v>
      </c>
      <c r="C597" s="32" t="s">
        <v>796</v>
      </c>
      <c r="D597" s="32" t="s">
        <v>811</v>
      </c>
      <c r="E597" s="33" t="s">
        <v>772</v>
      </c>
      <c r="F597" s="34">
        <v>1167537</v>
      </c>
      <c r="G597" s="34">
        <v>1167840</v>
      </c>
      <c r="H597" s="35" t="s">
        <v>1405</v>
      </c>
    </row>
    <row r="598" spans="1:8" ht="27" customHeight="1" x14ac:dyDescent="0.2">
      <c r="A598" s="31" t="s">
        <v>1400</v>
      </c>
      <c r="B598" s="32" t="s">
        <v>1401</v>
      </c>
      <c r="C598" s="32" t="s">
        <v>776</v>
      </c>
      <c r="D598" s="32" t="s">
        <v>1406</v>
      </c>
      <c r="E598" s="33" t="s">
        <v>777</v>
      </c>
      <c r="F598" s="34">
        <v>1891</v>
      </c>
      <c r="G598" s="34">
        <v>17900</v>
      </c>
      <c r="H598" s="35" t="s">
        <v>1402</v>
      </c>
    </row>
    <row r="599" spans="1:8" ht="27" customHeight="1" x14ac:dyDescent="0.2">
      <c r="A599" s="31" t="s">
        <v>1400</v>
      </c>
      <c r="B599" s="32" t="s">
        <v>1401</v>
      </c>
      <c r="C599" s="32" t="s">
        <v>779</v>
      </c>
      <c r="D599" s="32" t="s">
        <v>876</v>
      </c>
      <c r="E599" s="33" t="s">
        <v>780</v>
      </c>
      <c r="F599" s="34">
        <v>175956</v>
      </c>
      <c r="G599" s="34">
        <v>175966</v>
      </c>
      <c r="H599" s="35" t="s">
        <v>1402</v>
      </c>
    </row>
    <row r="600" spans="1:8" ht="27" customHeight="1" x14ac:dyDescent="0.2">
      <c r="A600" s="31" t="s">
        <v>1400</v>
      </c>
      <c r="B600" s="32" t="s">
        <v>1401</v>
      </c>
      <c r="C600" s="32" t="s">
        <v>782</v>
      </c>
      <c r="D600" s="32" t="s">
        <v>813</v>
      </c>
      <c r="E600" s="33" t="s">
        <v>784</v>
      </c>
      <c r="F600" s="34">
        <v>695903</v>
      </c>
      <c r="G600" s="34">
        <v>696000</v>
      </c>
      <c r="H600" s="35" t="s">
        <v>1407</v>
      </c>
    </row>
    <row r="601" spans="1:8" ht="27" customHeight="1" x14ac:dyDescent="0.2">
      <c r="A601" s="31" t="s">
        <v>1408</v>
      </c>
      <c r="B601" s="32" t="s">
        <v>1409</v>
      </c>
      <c r="C601" s="32" t="s">
        <v>763</v>
      </c>
      <c r="D601" s="32" t="s">
        <v>763</v>
      </c>
      <c r="E601" s="33" t="s">
        <v>764</v>
      </c>
      <c r="F601" s="34">
        <v>1235997</v>
      </c>
      <c r="G601" s="34">
        <v>1235997</v>
      </c>
      <c r="H601" s="35" t="s">
        <v>859</v>
      </c>
    </row>
    <row r="602" spans="1:8" ht="27" customHeight="1" x14ac:dyDescent="0.2">
      <c r="A602" s="31" t="s">
        <v>1408</v>
      </c>
      <c r="B602" s="32" t="s">
        <v>1409</v>
      </c>
      <c r="C602" s="32" t="s">
        <v>770</v>
      </c>
      <c r="D602" s="32" t="s">
        <v>770</v>
      </c>
      <c r="E602" s="33" t="s">
        <v>772</v>
      </c>
      <c r="F602" s="34">
        <v>1050000</v>
      </c>
      <c r="G602" s="34">
        <v>850000</v>
      </c>
      <c r="H602" s="35" t="s">
        <v>1410</v>
      </c>
    </row>
    <row r="603" spans="1:8" ht="27" customHeight="1" x14ac:dyDescent="0.2">
      <c r="A603" s="31" t="s">
        <v>1408</v>
      </c>
      <c r="B603" s="32" t="s">
        <v>1409</v>
      </c>
      <c r="C603" s="32" t="s">
        <v>796</v>
      </c>
      <c r="D603" s="32" t="s">
        <v>1411</v>
      </c>
      <c r="E603" s="33" t="s">
        <v>823</v>
      </c>
      <c r="F603" s="34">
        <v>492241</v>
      </c>
      <c r="G603" s="34">
        <v>475000</v>
      </c>
      <c r="H603" s="35" t="s">
        <v>859</v>
      </c>
    </row>
    <row r="604" spans="1:8" ht="27" customHeight="1" x14ac:dyDescent="0.2">
      <c r="A604" s="31" t="s">
        <v>1408</v>
      </c>
      <c r="B604" s="32" t="s">
        <v>1409</v>
      </c>
      <c r="C604" s="32" t="s">
        <v>779</v>
      </c>
      <c r="D604" s="32" t="s">
        <v>802</v>
      </c>
      <c r="E604" s="33" t="s">
        <v>780</v>
      </c>
      <c r="F604" s="34">
        <v>93516</v>
      </c>
      <c r="G604" s="34">
        <v>93516</v>
      </c>
      <c r="H604" s="35" t="s">
        <v>859</v>
      </c>
    </row>
    <row r="605" spans="1:8" ht="27" customHeight="1" x14ac:dyDescent="0.2">
      <c r="A605" s="31" t="s">
        <v>1408</v>
      </c>
      <c r="B605" s="32" t="s">
        <v>1409</v>
      </c>
      <c r="C605" s="32" t="s">
        <v>782</v>
      </c>
      <c r="D605" s="32" t="s">
        <v>782</v>
      </c>
      <c r="E605" s="33" t="s">
        <v>784</v>
      </c>
      <c r="F605" s="34">
        <v>160000</v>
      </c>
      <c r="G605" s="34">
        <v>160000</v>
      </c>
      <c r="H605" s="35" t="s">
        <v>859</v>
      </c>
    </row>
    <row r="606" spans="1:8" ht="27" customHeight="1" x14ac:dyDescent="0.2">
      <c r="A606" s="31" t="s">
        <v>1412</v>
      </c>
      <c r="B606" s="32" t="s">
        <v>1413</v>
      </c>
      <c r="C606" s="32" t="s">
        <v>763</v>
      </c>
      <c r="D606" s="32" t="s">
        <v>1414</v>
      </c>
      <c r="E606" s="33" t="s">
        <v>764</v>
      </c>
      <c r="F606" s="34">
        <v>0</v>
      </c>
      <c r="G606" s="34">
        <v>0</v>
      </c>
      <c r="H606" s="35" t="s">
        <v>1415</v>
      </c>
    </row>
    <row r="607" spans="1:8" ht="27" customHeight="1" x14ac:dyDescent="0.2">
      <c r="A607" s="31" t="s">
        <v>1412</v>
      </c>
      <c r="B607" s="32" t="s">
        <v>1413</v>
      </c>
      <c r="C607" s="32" t="s">
        <v>763</v>
      </c>
      <c r="D607" s="32" t="s">
        <v>1416</v>
      </c>
      <c r="E607" s="33" t="s">
        <v>764</v>
      </c>
      <c r="F607" s="34">
        <v>880062</v>
      </c>
      <c r="G607" s="34">
        <v>1380282</v>
      </c>
      <c r="H607" s="35" t="s">
        <v>1417</v>
      </c>
    </row>
    <row r="608" spans="1:8" ht="27" customHeight="1" x14ac:dyDescent="0.2">
      <c r="A608" s="31" t="s">
        <v>1412</v>
      </c>
      <c r="B608" s="32" t="s">
        <v>1413</v>
      </c>
      <c r="C608" s="32" t="s">
        <v>766</v>
      </c>
      <c r="D608" s="32" t="s">
        <v>765</v>
      </c>
      <c r="E608" s="33" t="s">
        <v>768</v>
      </c>
      <c r="F608" s="34">
        <v>0</v>
      </c>
      <c r="G608" s="34">
        <v>0</v>
      </c>
      <c r="H608" s="35" t="s">
        <v>765</v>
      </c>
    </row>
    <row r="609" spans="1:8" ht="27" customHeight="1" x14ac:dyDescent="0.2">
      <c r="A609" s="31" t="s">
        <v>1412</v>
      </c>
      <c r="B609" s="32" t="s">
        <v>1413</v>
      </c>
      <c r="C609" s="32" t="s">
        <v>770</v>
      </c>
      <c r="D609" s="32" t="s">
        <v>1196</v>
      </c>
      <c r="E609" s="33" t="s">
        <v>772</v>
      </c>
      <c r="F609" s="34">
        <v>456348</v>
      </c>
      <c r="G609" s="34">
        <v>456462</v>
      </c>
      <c r="H609" s="35" t="s">
        <v>1418</v>
      </c>
    </row>
    <row r="610" spans="1:8" ht="27" customHeight="1" x14ac:dyDescent="0.2">
      <c r="A610" s="31" t="s">
        <v>1412</v>
      </c>
      <c r="B610" s="32" t="s">
        <v>1413</v>
      </c>
      <c r="C610" s="32" t="s">
        <v>884</v>
      </c>
      <c r="D610" s="32" t="s">
        <v>765</v>
      </c>
      <c r="E610" s="33" t="s">
        <v>885</v>
      </c>
      <c r="F610" s="34">
        <v>0</v>
      </c>
      <c r="G610" s="34">
        <v>0</v>
      </c>
      <c r="H610" s="35" t="s">
        <v>765</v>
      </c>
    </row>
    <row r="611" spans="1:8" ht="27" customHeight="1" x14ac:dyDescent="0.2">
      <c r="A611" s="31" t="s">
        <v>1412</v>
      </c>
      <c r="B611" s="32" t="s">
        <v>1413</v>
      </c>
      <c r="C611" s="32" t="s">
        <v>844</v>
      </c>
      <c r="D611" s="32" t="s">
        <v>765</v>
      </c>
      <c r="E611" s="33" t="s">
        <v>846</v>
      </c>
      <c r="F611" s="34">
        <v>0</v>
      </c>
      <c r="G611" s="34">
        <v>0</v>
      </c>
      <c r="H611" s="35" t="s">
        <v>765</v>
      </c>
    </row>
    <row r="612" spans="1:8" ht="27" customHeight="1" x14ac:dyDescent="0.2">
      <c r="A612" s="31" t="s">
        <v>1412</v>
      </c>
      <c r="B612" s="32" t="s">
        <v>1413</v>
      </c>
      <c r="C612" s="32" t="s">
        <v>773</v>
      </c>
      <c r="D612" s="32" t="s">
        <v>1199</v>
      </c>
      <c r="E612" s="33" t="s">
        <v>775</v>
      </c>
      <c r="F612" s="34">
        <v>171044</v>
      </c>
      <c r="G612" s="34">
        <v>171087</v>
      </c>
      <c r="H612" s="35" t="s">
        <v>1419</v>
      </c>
    </row>
    <row r="613" spans="1:8" ht="27" customHeight="1" x14ac:dyDescent="0.2">
      <c r="A613" s="31" t="s">
        <v>1412</v>
      </c>
      <c r="B613" s="32" t="s">
        <v>1413</v>
      </c>
      <c r="C613" s="32" t="s">
        <v>886</v>
      </c>
      <c r="D613" s="32" t="s">
        <v>1420</v>
      </c>
      <c r="E613" s="33" t="s">
        <v>887</v>
      </c>
      <c r="F613" s="34">
        <v>132413</v>
      </c>
      <c r="G613" s="34">
        <v>132446</v>
      </c>
      <c r="H613" s="35" t="s">
        <v>1419</v>
      </c>
    </row>
    <row r="614" spans="1:8" ht="27" customHeight="1" x14ac:dyDescent="0.2">
      <c r="A614" s="31" t="s">
        <v>1412</v>
      </c>
      <c r="B614" s="32" t="s">
        <v>1413</v>
      </c>
      <c r="C614" s="32" t="s">
        <v>860</v>
      </c>
      <c r="D614" s="32" t="s">
        <v>1174</v>
      </c>
      <c r="E614" s="33" t="s">
        <v>861</v>
      </c>
      <c r="F614" s="34">
        <v>0</v>
      </c>
      <c r="G614" s="34">
        <v>0</v>
      </c>
      <c r="H614" s="35" t="s">
        <v>1421</v>
      </c>
    </row>
    <row r="615" spans="1:8" ht="27" customHeight="1" x14ac:dyDescent="0.2">
      <c r="A615" s="31" t="s">
        <v>1412</v>
      </c>
      <c r="B615" s="32" t="s">
        <v>1413</v>
      </c>
      <c r="C615" s="32" t="s">
        <v>796</v>
      </c>
      <c r="D615" s="32" t="s">
        <v>1422</v>
      </c>
      <c r="E615" s="33" t="s">
        <v>823</v>
      </c>
      <c r="F615" s="34">
        <v>750420</v>
      </c>
      <c r="G615" s="34">
        <v>750608</v>
      </c>
      <c r="H615" s="35" t="s">
        <v>1423</v>
      </c>
    </row>
    <row r="616" spans="1:8" ht="27" customHeight="1" x14ac:dyDescent="0.2">
      <c r="A616" s="31" t="s">
        <v>1412</v>
      </c>
      <c r="B616" s="32" t="s">
        <v>1413</v>
      </c>
      <c r="C616" s="32" t="s">
        <v>776</v>
      </c>
      <c r="D616" s="32" t="s">
        <v>1424</v>
      </c>
      <c r="E616" s="33" t="s">
        <v>777</v>
      </c>
      <c r="F616" s="34">
        <v>90095</v>
      </c>
      <c r="G616" s="34">
        <v>90118</v>
      </c>
      <c r="H616" s="35" t="s">
        <v>1425</v>
      </c>
    </row>
    <row r="617" spans="1:8" ht="27" customHeight="1" x14ac:dyDescent="0.2">
      <c r="A617" s="31" t="s">
        <v>1412</v>
      </c>
      <c r="B617" s="32" t="s">
        <v>1413</v>
      </c>
      <c r="C617" s="32" t="s">
        <v>798</v>
      </c>
      <c r="D617" s="32" t="s">
        <v>765</v>
      </c>
      <c r="E617" s="33" t="s">
        <v>800</v>
      </c>
      <c r="F617" s="34">
        <v>0</v>
      </c>
      <c r="G617" s="34">
        <v>0</v>
      </c>
      <c r="H617" s="35" t="s">
        <v>765</v>
      </c>
    </row>
    <row r="618" spans="1:8" ht="27" customHeight="1" x14ac:dyDescent="0.2">
      <c r="A618" s="31" t="s">
        <v>1412</v>
      </c>
      <c r="B618" s="32" t="s">
        <v>1413</v>
      </c>
      <c r="C618" s="32" t="s">
        <v>892</v>
      </c>
      <c r="D618" s="32" t="s">
        <v>765</v>
      </c>
      <c r="E618" s="33" t="s">
        <v>893</v>
      </c>
      <c r="F618" s="34">
        <v>0</v>
      </c>
      <c r="G618" s="34">
        <v>0</v>
      </c>
      <c r="H618" s="35" t="s">
        <v>765</v>
      </c>
    </row>
    <row r="619" spans="1:8" ht="27" customHeight="1" x14ac:dyDescent="0.2">
      <c r="A619" s="31" t="s">
        <v>1412</v>
      </c>
      <c r="B619" s="32" t="s">
        <v>1413</v>
      </c>
      <c r="C619" s="32" t="s">
        <v>779</v>
      </c>
      <c r="D619" s="32" t="s">
        <v>1426</v>
      </c>
      <c r="E619" s="33" t="s">
        <v>780</v>
      </c>
      <c r="F619" s="34">
        <v>39099</v>
      </c>
      <c r="G619" s="34">
        <v>38996</v>
      </c>
      <c r="H619" s="35" t="s">
        <v>1427</v>
      </c>
    </row>
    <row r="620" spans="1:8" ht="27" customHeight="1" x14ac:dyDescent="0.2">
      <c r="A620" s="31" t="s">
        <v>1412</v>
      </c>
      <c r="B620" s="32" t="s">
        <v>1413</v>
      </c>
      <c r="C620" s="32" t="s">
        <v>782</v>
      </c>
      <c r="D620" s="32" t="s">
        <v>1428</v>
      </c>
      <c r="E620" s="33" t="s">
        <v>784</v>
      </c>
      <c r="F620" s="34">
        <v>153078</v>
      </c>
      <c r="G620" s="34">
        <v>153117</v>
      </c>
      <c r="H620" s="35" t="s">
        <v>1421</v>
      </c>
    </row>
    <row r="621" spans="1:8" ht="27" customHeight="1" x14ac:dyDescent="0.2">
      <c r="A621" s="31" t="s">
        <v>1429</v>
      </c>
      <c r="B621" s="32" t="s">
        <v>1430</v>
      </c>
      <c r="C621" s="32" t="s">
        <v>763</v>
      </c>
      <c r="D621" s="32" t="s">
        <v>763</v>
      </c>
      <c r="E621" s="33" t="s">
        <v>764</v>
      </c>
      <c r="F621" s="34">
        <v>900000</v>
      </c>
      <c r="G621" s="34">
        <v>900000</v>
      </c>
      <c r="H621" s="35" t="s">
        <v>1431</v>
      </c>
    </row>
    <row r="622" spans="1:8" ht="27" customHeight="1" x14ac:dyDescent="0.2">
      <c r="A622" s="31" t="s">
        <v>1429</v>
      </c>
      <c r="B622" s="32" t="s">
        <v>1430</v>
      </c>
      <c r="C622" s="32" t="s">
        <v>766</v>
      </c>
      <c r="D622" s="32" t="s">
        <v>870</v>
      </c>
      <c r="E622" s="33" t="s">
        <v>768</v>
      </c>
      <c r="F622" s="34">
        <v>687048</v>
      </c>
      <c r="G622" s="34">
        <v>530185</v>
      </c>
      <c r="H622" s="35" t="s">
        <v>1432</v>
      </c>
    </row>
    <row r="623" spans="1:8" ht="27" customHeight="1" x14ac:dyDescent="0.2">
      <c r="A623" s="31" t="s">
        <v>1429</v>
      </c>
      <c r="B623" s="32" t="s">
        <v>1430</v>
      </c>
      <c r="C623" s="32" t="s">
        <v>770</v>
      </c>
      <c r="D623" s="32" t="s">
        <v>1136</v>
      </c>
      <c r="E623" s="33" t="s">
        <v>772</v>
      </c>
      <c r="F623" s="34">
        <v>2783265</v>
      </c>
      <c r="G623" s="34">
        <v>2783265</v>
      </c>
      <c r="H623" s="35" t="s">
        <v>859</v>
      </c>
    </row>
    <row r="624" spans="1:8" ht="27" customHeight="1" x14ac:dyDescent="0.2">
      <c r="A624" s="31" t="s">
        <v>1429</v>
      </c>
      <c r="B624" s="32" t="s">
        <v>1430</v>
      </c>
      <c r="C624" s="32" t="s">
        <v>773</v>
      </c>
      <c r="D624" s="32" t="s">
        <v>1433</v>
      </c>
      <c r="E624" s="33" t="s">
        <v>775</v>
      </c>
      <c r="F624" s="34">
        <v>0</v>
      </c>
      <c r="G624" s="34">
        <v>15000</v>
      </c>
      <c r="H624" s="35" t="s">
        <v>1434</v>
      </c>
    </row>
    <row r="625" spans="1:8" ht="27" customHeight="1" x14ac:dyDescent="0.2">
      <c r="A625" s="31" t="s">
        <v>1429</v>
      </c>
      <c r="B625" s="32" t="s">
        <v>1430</v>
      </c>
      <c r="C625" s="32" t="s">
        <v>796</v>
      </c>
      <c r="D625" s="32" t="s">
        <v>1095</v>
      </c>
      <c r="E625" s="33" t="s">
        <v>823</v>
      </c>
      <c r="F625" s="34">
        <v>1281268</v>
      </c>
      <c r="G625" s="34">
        <v>1081268</v>
      </c>
      <c r="H625" s="35" t="s">
        <v>1435</v>
      </c>
    </row>
    <row r="626" spans="1:8" ht="27" customHeight="1" x14ac:dyDescent="0.2">
      <c r="A626" s="31" t="s">
        <v>1429</v>
      </c>
      <c r="B626" s="32" t="s">
        <v>1430</v>
      </c>
      <c r="C626" s="32" t="s">
        <v>776</v>
      </c>
      <c r="D626" s="32" t="s">
        <v>1436</v>
      </c>
      <c r="E626" s="33" t="s">
        <v>777</v>
      </c>
      <c r="F626" s="34">
        <v>16334</v>
      </c>
      <c r="G626" s="34">
        <v>16334</v>
      </c>
      <c r="H626" s="35" t="s">
        <v>1437</v>
      </c>
    </row>
    <row r="627" spans="1:8" ht="27" customHeight="1" x14ac:dyDescent="0.2">
      <c r="A627" s="31" t="s">
        <v>1429</v>
      </c>
      <c r="B627" s="32" t="s">
        <v>1430</v>
      </c>
      <c r="C627" s="32" t="s">
        <v>779</v>
      </c>
      <c r="D627" s="32" t="s">
        <v>802</v>
      </c>
      <c r="E627" s="33" t="s">
        <v>780</v>
      </c>
      <c r="F627" s="34">
        <v>32242</v>
      </c>
      <c r="G627" s="34">
        <v>32242</v>
      </c>
      <c r="H627" s="35" t="s">
        <v>1438</v>
      </c>
    </row>
    <row r="628" spans="1:8" ht="27" customHeight="1" x14ac:dyDescent="0.2">
      <c r="A628" s="31" t="s">
        <v>1439</v>
      </c>
      <c r="B628" s="32" t="s">
        <v>1440</v>
      </c>
      <c r="C628" s="32" t="s">
        <v>763</v>
      </c>
      <c r="D628" s="32" t="s">
        <v>816</v>
      </c>
      <c r="E628" s="33" t="s">
        <v>764</v>
      </c>
      <c r="F628" s="34">
        <v>3169072</v>
      </c>
      <c r="G628" s="34">
        <v>3169072</v>
      </c>
      <c r="H628" s="35" t="s">
        <v>859</v>
      </c>
    </row>
    <row r="629" spans="1:8" ht="27" customHeight="1" x14ac:dyDescent="0.2">
      <c r="A629" s="31" t="s">
        <v>1439</v>
      </c>
      <c r="B629" s="32" t="s">
        <v>1440</v>
      </c>
      <c r="C629" s="32" t="s">
        <v>766</v>
      </c>
      <c r="D629" s="32" t="s">
        <v>767</v>
      </c>
      <c r="E629" s="33" t="s">
        <v>768</v>
      </c>
      <c r="F629" s="34">
        <v>408476</v>
      </c>
      <c r="G629" s="34">
        <v>349975</v>
      </c>
      <c r="H629" s="35" t="s">
        <v>1441</v>
      </c>
    </row>
    <row r="630" spans="1:8" ht="27" customHeight="1" x14ac:dyDescent="0.2">
      <c r="A630" s="31" t="s">
        <v>1439</v>
      </c>
      <c r="B630" s="32" t="s">
        <v>1440</v>
      </c>
      <c r="C630" s="32" t="s">
        <v>770</v>
      </c>
      <c r="D630" s="32" t="s">
        <v>1136</v>
      </c>
      <c r="E630" s="33" t="s">
        <v>772</v>
      </c>
      <c r="F630" s="34">
        <v>755976</v>
      </c>
      <c r="G630" s="34">
        <v>755976</v>
      </c>
      <c r="H630" s="35" t="s">
        <v>1442</v>
      </c>
    </row>
    <row r="631" spans="1:8" ht="27" customHeight="1" x14ac:dyDescent="0.2">
      <c r="A631" s="31" t="s">
        <v>1439</v>
      </c>
      <c r="B631" s="32" t="s">
        <v>1440</v>
      </c>
      <c r="C631" s="32" t="s">
        <v>773</v>
      </c>
      <c r="D631" s="32" t="s">
        <v>973</v>
      </c>
      <c r="E631" s="33" t="s">
        <v>775</v>
      </c>
      <c r="F631" s="34">
        <v>176386</v>
      </c>
      <c r="G631" s="34">
        <v>176386</v>
      </c>
      <c r="H631" s="35" t="s">
        <v>1443</v>
      </c>
    </row>
    <row r="632" spans="1:8" ht="27" customHeight="1" x14ac:dyDescent="0.2">
      <c r="A632" s="31" t="s">
        <v>1439</v>
      </c>
      <c r="B632" s="32" t="s">
        <v>1440</v>
      </c>
      <c r="C632" s="32" t="s">
        <v>860</v>
      </c>
      <c r="D632" s="32" t="s">
        <v>911</v>
      </c>
      <c r="E632" s="33" t="s">
        <v>861</v>
      </c>
      <c r="F632" s="34">
        <v>2053</v>
      </c>
      <c r="G632" s="34">
        <v>2053</v>
      </c>
      <c r="H632" s="35" t="s">
        <v>859</v>
      </c>
    </row>
    <row r="633" spans="1:8" ht="27" customHeight="1" x14ac:dyDescent="0.2">
      <c r="A633" s="31" t="s">
        <v>1439</v>
      </c>
      <c r="B633" s="32" t="s">
        <v>1440</v>
      </c>
      <c r="C633" s="32" t="s">
        <v>796</v>
      </c>
      <c r="D633" s="32" t="s">
        <v>1444</v>
      </c>
      <c r="E633" s="33" t="s">
        <v>772</v>
      </c>
      <c r="F633" s="34">
        <v>1147089</v>
      </c>
      <c r="G633" s="34">
        <v>1047089</v>
      </c>
      <c r="H633" s="35" t="s">
        <v>1445</v>
      </c>
    </row>
    <row r="634" spans="1:8" ht="27" customHeight="1" x14ac:dyDescent="0.2">
      <c r="A634" s="31" t="s">
        <v>1439</v>
      </c>
      <c r="B634" s="32" t="s">
        <v>1440</v>
      </c>
      <c r="C634" s="32" t="s">
        <v>776</v>
      </c>
      <c r="D634" s="32" t="s">
        <v>812</v>
      </c>
      <c r="E634" s="33" t="s">
        <v>777</v>
      </c>
      <c r="F634" s="34">
        <v>250279</v>
      </c>
      <c r="G634" s="34">
        <v>250279</v>
      </c>
      <c r="H634" s="35" t="s">
        <v>859</v>
      </c>
    </row>
    <row r="635" spans="1:8" ht="27" customHeight="1" x14ac:dyDescent="0.2">
      <c r="A635" s="31" t="s">
        <v>1439</v>
      </c>
      <c r="B635" s="32" t="s">
        <v>1440</v>
      </c>
      <c r="C635" s="32" t="s">
        <v>779</v>
      </c>
      <c r="D635" s="32" t="s">
        <v>826</v>
      </c>
      <c r="E635" s="33" t="s">
        <v>780</v>
      </c>
      <c r="F635" s="34">
        <v>430803</v>
      </c>
      <c r="G635" s="34">
        <v>430803</v>
      </c>
      <c r="H635" s="35" t="s">
        <v>1446</v>
      </c>
    </row>
    <row r="636" spans="1:8" ht="27" customHeight="1" x14ac:dyDescent="0.2">
      <c r="A636" s="31" t="s">
        <v>1447</v>
      </c>
      <c r="B636" s="32" t="s">
        <v>1448</v>
      </c>
      <c r="C636" s="32" t="s">
        <v>763</v>
      </c>
      <c r="D636" s="32" t="s">
        <v>816</v>
      </c>
      <c r="E636" s="33" t="s">
        <v>764</v>
      </c>
      <c r="F636" s="34">
        <v>1856120</v>
      </c>
      <c r="G636" s="34">
        <v>1854818</v>
      </c>
      <c r="H636" s="35" t="s">
        <v>1449</v>
      </c>
    </row>
    <row r="637" spans="1:8" ht="27" customHeight="1" x14ac:dyDescent="0.2">
      <c r="A637" s="31" t="s">
        <v>1447</v>
      </c>
      <c r="B637" s="32" t="s">
        <v>1448</v>
      </c>
      <c r="C637" s="32" t="s">
        <v>770</v>
      </c>
      <c r="D637" s="32" t="s">
        <v>1136</v>
      </c>
      <c r="E637" s="33" t="s">
        <v>772</v>
      </c>
      <c r="F637" s="34">
        <v>292828</v>
      </c>
      <c r="G637" s="34">
        <v>292828</v>
      </c>
      <c r="H637" s="35" t="s">
        <v>1450</v>
      </c>
    </row>
    <row r="638" spans="1:8" ht="27" customHeight="1" x14ac:dyDescent="0.2">
      <c r="A638" s="31" t="s">
        <v>1447</v>
      </c>
      <c r="B638" s="32" t="s">
        <v>1448</v>
      </c>
      <c r="C638" s="32" t="s">
        <v>831</v>
      </c>
      <c r="D638" s="32" t="s">
        <v>1017</v>
      </c>
      <c r="E638" s="33" t="s">
        <v>1451</v>
      </c>
      <c r="F638" s="34">
        <v>312091</v>
      </c>
      <c r="G638" s="34">
        <v>312091</v>
      </c>
      <c r="H638" s="35" t="s">
        <v>1452</v>
      </c>
    </row>
    <row r="639" spans="1:8" ht="27" customHeight="1" x14ac:dyDescent="0.2">
      <c r="A639" s="31" t="s">
        <v>1447</v>
      </c>
      <c r="B639" s="32" t="s">
        <v>1448</v>
      </c>
      <c r="C639" s="32" t="s">
        <v>860</v>
      </c>
      <c r="D639" s="32" t="s">
        <v>911</v>
      </c>
      <c r="E639" s="33" t="s">
        <v>861</v>
      </c>
      <c r="F639" s="34">
        <v>380976</v>
      </c>
      <c r="G639" s="34">
        <v>380976</v>
      </c>
      <c r="H639" s="35" t="s">
        <v>1453</v>
      </c>
    </row>
    <row r="640" spans="1:8" ht="27" customHeight="1" x14ac:dyDescent="0.2">
      <c r="A640" s="31" t="s">
        <v>1447</v>
      </c>
      <c r="B640" s="32" t="s">
        <v>1448</v>
      </c>
      <c r="C640" s="32" t="s">
        <v>779</v>
      </c>
      <c r="D640" s="32" t="s">
        <v>826</v>
      </c>
      <c r="E640" s="33" t="s">
        <v>780</v>
      </c>
      <c r="F640" s="34">
        <v>236042</v>
      </c>
      <c r="G640" s="34">
        <v>236042</v>
      </c>
      <c r="H640" s="35" t="s">
        <v>1454</v>
      </c>
    </row>
    <row r="641" spans="1:8" ht="27" customHeight="1" x14ac:dyDescent="0.2">
      <c r="A641" s="31" t="s">
        <v>1455</v>
      </c>
      <c r="B641" s="32" t="s">
        <v>1456</v>
      </c>
      <c r="C641" s="32" t="s">
        <v>763</v>
      </c>
      <c r="D641" s="32" t="s">
        <v>816</v>
      </c>
      <c r="E641" s="33" t="s">
        <v>764</v>
      </c>
      <c r="F641" s="34">
        <v>1000000</v>
      </c>
      <c r="G641" s="34">
        <v>1500000</v>
      </c>
      <c r="H641" s="35" t="s">
        <v>1457</v>
      </c>
    </row>
    <row r="642" spans="1:8" ht="27" customHeight="1" x14ac:dyDescent="0.2">
      <c r="A642" s="31" t="s">
        <v>1455</v>
      </c>
      <c r="B642" s="32" t="s">
        <v>1456</v>
      </c>
      <c r="C642" s="32" t="s">
        <v>770</v>
      </c>
      <c r="D642" s="32" t="s">
        <v>810</v>
      </c>
      <c r="E642" s="33" t="s">
        <v>772</v>
      </c>
      <c r="F642" s="34">
        <v>177257</v>
      </c>
      <c r="G642" s="34">
        <v>177257</v>
      </c>
      <c r="H642" s="35" t="s">
        <v>1457</v>
      </c>
    </row>
    <row r="643" spans="1:8" ht="27" customHeight="1" x14ac:dyDescent="0.2">
      <c r="A643" s="31" t="s">
        <v>1455</v>
      </c>
      <c r="B643" s="32" t="s">
        <v>1456</v>
      </c>
      <c r="C643" s="32" t="s">
        <v>844</v>
      </c>
      <c r="D643" s="32" t="s">
        <v>972</v>
      </c>
      <c r="E643" s="33" t="s">
        <v>846</v>
      </c>
      <c r="F643" s="34">
        <v>390801</v>
      </c>
      <c r="G643" s="34">
        <v>390801</v>
      </c>
      <c r="H643" s="35" t="s">
        <v>1457</v>
      </c>
    </row>
    <row r="644" spans="1:8" ht="27" customHeight="1" x14ac:dyDescent="0.2">
      <c r="A644" s="31" t="s">
        <v>1455</v>
      </c>
      <c r="B644" s="32" t="s">
        <v>1456</v>
      </c>
      <c r="C644" s="32" t="s">
        <v>773</v>
      </c>
      <c r="D644" s="32" t="s">
        <v>973</v>
      </c>
      <c r="E644" s="33" t="s">
        <v>775</v>
      </c>
      <c r="F644" s="34">
        <v>253372</v>
      </c>
      <c r="G644" s="34">
        <v>253372</v>
      </c>
      <c r="H644" s="35" t="s">
        <v>1457</v>
      </c>
    </row>
    <row r="645" spans="1:8" ht="27" customHeight="1" x14ac:dyDescent="0.2">
      <c r="A645" s="31" t="s">
        <v>1455</v>
      </c>
      <c r="B645" s="32" t="s">
        <v>1456</v>
      </c>
      <c r="C645" s="32" t="s">
        <v>796</v>
      </c>
      <c r="D645" s="32" t="s">
        <v>811</v>
      </c>
      <c r="E645" s="33" t="s">
        <v>823</v>
      </c>
      <c r="F645" s="34">
        <v>685788</v>
      </c>
      <c r="G645" s="34">
        <v>685788</v>
      </c>
      <c r="H645" s="35" t="s">
        <v>1457</v>
      </c>
    </row>
    <row r="646" spans="1:8" ht="27" customHeight="1" x14ac:dyDescent="0.2">
      <c r="A646" s="31" t="s">
        <v>1455</v>
      </c>
      <c r="B646" s="32" t="s">
        <v>1456</v>
      </c>
      <c r="C646" s="32" t="s">
        <v>776</v>
      </c>
      <c r="D646" s="32" t="s">
        <v>776</v>
      </c>
      <c r="E646" s="33" t="s">
        <v>777</v>
      </c>
      <c r="F646" s="34">
        <v>56382</v>
      </c>
      <c r="G646" s="34">
        <v>56382</v>
      </c>
      <c r="H646" s="35" t="s">
        <v>1457</v>
      </c>
    </row>
    <row r="647" spans="1:8" ht="27" customHeight="1" x14ac:dyDescent="0.2">
      <c r="A647" s="31" t="s">
        <v>1455</v>
      </c>
      <c r="B647" s="32" t="s">
        <v>1456</v>
      </c>
      <c r="C647" s="32" t="s">
        <v>779</v>
      </c>
      <c r="D647" s="32" t="s">
        <v>826</v>
      </c>
      <c r="E647" s="33" t="s">
        <v>780</v>
      </c>
      <c r="F647" s="34">
        <v>121071</v>
      </c>
      <c r="G647" s="34">
        <v>121071</v>
      </c>
      <c r="H647" s="35" t="s">
        <v>1457</v>
      </c>
    </row>
    <row r="648" spans="1:8" ht="27" customHeight="1" x14ac:dyDescent="0.2">
      <c r="A648" s="31" t="s">
        <v>1458</v>
      </c>
      <c r="B648" s="32" t="s">
        <v>1459</v>
      </c>
      <c r="C648" s="32" t="s">
        <v>763</v>
      </c>
      <c r="D648" s="32" t="s">
        <v>816</v>
      </c>
      <c r="E648" s="33" t="s">
        <v>764</v>
      </c>
      <c r="F648" s="34">
        <v>739483</v>
      </c>
      <c r="G648" s="34">
        <v>739483</v>
      </c>
      <c r="H648" s="35" t="s">
        <v>1460</v>
      </c>
    </row>
    <row r="649" spans="1:8" ht="27" customHeight="1" x14ac:dyDescent="0.2">
      <c r="A649" s="31" t="s">
        <v>1458</v>
      </c>
      <c r="B649" s="32" t="s">
        <v>1459</v>
      </c>
      <c r="C649" s="32" t="s">
        <v>766</v>
      </c>
      <c r="D649" s="32" t="s">
        <v>765</v>
      </c>
      <c r="E649" s="33" t="s">
        <v>768</v>
      </c>
      <c r="F649" s="34">
        <v>0</v>
      </c>
      <c r="G649" s="34">
        <v>0</v>
      </c>
      <c r="H649" s="35" t="s">
        <v>765</v>
      </c>
    </row>
    <row r="650" spans="1:8" ht="27" customHeight="1" x14ac:dyDescent="0.2">
      <c r="A650" s="31" t="s">
        <v>1458</v>
      </c>
      <c r="B650" s="32" t="s">
        <v>1459</v>
      </c>
      <c r="C650" s="32" t="s">
        <v>770</v>
      </c>
      <c r="D650" s="32" t="s">
        <v>810</v>
      </c>
      <c r="E650" s="33" t="s">
        <v>772</v>
      </c>
      <c r="F650" s="34">
        <v>354184</v>
      </c>
      <c r="G650" s="34">
        <v>354184</v>
      </c>
      <c r="H650" s="35" t="s">
        <v>829</v>
      </c>
    </row>
    <row r="651" spans="1:8" ht="27" customHeight="1" x14ac:dyDescent="0.2">
      <c r="A651" s="31" t="s">
        <v>1458</v>
      </c>
      <c r="B651" s="32" t="s">
        <v>1459</v>
      </c>
      <c r="C651" s="32" t="s">
        <v>831</v>
      </c>
      <c r="D651" s="32" t="s">
        <v>767</v>
      </c>
      <c r="E651" s="33" t="s">
        <v>1461</v>
      </c>
      <c r="F651" s="34">
        <v>975978</v>
      </c>
      <c r="G651" s="34">
        <v>855024</v>
      </c>
      <c r="H651" s="35" t="s">
        <v>1462</v>
      </c>
    </row>
    <row r="652" spans="1:8" ht="27" customHeight="1" x14ac:dyDescent="0.2">
      <c r="A652" s="31" t="s">
        <v>1458</v>
      </c>
      <c r="B652" s="32" t="s">
        <v>1459</v>
      </c>
      <c r="C652" s="32" t="s">
        <v>796</v>
      </c>
      <c r="D652" s="32" t="s">
        <v>1463</v>
      </c>
      <c r="E652" s="33" t="s">
        <v>823</v>
      </c>
      <c r="F652" s="34">
        <v>1243000</v>
      </c>
      <c r="G652" s="34">
        <v>974364</v>
      </c>
      <c r="H652" s="35" t="s">
        <v>1464</v>
      </c>
    </row>
    <row r="653" spans="1:8" ht="27" customHeight="1" x14ac:dyDescent="0.2">
      <c r="A653" s="31" t="s">
        <v>1465</v>
      </c>
      <c r="B653" s="32" t="s">
        <v>1466</v>
      </c>
      <c r="C653" s="32" t="s">
        <v>763</v>
      </c>
      <c r="D653" s="32" t="s">
        <v>816</v>
      </c>
      <c r="E653" s="33" t="s">
        <v>764</v>
      </c>
      <c r="F653" s="34">
        <v>204572</v>
      </c>
      <c r="G653" s="34">
        <v>204572</v>
      </c>
      <c r="H653" s="35" t="s">
        <v>1467</v>
      </c>
    </row>
    <row r="654" spans="1:8" ht="27" customHeight="1" x14ac:dyDescent="0.2">
      <c r="A654" s="31" t="s">
        <v>1465</v>
      </c>
      <c r="B654" s="32" t="s">
        <v>1466</v>
      </c>
      <c r="C654" s="32" t="s">
        <v>770</v>
      </c>
      <c r="D654" s="32" t="s">
        <v>770</v>
      </c>
      <c r="E654" s="33" t="s">
        <v>772</v>
      </c>
      <c r="F654" s="34">
        <v>1054944</v>
      </c>
      <c r="G654" s="34">
        <v>954944</v>
      </c>
      <c r="H654" s="35" t="s">
        <v>1468</v>
      </c>
    </row>
    <row r="655" spans="1:8" ht="27" customHeight="1" x14ac:dyDescent="0.2">
      <c r="A655" s="31" t="s">
        <v>1465</v>
      </c>
      <c r="B655" s="32" t="s">
        <v>1466</v>
      </c>
      <c r="C655" s="32" t="s">
        <v>844</v>
      </c>
      <c r="D655" s="32" t="s">
        <v>844</v>
      </c>
      <c r="E655" s="33" t="s">
        <v>846</v>
      </c>
      <c r="F655" s="34">
        <v>6308</v>
      </c>
      <c r="G655" s="34">
        <v>6308</v>
      </c>
      <c r="H655" s="35" t="s">
        <v>1469</v>
      </c>
    </row>
    <row r="656" spans="1:8" ht="27" customHeight="1" x14ac:dyDescent="0.2">
      <c r="A656" s="31" t="s">
        <v>1465</v>
      </c>
      <c r="B656" s="32" t="s">
        <v>1466</v>
      </c>
      <c r="C656" s="32" t="s">
        <v>860</v>
      </c>
      <c r="D656" s="32" t="s">
        <v>911</v>
      </c>
      <c r="E656" s="33" t="s">
        <v>861</v>
      </c>
      <c r="F656" s="34">
        <v>100000</v>
      </c>
      <c r="G656" s="34">
        <v>100000</v>
      </c>
      <c r="H656" s="35" t="s">
        <v>1470</v>
      </c>
    </row>
    <row r="657" spans="1:8" ht="27" customHeight="1" x14ac:dyDescent="0.2">
      <c r="A657" s="31" t="s">
        <v>1465</v>
      </c>
      <c r="B657" s="32" t="s">
        <v>1466</v>
      </c>
      <c r="C657" s="32" t="s">
        <v>796</v>
      </c>
      <c r="D657" s="32" t="s">
        <v>811</v>
      </c>
      <c r="E657" s="33" t="s">
        <v>823</v>
      </c>
      <c r="F657" s="34">
        <v>730000</v>
      </c>
      <c r="G657" s="34">
        <v>730000</v>
      </c>
      <c r="H657" s="35" t="s">
        <v>1471</v>
      </c>
    </row>
    <row r="658" spans="1:8" ht="27" customHeight="1" x14ac:dyDescent="0.2">
      <c r="A658" s="31" t="s">
        <v>1465</v>
      </c>
      <c r="B658" s="32" t="s">
        <v>1466</v>
      </c>
      <c r="C658" s="32" t="s">
        <v>776</v>
      </c>
      <c r="D658" s="32" t="s">
        <v>776</v>
      </c>
      <c r="E658" s="33" t="s">
        <v>777</v>
      </c>
      <c r="F658" s="34">
        <v>24140</v>
      </c>
      <c r="G658" s="34">
        <v>24140</v>
      </c>
      <c r="H658" s="35" t="s">
        <v>1472</v>
      </c>
    </row>
    <row r="659" spans="1:8" ht="27" customHeight="1" x14ac:dyDescent="0.2">
      <c r="A659" s="31" t="s">
        <v>1465</v>
      </c>
      <c r="B659" s="32" t="s">
        <v>1466</v>
      </c>
      <c r="C659" s="32" t="s">
        <v>779</v>
      </c>
      <c r="D659" s="32" t="s">
        <v>826</v>
      </c>
      <c r="E659" s="33" t="s">
        <v>780</v>
      </c>
      <c r="F659" s="34">
        <v>99809</v>
      </c>
      <c r="G659" s="34">
        <v>99809</v>
      </c>
      <c r="H659" s="35" t="s">
        <v>1473</v>
      </c>
    </row>
    <row r="660" spans="1:8" ht="27" customHeight="1" x14ac:dyDescent="0.2">
      <c r="A660" s="31" t="s">
        <v>1474</v>
      </c>
      <c r="B660" s="32" t="s">
        <v>1475</v>
      </c>
      <c r="C660" s="32" t="s">
        <v>770</v>
      </c>
      <c r="D660" s="32" t="s">
        <v>1476</v>
      </c>
      <c r="E660" s="33" t="s">
        <v>772</v>
      </c>
      <c r="F660" s="34">
        <v>425000</v>
      </c>
      <c r="G660" s="34">
        <v>425000</v>
      </c>
      <c r="H660" s="35" t="s">
        <v>1477</v>
      </c>
    </row>
    <row r="661" spans="1:8" ht="27" customHeight="1" x14ac:dyDescent="0.2">
      <c r="A661" s="31" t="s">
        <v>1478</v>
      </c>
      <c r="B661" s="32" t="s">
        <v>1479</v>
      </c>
      <c r="C661" s="32" t="s">
        <v>763</v>
      </c>
      <c r="D661" s="32" t="s">
        <v>816</v>
      </c>
      <c r="E661" s="33" t="s">
        <v>764</v>
      </c>
      <c r="F661" s="34">
        <v>551919</v>
      </c>
      <c r="G661" s="34">
        <v>555000</v>
      </c>
      <c r="H661" s="35" t="s">
        <v>1480</v>
      </c>
    </row>
    <row r="662" spans="1:8" ht="27" customHeight="1" x14ac:dyDescent="0.2">
      <c r="A662" s="31" t="s">
        <v>1478</v>
      </c>
      <c r="B662" s="32" t="s">
        <v>1479</v>
      </c>
      <c r="C662" s="32" t="s">
        <v>770</v>
      </c>
      <c r="D662" s="32" t="s">
        <v>1481</v>
      </c>
      <c r="E662" s="33" t="s">
        <v>772</v>
      </c>
      <c r="F662" s="34">
        <v>2700551</v>
      </c>
      <c r="G662" s="34">
        <v>2800000</v>
      </c>
      <c r="H662" s="35" t="s">
        <v>1482</v>
      </c>
    </row>
    <row r="663" spans="1:8" ht="27" customHeight="1" x14ac:dyDescent="0.2">
      <c r="A663" s="31" t="s">
        <v>1478</v>
      </c>
      <c r="B663" s="32" t="s">
        <v>1479</v>
      </c>
      <c r="C663" s="32" t="s">
        <v>844</v>
      </c>
      <c r="D663" s="32" t="s">
        <v>1162</v>
      </c>
      <c r="E663" s="33" t="s">
        <v>846</v>
      </c>
      <c r="F663" s="34">
        <v>25315</v>
      </c>
      <c r="G663" s="34">
        <v>25360</v>
      </c>
      <c r="H663" s="35" t="s">
        <v>1483</v>
      </c>
    </row>
    <row r="664" spans="1:8" ht="27" customHeight="1" x14ac:dyDescent="0.2">
      <c r="A664" s="31" t="s">
        <v>1478</v>
      </c>
      <c r="B664" s="32" t="s">
        <v>1479</v>
      </c>
      <c r="C664" s="32" t="s">
        <v>796</v>
      </c>
      <c r="D664" s="32" t="s">
        <v>1484</v>
      </c>
      <c r="E664" s="33" t="s">
        <v>823</v>
      </c>
      <c r="F664" s="34">
        <v>576681</v>
      </c>
      <c r="G664" s="34">
        <v>580000</v>
      </c>
      <c r="H664" s="35" t="s">
        <v>1485</v>
      </c>
    </row>
    <row r="665" spans="1:8" ht="27" customHeight="1" x14ac:dyDescent="0.2">
      <c r="A665" s="31" t="s">
        <v>1478</v>
      </c>
      <c r="B665" s="32" t="s">
        <v>1479</v>
      </c>
      <c r="C665" s="32" t="s">
        <v>776</v>
      </c>
      <c r="D665" s="32" t="s">
        <v>914</v>
      </c>
      <c r="E665" s="33" t="s">
        <v>777</v>
      </c>
      <c r="F665" s="34">
        <v>1868095</v>
      </c>
      <c r="G665" s="34">
        <v>1868095</v>
      </c>
      <c r="H665" s="35" t="s">
        <v>1486</v>
      </c>
    </row>
    <row r="666" spans="1:8" ht="27" customHeight="1" x14ac:dyDescent="0.2">
      <c r="A666" s="31" t="s">
        <v>1478</v>
      </c>
      <c r="B666" s="32" t="s">
        <v>1479</v>
      </c>
      <c r="C666" s="32" t="s">
        <v>779</v>
      </c>
      <c r="D666" s="32" t="s">
        <v>927</v>
      </c>
      <c r="E666" s="33" t="s">
        <v>780</v>
      </c>
      <c r="F666" s="34">
        <v>96260</v>
      </c>
      <c r="G666" s="34">
        <v>100000</v>
      </c>
      <c r="H666" s="35" t="s">
        <v>1487</v>
      </c>
    </row>
    <row r="667" spans="1:8" ht="27" customHeight="1" x14ac:dyDescent="0.2">
      <c r="A667" s="31" t="s">
        <v>1478</v>
      </c>
      <c r="B667" s="32" t="s">
        <v>1479</v>
      </c>
      <c r="C667" s="32" t="s">
        <v>782</v>
      </c>
      <c r="D667" s="32" t="s">
        <v>1488</v>
      </c>
      <c r="E667" s="33" t="s">
        <v>784</v>
      </c>
      <c r="F667" s="34">
        <v>140133</v>
      </c>
      <c r="G667" s="34">
        <v>140000</v>
      </c>
      <c r="H667" s="35" t="s">
        <v>1489</v>
      </c>
    </row>
    <row r="668" spans="1:8" ht="27" customHeight="1" x14ac:dyDescent="0.2">
      <c r="A668" s="31" t="s">
        <v>1490</v>
      </c>
      <c r="B668" s="32" t="s">
        <v>1491</v>
      </c>
      <c r="C668" s="32" t="s">
        <v>844</v>
      </c>
      <c r="D668" s="32" t="s">
        <v>972</v>
      </c>
      <c r="E668" s="33" t="s">
        <v>846</v>
      </c>
      <c r="F668" s="34">
        <v>33332</v>
      </c>
      <c r="G668" s="34">
        <v>33400</v>
      </c>
      <c r="H668" s="35" t="s">
        <v>1492</v>
      </c>
    </row>
    <row r="669" spans="1:8" ht="27" customHeight="1" x14ac:dyDescent="0.2">
      <c r="A669" s="31" t="s">
        <v>1490</v>
      </c>
      <c r="B669" s="32" t="s">
        <v>1491</v>
      </c>
      <c r="C669" s="32" t="s">
        <v>796</v>
      </c>
      <c r="D669" s="32" t="s">
        <v>811</v>
      </c>
      <c r="E669" s="33" t="s">
        <v>823</v>
      </c>
      <c r="F669" s="34">
        <v>50503</v>
      </c>
      <c r="G669" s="34">
        <v>50540</v>
      </c>
      <c r="H669" s="35" t="s">
        <v>1493</v>
      </c>
    </row>
    <row r="670" spans="1:8" ht="27" customHeight="1" x14ac:dyDescent="0.2">
      <c r="A670" s="31" t="s">
        <v>1490</v>
      </c>
      <c r="B670" s="32" t="s">
        <v>1491</v>
      </c>
      <c r="C670" s="32" t="s">
        <v>776</v>
      </c>
      <c r="D670" s="32" t="s">
        <v>1494</v>
      </c>
      <c r="E670" s="33" t="s">
        <v>777</v>
      </c>
      <c r="F670" s="34">
        <v>44</v>
      </c>
      <c r="G670" s="34">
        <v>44</v>
      </c>
      <c r="H670" s="35" t="s">
        <v>1495</v>
      </c>
    </row>
    <row r="671" spans="1:8" ht="27" customHeight="1" x14ac:dyDescent="0.2">
      <c r="A671" s="31" t="s">
        <v>1490</v>
      </c>
      <c r="B671" s="32" t="s">
        <v>1491</v>
      </c>
      <c r="C671" s="32" t="s">
        <v>779</v>
      </c>
      <c r="D671" s="32" t="s">
        <v>876</v>
      </c>
      <c r="E671" s="33" t="s">
        <v>780</v>
      </c>
      <c r="F671" s="34">
        <v>38044</v>
      </c>
      <c r="G671" s="34">
        <v>38070</v>
      </c>
      <c r="H671" s="35" t="s">
        <v>1493</v>
      </c>
    </row>
    <row r="672" spans="1:8" ht="27" customHeight="1" x14ac:dyDescent="0.2">
      <c r="A672" s="31" t="s">
        <v>1496</v>
      </c>
      <c r="B672" s="32" t="s">
        <v>1497</v>
      </c>
      <c r="C672" s="32" t="s">
        <v>763</v>
      </c>
      <c r="D672" s="32" t="s">
        <v>763</v>
      </c>
      <c r="E672" s="33" t="s">
        <v>764</v>
      </c>
      <c r="F672" s="34">
        <v>330000</v>
      </c>
      <c r="G672" s="34">
        <v>33000</v>
      </c>
      <c r="H672" s="35" t="s">
        <v>1498</v>
      </c>
    </row>
    <row r="673" spans="1:8" ht="27" customHeight="1" x14ac:dyDescent="0.2">
      <c r="A673" s="31" t="s">
        <v>1496</v>
      </c>
      <c r="B673" s="32" t="s">
        <v>1497</v>
      </c>
      <c r="C673" s="32" t="s">
        <v>770</v>
      </c>
      <c r="D673" s="32" t="s">
        <v>1499</v>
      </c>
      <c r="E673" s="33" t="s">
        <v>772</v>
      </c>
      <c r="F673" s="34">
        <v>430387</v>
      </c>
      <c r="G673" s="34">
        <v>430387</v>
      </c>
      <c r="H673" s="35" t="s">
        <v>1500</v>
      </c>
    </row>
    <row r="674" spans="1:8" ht="27" customHeight="1" x14ac:dyDescent="0.2">
      <c r="A674" s="31" t="s">
        <v>1496</v>
      </c>
      <c r="B674" s="32" t="s">
        <v>1497</v>
      </c>
      <c r="C674" s="32" t="s">
        <v>796</v>
      </c>
      <c r="D674" s="32" t="s">
        <v>1050</v>
      </c>
      <c r="E674" s="33" t="s">
        <v>823</v>
      </c>
      <c r="F674" s="34">
        <v>20083</v>
      </c>
      <c r="G674" s="34">
        <v>20083</v>
      </c>
      <c r="H674" s="35" t="s">
        <v>1501</v>
      </c>
    </row>
    <row r="675" spans="1:8" ht="27" customHeight="1" x14ac:dyDescent="0.2">
      <c r="A675" s="31" t="s">
        <v>1496</v>
      </c>
      <c r="B675" s="32" t="s">
        <v>1497</v>
      </c>
      <c r="C675" s="32" t="s">
        <v>779</v>
      </c>
      <c r="D675" s="32" t="s">
        <v>802</v>
      </c>
      <c r="E675" s="33" t="s">
        <v>780</v>
      </c>
      <c r="F675" s="34">
        <v>15062</v>
      </c>
      <c r="G675" s="34">
        <v>15062</v>
      </c>
      <c r="H675" s="35" t="s">
        <v>1502</v>
      </c>
    </row>
    <row r="676" spans="1:8" ht="27" customHeight="1" x14ac:dyDescent="0.2">
      <c r="A676" s="31" t="s">
        <v>1503</v>
      </c>
      <c r="B676" s="32" t="s">
        <v>1504</v>
      </c>
      <c r="C676" s="32" t="s">
        <v>763</v>
      </c>
      <c r="D676" s="32" t="s">
        <v>1505</v>
      </c>
      <c r="E676" s="33" t="s">
        <v>764</v>
      </c>
      <c r="F676" s="34">
        <v>1765738</v>
      </c>
      <c r="G676" s="34">
        <v>21098</v>
      </c>
      <c r="H676" s="35" t="s">
        <v>1506</v>
      </c>
    </row>
    <row r="677" spans="1:8" ht="27" customHeight="1" x14ac:dyDescent="0.2">
      <c r="A677" s="31" t="s">
        <v>1503</v>
      </c>
      <c r="B677" s="32" t="s">
        <v>1504</v>
      </c>
      <c r="C677" s="32" t="s">
        <v>770</v>
      </c>
      <c r="D677" s="32" t="s">
        <v>810</v>
      </c>
      <c r="E677" s="33" t="s">
        <v>772</v>
      </c>
      <c r="F677" s="34">
        <v>1256472</v>
      </c>
      <c r="G677" s="34">
        <v>1258782</v>
      </c>
      <c r="H677" s="35" t="s">
        <v>1507</v>
      </c>
    </row>
    <row r="678" spans="1:8" ht="27" customHeight="1" x14ac:dyDescent="0.2">
      <c r="A678" s="31" t="s">
        <v>1503</v>
      </c>
      <c r="B678" s="32" t="s">
        <v>1504</v>
      </c>
      <c r="C678" s="32" t="s">
        <v>796</v>
      </c>
      <c r="D678" s="32" t="s">
        <v>1508</v>
      </c>
      <c r="E678" s="33" t="s">
        <v>823</v>
      </c>
      <c r="F678" s="34">
        <v>1008294</v>
      </c>
      <c r="G678" s="34">
        <v>1011694</v>
      </c>
      <c r="H678" s="35" t="s">
        <v>1509</v>
      </c>
    </row>
    <row r="679" spans="1:8" ht="27" customHeight="1" x14ac:dyDescent="0.2">
      <c r="A679" s="31" t="s">
        <v>1510</v>
      </c>
      <c r="B679" s="32" t="s">
        <v>1511</v>
      </c>
      <c r="C679" s="32" t="s">
        <v>770</v>
      </c>
      <c r="D679" s="32" t="s">
        <v>1011</v>
      </c>
      <c r="E679" s="33" t="s">
        <v>772</v>
      </c>
      <c r="F679" s="34">
        <v>241125</v>
      </c>
      <c r="G679" s="34">
        <v>320896</v>
      </c>
      <c r="H679" s="35" t="s">
        <v>1512</v>
      </c>
    </row>
    <row r="680" spans="1:8" ht="27" customHeight="1" x14ac:dyDescent="0.2">
      <c r="A680" s="31" t="s">
        <v>1510</v>
      </c>
      <c r="B680" s="32" t="s">
        <v>1511</v>
      </c>
      <c r="C680" s="32" t="s">
        <v>796</v>
      </c>
      <c r="D680" s="32" t="s">
        <v>1050</v>
      </c>
      <c r="E680" s="33" t="s">
        <v>823</v>
      </c>
      <c r="F680" s="34">
        <v>1854117</v>
      </c>
      <c r="G680" s="34">
        <v>1361313</v>
      </c>
      <c r="H680" s="35" t="s">
        <v>1513</v>
      </c>
    </row>
    <row r="681" spans="1:8" ht="27" customHeight="1" x14ac:dyDescent="0.2">
      <c r="A681" s="31" t="s">
        <v>1510</v>
      </c>
      <c r="B681" s="32" t="s">
        <v>1511</v>
      </c>
      <c r="C681" s="32" t="s">
        <v>776</v>
      </c>
      <c r="D681" s="32" t="s">
        <v>776</v>
      </c>
      <c r="E681" s="33" t="s">
        <v>777</v>
      </c>
      <c r="F681" s="34">
        <v>1241120</v>
      </c>
      <c r="G681" s="34">
        <v>1500000</v>
      </c>
      <c r="H681" s="35" t="s">
        <v>1514</v>
      </c>
    </row>
    <row r="682" spans="1:8" ht="27" customHeight="1" x14ac:dyDescent="0.2">
      <c r="A682" s="31" t="s">
        <v>1510</v>
      </c>
      <c r="B682" s="32" t="s">
        <v>1511</v>
      </c>
      <c r="C682" s="32" t="s">
        <v>782</v>
      </c>
      <c r="D682" s="32" t="s">
        <v>901</v>
      </c>
      <c r="E682" s="33" t="s">
        <v>784</v>
      </c>
      <c r="F682" s="34">
        <v>147679</v>
      </c>
      <c r="G682" s="34">
        <v>146329</v>
      </c>
      <c r="H682" s="35" t="s">
        <v>1515</v>
      </c>
    </row>
    <row r="683" spans="1:8" ht="27" customHeight="1" x14ac:dyDescent="0.2">
      <c r="A683" s="31" t="s">
        <v>1516</v>
      </c>
      <c r="B683" s="32" t="s">
        <v>1517</v>
      </c>
      <c r="C683" s="32" t="s">
        <v>763</v>
      </c>
      <c r="D683" s="32" t="s">
        <v>1518</v>
      </c>
      <c r="E683" s="33" t="s">
        <v>764</v>
      </c>
      <c r="F683" s="34">
        <v>419798</v>
      </c>
      <c r="G683" s="34">
        <v>420150</v>
      </c>
      <c r="H683" s="35" t="s">
        <v>1519</v>
      </c>
    </row>
    <row r="684" spans="1:8" ht="27" customHeight="1" x14ac:dyDescent="0.2">
      <c r="A684" s="31" t="s">
        <v>1516</v>
      </c>
      <c r="B684" s="32" t="s">
        <v>1517</v>
      </c>
      <c r="C684" s="32" t="s">
        <v>763</v>
      </c>
      <c r="D684" s="32" t="s">
        <v>1520</v>
      </c>
      <c r="E684" s="33" t="s">
        <v>764</v>
      </c>
      <c r="F684" s="34">
        <v>500000</v>
      </c>
      <c r="G684" s="34">
        <v>1000350</v>
      </c>
      <c r="H684" s="35" t="s">
        <v>1521</v>
      </c>
    </row>
    <row r="685" spans="1:8" ht="27" customHeight="1" x14ac:dyDescent="0.2">
      <c r="A685" s="31" t="s">
        <v>1516</v>
      </c>
      <c r="B685" s="32" t="s">
        <v>1517</v>
      </c>
      <c r="C685" s="32" t="s">
        <v>766</v>
      </c>
      <c r="D685" s="32" t="s">
        <v>818</v>
      </c>
      <c r="E685" s="33" t="s">
        <v>768</v>
      </c>
      <c r="F685" s="34">
        <v>46272</v>
      </c>
      <c r="G685" s="34">
        <v>25925</v>
      </c>
      <c r="H685" s="35" t="s">
        <v>1522</v>
      </c>
    </row>
    <row r="686" spans="1:8" ht="27" customHeight="1" x14ac:dyDescent="0.2">
      <c r="A686" s="31" t="s">
        <v>1516</v>
      </c>
      <c r="B686" s="32" t="s">
        <v>1517</v>
      </c>
      <c r="C686" s="32" t="s">
        <v>796</v>
      </c>
      <c r="D686" s="32" t="s">
        <v>1252</v>
      </c>
      <c r="E686" s="33" t="s">
        <v>772</v>
      </c>
      <c r="F686" s="34">
        <v>1105689</v>
      </c>
      <c r="G686" s="34">
        <v>1106613</v>
      </c>
      <c r="H686" s="35" t="s">
        <v>1521</v>
      </c>
    </row>
    <row r="687" spans="1:8" ht="27" customHeight="1" x14ac:dyDescent="0.2">
      <c r="A687" s="31" t="s">
        <v>1516</v>
      </c>
      <c r="B687" s="32" t="s">
        <v>1517</v>
      </c>
      <c r="C687" s="32" t="s">
        <v>798</v>
      </c>
      <c r="D687" s="32" t="s">
        <v>1014</v>
      </c>
      <c r="E687" s="33" t="s">
        <v>800</v>
      </c>
      <c r="F687" s="34">
        <v>140744</v>
      </c>
      <c r="G687" s="34">
        <v>140864</v>
      </c>
      <c r="H687" s="35" t="s">
        <v>1521</v>
      </c>
    </row>
    <row r="688" spans="1:8" ht="27" customHeight="1" x14ac:dyDescent="0.2">
      <c r="A688" s="31" t="s">
        <v>1516</v>
      </c>
      <c r="B688" s="32" t="s">
        <v>1517</v>
      </c>
      <c r="C688" s="32" t="s">
        <v>779</v>
      </c>
      <c r="D688" s="32" t="s">
        <v>927</v>
      </c>
      <c r="E688" s="33" t="s">
        <v>780</v>
      </c>
      <c r="F688" s="34">
        <v>201711</v>
      </c>
      <c r="G688" s="34">
        <v>201881</v>
      </c>
      <c r="H688" s="35" t="s">
        <v>1521</v>
      </c>
    </row>
    <row r="689" spans="1:8" ht="27" customHeight="1" x14ac:dyDescent="0.2">
      <c r="A689" s="31" t="s">
        <v>1523</v>
      </c>
      <c r="B689" s="32" t="s">
        <v>1524</v>
      </c>
      <c r="C689" s="32" t="s">
        <v>763</v>
      </c>
      <c r="D689" s="32" t="s">
        <v>1525</v>
      </c>
      <c r="E689" s="33" t="s">
        <v>764</v>
      </c>
      <c r="F689" s="34">
        <v>4583983</v>
      </c>
      <c r="G689" s="34">
        <v>4456777</v>
      </c>
      <c r="H689" s="35" t="s">
        <v>1526</v>
      </c>
    </row>
    <row r="690" spans="1:8" ht="27" customHeight="1" x14ac:dyDescent="0.2">
      <c r="A690" s="31" t="s">
        <v>1523</v>
      </c>
      <c r="B690" s="32" t="s">
        <v>1524</v>
      </c>
      <c r="C690" s="32" t="s">
        <v>763</v>
      </c>
      <c r="D690" s="32" t="s">
        <v>816</v>
      </c>
      <c r="E690" s="33" t="s">
        <v>764</v>
      </c>
      <c r="F690" s="34">
        <v>50322</v>
      </c>
      <c r="G690" s="34">
        <v>50322</v>
      </c>
      <c r="H690" s="35" t="s">
        <v>859</v>
      </c>
    </row>
    <row r="691" spans="1:8" ht="27" customHeight="1" x14ac:dyDescent="0.2">
      <c r="A691" s="31" t="s">
        <v>1523</v>
      </c>
      <c r="B691" s="32" t="s">
        <v>1524</v>
      </c>
      <c r="C691" s="32" t="s">
        <v>766</v>
      </c>
      <c r="D691" s="32" t="s">
        <v>767</v>
      </c>
      <c r="E691" s="33" t="s">
        <v>768</v>
      </c>
      <c r="F691" s="34">
        <v>0</v>
      </c>
      <c r="G691" s="34">
        <v>0</v>
      </c>
      <c r="H691" s="35" t="s">
        <v>1049</v>
      </c>
    </row>
    <row r="692" spans="1:8" ht="27" customHeight="1" x14ac:dyDescent="0.2">
      <c r="A692" s="31" t="s">
        <v>1523</v>
      </c>
      <c r="B692" s="32" t="s">
        <v>1524</v>
      </c>
      <c r="C692" s="32" t="s">
        <v>770</v>
      </c>
      <c r="D692" s="32" t="s">
        <v>1527</v>
      </c>
      <c r="E692" s="33" t="s">
        <v>772</v>
      </c>
      <c r="F692" s="34">
        <v>237402</v>
      </c>
      <c r="G692" s="34">
        <v>237402</v>
      </c>
      <c r="H692" s="35" t="s">
        <v>859</v>
      </c>
    </row>
    <row r="693" spans="1:8" ht="27" customHeight="1" x14ac:dyDescent="0.2">
      <c r="A693" s="31" t="s">
        <v>1523</v>
      </c>
      <c r="B693" s="32" t="s">
        <v>1524</v>
      </c>
      <c r="C693" s="32" t="s">
        <v>884</v>
      </c>
      <c r="D693" s="32" t="s">
        <v>1365</v>
      </c>
      <c r="E693" s="33" t="s">
        <v>885</v>
      </c>
      <c r="F693" s="34">
        <v>0</v>
      </c>
      <c r="G693" s="34">
        <v>0</v>
      </c>
      <c r="H693" s="35" t="s">
        <v>1049</v>
      </c>
    </row>
    <row r="694" spans="1:8" ht="27" customHeight="1" x14ac:dyDescent="0.2">
      <c r="A694" s="31" t="s">
        <v>1523</v>
      </c>
      <c r="B694" s="32" t="s">
        <v>1524</v>
      </c>
      <c r="C694" s="32" t="s">
        <v>844</v>
      </c>
      <c r="D694" s="32" t="s">
        <v>972</v>
      </c>
      <c r="E694" s="33" t="s">
        <v>846</v>
      </c>
      <c r="F694" s="34">
        <v>0</v>
      </c>
      <c r="G694" s="34">
        <v>0</v>
      </c>
      <c r="H694" s="35" t="s">
        <v>1049</v>
      </c>
    </row>
    <row r="695" spans="1:8" ht="27" customHeight="1" x14ac:dyDescent="0.2">
      <c r="A695" s="31" t="s">
        <v>1523</v>
      </c>
      <c r="B695" s="32" t="s">
        <v>1524</v>
      </c>
      <c r="C695" s="32" t="s">
        <v>773</v>
      </c>
      <c r="D695" s="32" t="s">
        <v>973</v>
      </c>
      <c r="E695" s="33" t="s">
        <v>775</v>
      </c>
      <c r="F695" s="34">
        <v>0</v>
      </c>
      <c r="G695" s="34">
        <v>0</v>
      </c>
      <c r="H695" s="35" t="s">
        <v>1049</v>
      </c>
    </row>
    <row r="696" spans="1:8" ht="27" customHeight="1" x14ac:dyDescent="0.2">
      <c r="A696" s="31" t="s">
        <v>1523</v>
      </c>
      <c r="B696" s="32" t="s">
        <v>1524</v>
      </c>
      <c r="C696" s="32" t="s">
        <v>831</v>
      </c>
      <c r="D696" s="32" t="s">
        <v>1009</v>
      </c>
      <c r="E696" s="33" t="s">
        <v>1528</v>
      </c>
      <c r="F696" s="34">
        <v>20109</v>
      </c>
      <c r="G696" s="34">
        <v>20109</v>
      </c>
      <c r="H696" s="35" t="s">
        <v>859</v>
      </c>
    </row>
    <row r="697" spans="1:8" ht="27" customHeight="1" x14ac:dyDescent="0.2">
      <c r="A697" s="31" t="s">
        <v>1523</v>
      </c>
      <c r="B697" s="32" t="s">
        <v>1524</v>
      </c>
      <c r="C697" s="32" t="s">
        <v>886</v>
      </c>
      <c r="D697" s="32" t="s">
        <v>1013</v>
      </c>
      <c r="E697" s="33" t="s">
        <v>887</v>
      </c>
      <c r="F697" s="34">
        <v>500000</v>
      </c>
      <c r="G697" s="34">
        <v>500000</v>
      </c>
      <c r="H697" s="35" t="s">
        <v>859</v>
      </c>
    </row>
    <row r="698" spans="1:8" ht="27" customHeight="1" x14ac:dyDescent="0.2">
      <c r="A698" s="31" t="s">
        <v>1523</v>
      </c>
      <c r="B698" s="32" t="s">
        <v>1524</v>
      </c>
      <c r="C698" s="32" t="s">
        <v>860</v>
      </c>
      <c r="D698" s="32" t="s">
        <v>911</v>
      </c>
      <c r="E698" s="33" t="s">
        <v>861</v>
      </c>
      <c r="F698" s="34">
        <v>288815</v>
      </c>
      <c r="G698" s="34">
        <v>288815</v>
      </c>
      <c r="H698" s="35" t="s">
        <v>859</v>
      </c>
    </row>
    <row r="699" spans="1:8" ht="27" customHeight="1" x14ac:dyDescent="0.2">
      <c r="A699" s="31" t="s">
        <v>1523</v>
      </c>
      <c r="B699" s="32" t="s">
        <v>1524</v>
      </c>
      <c r="C699" s="32" t="s">
        <v>796</v>
      </c>
      <c r="D699" s="32" t="s">
        <v>811</v>
      </c>
      <c r="E699" s="33" t="s">
        <v>823</v>
      </c>
      <c r="F699" s="34">
        <v>1680719</v>
      </c>
      <c r="G699" s="34">
        <v>1680719</v>
      </c>
      <c r="H699" s="35" t="s">
        <v>859</v>
      </c>
    </row>
    <row r="700" spans="1:8" ht="27" customHeight="1" x14ac:dyDescent="0.2">
      <c r="A700" s="31" t="s">
        <v>1523</v>
      </c>
      <c r="B700" s="32" t="s">
        <v>1524</v>
      </c>
      <c r="C700" s="32" t="s">
        <v>776</v>
      </c>
      <c r="D700" s="32" t="s">
        <v>1529</v>
      </c>
      <c r="E700" s="33" t="s">
        <v>777</v>
      </c>
      <c r="F700" s="34">
        <v>246260</v>
      </c>
      <c r="G700" s="34">
        <v>246260</v>
      </c>
      <c r="H700" s="35" t="s">
        <v>859</v>
      </c>
    </row>
    <row r="701" spans="1:8" ht="27" customHeight="1" x14ac:dyDescent="0.2">
      <c r="A701" s="31" t="s">
        <v>1523</v>
      </c>
      <c r="B701" s="32" t="s">
        <v>1524</v>
      </c>
      <c r="C701" s="32" t="s">
        <v>798</v>
      </c>
      <c r="D701" s="32" t="s">
        <v>1014</v>
      </c>
      <c r="E701" s="33" t="s">
        <v>800</v>
      </c>
      <c r="F701" s="34">
        <v>461245</v>
      </c>
      <c r="G701" s="34">
        <v>461245</v>
      </c>
      <c r="H701" s="35" t="s">
        <v>859</v>
      </c>
    </row>
    <row r="702" spans="1:8" ht="27" customHeight="1" x14ac:dyDescent="0.2">
      <c r="A702" s="31" t="s">
        <v>1523</v>
      </c>
      <c r="B702" s="32" t="s">
        <v>1524</v>
      </c>
      <c r="C702" s="32" t="s">
        <v>892</v>
      </c>
      <c r="D702" s="32" t="s">
        <v>1226</v>
      </c>
      <c r="E702" s="33" t="s">
        <v>893</v>
      </c>
      <c r="F702" s="34">
        <v>0</v>
      </c>
      <c r="G702" s="34">
        <v>0</v>
      </c>
      <c r="H702" s="35" t="s">
        <v>1049</v>
      </c>
    </row>
    <row r="703" spans="1:8" ht="27" customHeight="1" x14ac:dyDescent="0.2">
      <c r="A703" s="31" t="s">
        <v>1523</v>
      </c>
      <c r="B703" s="32" t="s">
        <v>1524</v>
      </c>
      <c r="C703" s="32" t="s">
        <v>779</v>
      </c>
      <c r="D703" s="32" t="s">
        <v>876</v>
      </c>
      <c r="E703" s="33" t="s">
        <v>780</v>
      </c>
      <c r="F703" s="34">
        <v>203960</v>
      </c>
      <c r="G703" s="34">
        <v>203960</v>
      </c>
      <c r="H703" s="35" t="s">
        <v>859</v>
      </c>
    </row>
    <row r="704" spans="1:8" ht="27" customHeight="1" x14ac:dyDescent="0.2">
      <c r="A704" s="31" t="s">
        <v>1523</v>
      </c>
      <c r="B704" s="32" t="s">
        <v>1524</v>
      </c>
      <c r="C704" s="32" t="s">
        <v>782</v>
      </c>
      <c r="D704" s="32" t="s">
        <v>813</v>
      </c>
      <c r="E704" s="33" t="s">
        <v>784</v>
      </c>
      <c r="F704" s="34">
        <v>500103</v>
      </c>
      <c r="G704" s="34">
        <v>500103</v>
      </c>
      <c r="H704" s="35" t="s">
        <v>859</v>
      </c>
    </row>
    <row r="705" spans="1:8" ht="27" customHeight="1" x14ac:dyDescent="0.2">
      <c r="A705" s="31" t="s">
        <v>1530</v>
      </c>
      <c r="B705" s="32" t="s">
        <v>312</v>
      </c>
      <c r="C705" s="32" t="s">
        <v>763</v>
      </c>
      <c r="D705" s="32" t="s">
        <v>1531</v>
      </c>
      <c r="E705" s="33" t="s">
        <v>764</v>
      </c>
      <c r="F705" s="34">
        <v>0</v>
      </c>
      <c r="G705" s="34">
        <v>882000</v>
      </c>
      <c r="H705" s="35" t="s">
        <v>1532</v>
      </c>
    </row>
    <row r="706" spans="1:8" ht="27" customHeight="1" x14ac:dyDescent="0.2">
      <c r="A706" s="31" t="s">
        <v>1530</v>
      </c>
      <c r="B706" s="32" t="s">
        <v>312</v>
      </c>
      <c r="C706" s="32" t="s">
        <v>770</v>
      </c>
      <c r="D706" s="32" t="s">
        <v>770</v>
      </c>
      <c r="E706" s="33" t="s">
        <v>772</v>
      </c>
      <c r="F706" s="34">
        <v>320000</v>
      </c>
      <c r="G706" s="34">
        <v>309000</v>
      </c>
      <c r="H706" s="35" t="s">
        <v>1533</v>
      </c>
    </row>
    <row r="707" spans="1:8" ht="27" customHeight="1" x14ac:dyDescent="0.2">
      <c r="A707" s="31" t="s">
        <v>1530</v>
      </c>
      <c r="B707" s="32" t="s">
        <v>312</v>
      </c>
      <c r="C707" s="32" t="s">
        <v>860</v>
      </c>
      <c r="D707" s="32" t="s">
        <v>911</v>
      </c>
      <c r="E707" s="33" t="s">
        <v>861</v>
      </c>
      <c r="F707" s="34">
        <v>400000</v>
      </c>
      <c r="G707" s="34">
        <v>250000</v>
      </c>
      <c r="H707" s="35" t="s">
        <v>1534</v>
      </c>
    </row>
    <row r="708" spans="1:8" ht="27" customHeight="1" x14ac:dyDescent="0.2">
      <c r="A708" s="31" t="s">
        <v>1530</v>
      </c>
      <c r="B708" s="32" t="s">
        <v>312</v>
      </c>
      <c r="C708" s="32" t="s">
        <v>796</v>
      </c>
      <c r="D708" s="32" t="s">
        <v>1535</v>
      </c>
      <c r="E708" s="33" t="s">
        <v>772</v>
      </c>
      <c r="F708" s="34">
        <v>1564273</v>
      </c>
      <c r="G708" s="34">
        <v>932000</v>
      </c>
      <c r="H708" s="35" t="s">
        <v>1536</v>
      </c>
    </row>
    <row r="709" spans="1:8" ht="27" customHeight="1" x14ac:dyDescent="0.2">
      <c r="A709" s="31" t="s">
        <v>1530</v>
      </c>
      <c r="B709" s="32" t="s">
        <v>312</v>
      </c>
      <c r="C709" s="32" t="s">
        <v>776</v>
      </c>
      <c r="D709" s="32" t="s">
        <v>812</v>
      </c>
      <c r="E709" s="33" t="s">
        <v>777</v>
      </c>
      <c r="F709" s="34">
        <v>2844</v>
      </c>
      <c r="G709" s="34">
        <v>20000</v>
      </c>
      <c r="H709" s="35" t="s">
        <v>1537</v>
      </c>
    </row>
    <row r="710" spans="1:8" ht="27" customHeight="1" x14ac:dyDescent="0.2">
      <c r="A710" s="31" t="s">
        <v>1530</v>
      </c>
      <c r="B710" s="32" t="s">
        <v>312</v>
      </c>
      <c r="C710" s="32" t="s">
        <v>779</v>
      </c>
      <c r="D710" s="32" t="s">
        <v>927</v>
      </c>
      <c r="E710" s="33" t="s">
        <v>780</v>
      </c>
      <c r="F710" s="34">
        <v>383600</v>
      </c>
      <c r="G710" s="34">
        <v>398600</v>
      </c>
      <c r="H710" s="35" t="s">
        <v>1538</v>
      </c>
    </row>
    <row r="711" spans="1:8" ht="27" customHeight="1" x14ac:dyDescent="0.2">
      <c r="A711" s="31" t="s">
        <v>1530</v>
      </c>
      <c r="B711" s="32" t="s">
        <v>312</v>
      </c>
      <c r="C711" s="32" t="s">
        <v>782</v>
      </c>
      <c r="D711" s="32" t="s">
        <v>1539</v>
      </c>
      <c r="E711" s="33" t="s">
        <v>784</v>
      </c>
      <c r="F711" s="34">
        <v>591369</v>
      </c>
      <c r="G711" s="34">
        <v>627200</v>
      </c>
      <c r="H711" s="35" t="s">
        <v>1540</v>
      </c>
    </row>
    <row r="712" spans="1:8" ht="27" customHeight="1" x14ac:dyDescent="0.2">
      <c r="A712" s="31" t="s">
        <v>1541</v>
      </c>
      <c r="B712" s="32" t="s">
        <v>1542</v>
      </c>
      <c r="C712" s="32" t="s">
        <v>763</v>
      </c>
      <c r="D712" s="32" t="s">
        <v>1543</v>
      </c>
      <c r="E712" s="33" t="s">
        <v>764</v>
      </c>
      <c r="F712" s="34">
        <v>2000000</v>
      </c>
      <c r="G712" s="34">
        <v>2000000</v>
      </c>
      <c r="H712" s="35" t="s">
        <v>1544</v>
      </c>
    </row>
    <row r="713" spans="1:8" ht="27" customHeight="1" x14ac:dyDescent="0.2">
      <c r="A713" s="31" t="s">
        <v>1541</v>
      </c>
      <c r="B713" s="32" t="s">
        <v>1542</v>
      </c>
      <c r="C713" s="32" t="s">
        <v>763</v>
      </c>
      <c r="D713" s="32" t="s">
        <v>816</v>
      </c>
      <c r="E713" s="33" t="s">
        <v>764</v>
      </c>
      <c r="F713" s="34">
        <v>2084471</v>
      </c>
      <c r="G713" s="34">
        <v>2084471</v>
      </c>
      <c r="H713" s="35" t="s">
        <v>1544</v>
      </c>
    </row>
    <row r="714" spans="1:8" ht="27" customHeight="1" x14ac:dyDescent="0.2">
      <c r="A714" s="31" t="s">
        <v>1541</v>
      </c>
      <c r="B714" s="32" t="s">
        <v>1542</v>
      </c>
      <c r="C714" s="32" t="s">
        <v>763</v>
      </c>
      <c r="D714" s="32" t="s">
        <v>1545</v>
      </c>
      <c r="E714" s="33" t="s">
        <v>764</v>
      </c>
      <c r="F714" s="34">
        <v>1139235</v>
      </c>
      <c r="G714" s="34">
        <v>1939235</v>
      </c>
      <c r="H714" s="35" t="s">
        <v>1544</v>
      </c>
    </row>
    <row r="715" spans="1:8" ht="27" customHeight="1" x14ac:dyDescent="0.2">
      <c r="A715" s="31" t="s">
        <v>1541</v>
      </c>
      <c r="B715" s="32" t="s">
        <v>1542</v>
      </c>
      <c r="C715" s="32" t="s">
        <v>770</v>
      </c>
      <c r="D715" s="32" t="s">
        <v>1121</v>
      </c>
      <c r="E715" s="33" t="s">
        <v>772</v>
      </c>
      <c r="F715" s="34">
        <v>1580719</v>
      </c>
      <c r="G715" s="34">
        <v>1580719</v>
      </c>
      <c r="H715" s="35" t="s">
        <v>1546</v>
      </c>
    </row>
    <row r="716" spans="1:8" ht="27" customHeight="1" x14ac:dyDescent="0.2">
      <c r="A716" s="31" t="s">
        <v>1541</v>
      </c>
      <c r="B716" s="32" t="s">
        <v>1542</v>
      </c>
      <c r="C716" s="32" t="s">
        <v>844</v>
      </c>
      <c r="D716" s="32" t="s">
        <v>844</v>
      </c>
      <c r="E716" s="33" t="s">
        <v>846</v>
      </c>
      <c r="F716" s="34">
        <v>300000</v>
      </c>
      <c r="G716" s="34">
        <v>300000</v>
      </c>
      <c r="H716" s="35" t="s">
        <v>1547</v>
      </c>
    </row>
    <row r="717" spans="1:8" ht="27" customHeight="1" x14ac:dyDescent="0.2">
      <c r="A717" s="31" t="s">
        <v>1541</v>
      </c>
      <c r="B717" s="32" t="s">
        <v>1542</v>
      </c>
      <c r="C717" s="32" t="s">
        <v>860</v>
      </c>
      <c r="D717" s="32" t="s">
        <v>1027</v>
      </c>
      <c r="E717" s="33" t="s">
        <v>861</v>
      </c>
      <c r="F717" s="34">
        <v>100000</v>
      </c>
      <c r="G717" s="34">
        <v>100000</v>
      </c>
      <c r="H717" s="35" t="s">
        <v>1547</v>
      </c>
    </row>
    <row r="718" spans="1:8" ht="27" customHeight="1" x14ac:dyDescent="0.2">
      <c r="A718" s="31" t="s">
        <v>1541</v>
      </c>
      <c r="B718" s="32" t="s">
        <v>1542</v>
      </c>
      <c r="C718" s="32" t="s">
        <v>796</v>
      </c>
      <c r="D718" s="32" t="s">
        <v>796</v>
      </c>
      <c r="E718" s="33" t="s">
        <v>772</v>
      </c>
      <c r="F718" s="34">
        <v>2845245</v>
      </c>
      <c r="G718" s="34">
        <v>2845245</v>
      </c>
      <c r="H718" s="35" t="s">
        <v>1547</v>
      </c>
    </row>
    <row r="719" spans="1:8" ht="27" customHeight="1" x14ac:dyDescent="0.2">
      <c r="A719" s="31" t="s">
        <v>1541</v>
      </c>
      <c r="B719" s="32" t="s">
        <v>1542</v>
      </c>
      <c r="C719" s="32" t="s">
        <v>776</v>
      </c>
      <c r="D719" s="32" t="s">
        <v>914</v>
      </c>
      <c r="E719" s="33" t="s">
        <v>777</v>
      </c>
      <c r="F719" s="34">
        <v>30800</v>
      </c>
      <c r="G719" s="34">
        <v>30800</v>
      </c>
      <c r="H719" s="35" t="s">
        <v>1547</v>
      </c>
    </row>
    <row r="720" spans="1:8" ht="27" customHeight="1" x14ac:dyDescent="0.2">
      <c r="A720" s="31" t="s">
        <v>1541</v>
      </c>
      <c r="B720" s="32" t="s">
        <v>1542</v>
      </c>
      <c r="C720" s="32" t="s">
        <v>779</v>
      </c>
      <c r="D720" s="32" t="s">
        <v>779</v>
      </c>
      <c r="E720" s="33" t="s">
        <v>780</v>
      </c>
      <c r="F720" s="34">
        <v>352409</v>
      </c>
      <c r="G720" s="34">
        <v>352409</v>
      </c>
      <c r="H720" s="35" t="s">
        <v>1547</v>
      </c>
    </row>
    <row r="721" spans="1:8" ht="27" customHeight="1" x14ac:dyDescent="0.2">
      <c r="A721" s="31" t="s">
        <v>1541</v>
      </c>
      <c r="B721" s="32" t="s">
        <v>1542</v>
      </c>
      <c r="C721" s="32" t="s">
        <v>782</v>
      </c>
      <c r="D721" s="32" t="s">
        <v>782</v>
      </c>
      <c r="E721" s="33" t="s">
        <v>784</v>
      </c>
      <c r="F721" s="34">
        <v>842572</v>
      </c>
      <c r="G721" s="34">
        <v>742572</v>
      </c>
      <c r="H721" s="35" t="s">
        <v>1548</v>
      </c>
    </row>
    <row r="722" spans="1:8" ht="27" customHeight="1" x14ac:dyDescent="0.2">
      <c r="A722" s="31" t="s">
        <v>1549</v>
      </c>
      <c r="B722" s="32" t="s">
        <v>376</v>
      </c>
      <c r="C722" s="32" t="s">
        <v>766</v>
      </c>
      <c r="D722" s="32" t="s">
        <v>767</v>
      </c>
      <c r="E722" s="33" t="s">
        <v>768</v>
      </c>
      <c r="F722" s="34">
        <v>555885</v>
      </c>
      <c r="G722" s="34">
        <v>555885</v>
      </c>
      <c r="H722" s="35" t="s">
        <v>1423</v>
      </c>
    </row>
    <row r="723" spans="1:8" ht="27" customHeight="1" x14ac:dyDescent="0.2">
      <c r="A723" s="31" t="s">
        <v>1549</v>
      </c>
      <c r="B723" s="32" t="s">
        <v>376</v>
      </c>
      <c r="C723" s="32" t="s">
        <v>770</v>
      </c>
      <c r="D723" s="32" t="s">
        <v>830</v>
      </c>
      <c r="E723" s="33" t="s">
        <v>772</v>
      </c>
      <c r="F723" s="34">
        <v>444784</v>
      </c>
      <c r="G723" s="34">
        <v>444784</v>
      </c>
      <c r="H723" s="35" t="s">
        <v>1550</v>
      </c>
    </row>
    <row r="724" spans="1:8" ht="27" customHeight="1" x14ac:dyDescent="0.2">
      <c r="A724" s="31" t="s">
        <v>1549</v>
      </c>
      <c r="B724" s="32" t="s">
        <v>376</v>
      </c>
      <c r="C724" s="32" t="s">
        <v>860</v>
      </c>
      <c r="D724" s="32" t="s">
        <v>911</v>
      </c>
      <c r="E724" s="33" t="s">
        <v>861</v>
      </c>
      <c r="F724" s="34">
        <v>0</v>
      </c>
      <c r="G724" s="34">
        <v>715000</v>
      </c>
      <c r="H724" s="35" t="s">
        <v>1551</v>
      </c>
    </row>
    <row r="725" spans="1:8" ht="27" customHeight="1" x14ac:dyDescent="0.2">
      <c r="A725" s="31" t="s">
        <v>1549</v>
      </c>
      <c r="B725" s="32" t="s">
        <v>376</v>
      </c>
      <c r="C725" s="32" t="s">
        <v>796</v>
      </c>
      <c r="D725" s="32" t="s">
        <v>1095</v>
      </c>
      <c r="E725" s="33" t="s">
        <v>823</v>
      </c>
      <c r="F725" s="34">
        <v>580658</v>
      </c>
      <c r="G725" s="34">
        <v>580658</v>
      </c>
      <c r="H725" s="35" t="s">
        <v>1423</v>
      </c>
    </row>
    <row r="726" spans="1:8" ht="27" customHeight="1" x14ac:dyDescent="0.2">
      <c r="A726" s="31" t="s">
        <v>1549</v>
      </c>
      <c r="B726" s="32" t="s">
        <v>376</v>
      </c>
      <c r="C726" s="32" t="s">
        <v>782</v>
      </c>
      <c r="D726" s="32" t="s">
        <v>783</v>
      </c>
      <c r="E726" s="33" t="s">
        <v>784</v>
      </c>
      <c r="F726" s="34">
        <v>808048</v>
      </c>
      <c r="G726" s="34">
        <v>808048</v>
      </c>
      <c r="H726" s="35" t="s">
        <v>1423</v>
      </c>
    </row>
    <row r="727" spans="1:8" ht="27" customHeight="1" x14ac:dyDescent="0.2">
      <c r="A727" s="31" t="s">
        <v>1552</v>
      </c>
      <c r="B727" s="32" t="s">
        <v>402</v>
      </c>
      <c r="C727" s="32" t="s">
        <v>766</v>
      </c>
      <c r="D727" s="32" t="s">
        <v>832</v>
      </c>
      <c r="E727" s="33" t="s">
        <v>768</v>
      </c>
      <c r="F727" s="34">
        <v>1073925</v>
      </c>
      <c r="G727" s="34">
        <v>1010151</v>
      </c>
      <c r="H727" s="35" t="s">
        <v>1553</v>
      </c>
    </row>
    <row r="728" spans="1:8" ht="27" customHeight="1" x14ac:dyDescent="0.2">
      <c r="A728" s="31" t="s">
        <v>1552</v>
      </c>
      <c r="B728" s="32" t="s">
        <v>402</v>
      </c>
      <c r="C728" s="32" t="s">
        <v>770</v>
      </c>
      <c r="D728" s="32" t="s">
        <v>1554</v>
      </c>
      <c r="E728" s="33" t="s">
        <v>772</v>
      </c>
      <c r="F728" s="34">
        <v>348277</v>
      </c>
      <c r="G728" s="34">
        <v>348500</v>
      </c>
      <c r="H728" s="35" t="s">
        <v>1555</v>
      </c>
    </row>
    <row r="729" spans="1:8" ht="27" customHeight="1" x14ac:dyDescent="0.2">
      <c r="A729" s="31" t="s">
        <v>1552</v>
      </c>
      <c r="B729" s="32" t="s">
        <v>402</v>
      </c>
      <c r="C729" s="32" t="s">
        <v>860</v>
      </c>
      <c r="D729" s="32" t="s">
        <v>911</v>
      </c>
      <c r="E729" s="33" t="s">
        <v>861</v>
      </c>
      <c r="F729" s="34">
        <v>79880</v>
      </c>
      <c r="G729" s="34">
        <v>80000</v>
      </c>
      <c r="H729" s="35" t="s">
        <v>1555</v>
      </c>
    </row>
    <row r="730" spans="1:8" ht="27" customHeight="1" x14ac:dyDescent="0.2">
      <c r="A730" s="31" t="s">
        <v>1552</v>
      </c>
      <c r="B730" s="32" t="s">
        <v>402</v>
      </c>
      <c r="C730" s="32" t="s">
        <v>796</v>
      </c>
      <c r="D730" s="32" t="s">
        <v>1149</v>
      </c>
      <c r="E730" s="33" t="s">
        <v>772</v>
      </c>
      <c r="F730" s="34">
        <v>622577</v>
      </c>
      <c r="G730" s="34">
        <v>622700</v>
      </c>
      <c r="H730" s="35" t="s">
        <v>1556</v>
      </c>
    </row>
    <row r="731" spans="1:8" ht="27" customHeight="1" x14ac:dyDescent="0.2">
      <c r="A731" s="31" t="s">
        <v>1552</v>
      </c>
      <c r="B731" s="32" t="s">
        <v>402</v>
      </c>
      <c r="C731" s="32" t="s">
        <v>798</v>
      </c>
      <c r="D731" s="32" t="s">
        <v>1557</v>
      </c>
      <c r="E731" s="33" t="s">
        <v>800</v>
      </c>
      <c r="F731" s="34">
        <v>229036</v>
      </c>
      <c r="G731" s="34">
        <v>196866</v>
      </c>
      <c r="H731" s="35" t="s">
        <v>1558</v>
      </c>
    </row>
    <row r="732" spans="1:8" ht="27" customHeight="1" x14ac:dyDescent="0.2">
      <c r="A732" s="31" t="s">
        <v>1552</v>
      </c>
      <c r="B732" s="32" t="s">
        <v>402</v>
      </c>
      <c r="C732" s="32" t="s">
        <v>779</v>
      </c>
      <c r="D732" s="32" t="s">
        <v>826</v>
      </c>
      <c r="E732" s="33" t="s">
        <v>780</v>
      </c>
      <c r="F732" s="34">
        <v>456046</v>
      </c>
      <c r="G732" s="34">
        <v>457000</v>
      </c>
      <c r="H732" s="35" t="s">
        <v>1556</v>
      </c>
    </row>
    <row r="733" spans="1:8" ht="27" customHeight="1" x14ac:dyDescent="0.2">
      <c r="A733" s="31" t="s">
        <v>1552</v>
      </c>
      <c r="B733" s="32" t="s">
        <v>402</v>
      </c>
      <c r="C733" s="32" t="s">
        <v>782</v>
      </c>
      <c r="D733" s="32" t="s">
        <v>1391</v>
      </c>
      <c r="E733" s="33" t="s">
        <v>784</v>
      </c>
      <c r="F733" s="34">
        <v>119515</v>
      </c>
      <c r="G733" s="34">
        <v>119600</v>
      </c>
      <c r="H733" s="35" t="s">
        <v>1556</v>
      </c>
    </row>
    <row r="734" spans="1:8" ht="27" customHeight="1" x14ac:dyDescent="0.2">
      <c r="A734" s="31" t="s">
        <v>1559</v>
      </c>
      <c r="B734" s="32" t="s">
        <v>1560</v>
      </c>
      <c r="C734" s="32" t="s">
        <v>763</v>
      </c>
      <c r="D734" s="32" t="s">
        <v>763</v>
      </c>
      <c r="E734" s="33" t="s">
        <v>764</v>
      </c>
      <c r="F734" s="34">
        <v>2150000</v>
      </c>
      <c r="G734" s="34">
        <v>3000000</v>
      </c>
      <c r="H734" s="35" t="s">
        <v>1561</v>
      </c>
    </row>
    <row r="735" spans="1:8" ht="27" customHeight="1" x14ac:dyDescent="0.2">
      <c r="A735" s="31" t="s">
        <v>1559</v>
      </c>
      <c r="B735" s="32" t="s">
        <v>1560</v>
      </c>
      <c r="C735" s="32" t="s">
        <v>766</v>
      </c>
      <c r="D735" s="32" t="s">
        <v>767</v>
      </c>
      <c r="E735" s="33" t="s">
        <v>768</v>
      </c>
      <c r="F735" s="34">
        <v>90173</v>
      </c>
      <c r="G735" s="34">
        <v>90173</v>
      </c>
      <c r="H735" s="35" t="s">
        <v>1562</v>
      </c>
    </row>
    <row r="736" spans="1:8" ht="27" customHeight="1" x14ac:dyDescent="0.2">
      <c r="A736" s="31" t="s">
        <v>1559</v>
      </c>
      <c r="B736" s="32" t="s">
        <v>1560</v>
      </c>
      <c r="C736" s="32" t="s">
        <v>770</v>
      </c>
      <c r="D736" s="32" t="s">
        <v>1563</v>
      </c>
      <c r="E736" s="33" t="s">
        <v>772</v>
      </c>
      <c r="F736" s="34">
        <v>115495</v>
      </c>
      <c r="G736" s="34">
        <v>115495</v>
      </c>
      <c r="H736" s="35" t="s">
        <v>1111</v>
      </c>
    </row>
    <row r="737" spans="1:8" ht="27" customHeight="1" x14ac:dyDescent="0.2">
      <c r="A737" s="31" t="s">
        <v>1559</v>
      </c>
      <c r="B737" s="32" t="s">
        <v>1560</v>
      </c>
      <c r="C737" s="32" t="s">
        <v>796</v>
      </c>
      <c r="D737" s="32" t="s">
        <v>1050</v>
      </c>
      <c r="E737" s="33" t="s">
        <v>823</v>
      </c>
      <c r="F737" s="34">
        <v>117274</v>
      </c>
      <c r="G737" s="34">
        <v>117274</v>
      </c>
      <c r="H737" s="35" t="s">
        <v>1111</v>
      </c>
    </row>
    <row r="738" spans="1:8" ht="27" customHeight="1" x14ac:dyDescent="0.2">
      <c r="A738" s="31" t="s">
        <v>1559</v>
      </c>
      <c r="B738" s="32" t="s">
        <v>1560</v>
      </c>
      <c r="C738" s="32" t="s">
        <v>776</v>
      </c>
      <c r="D738" s="32" t="s">
        <v>1436</v>
      </c>
      <c r="E738" s="33" t="s">
        <v>777</v>
      </c>
      <c r="F738" s="34">
        <v>30082</v>
      </c>
      <c r="G738" s="34">
        <v>30082</v>
      </c>
      <c r="H738" s="35" t="s">
        <v>1111</v>
      </c>
    </row>
    <row r="739" spans="1:8" ht="27" customHeight="1" x14ac:dyDescent="0.2">
      <c r="A739" s="31" t="s">
        <v>1559</v>
      </c>
      <c r="B739" s="32" t="s">
        <v>1560</v>
      </c>
      <c r="C739" s="32" t="s">
        <v>779</v>
      </c>
      <c r="D739" s="32" t="s">
        <v>802</v>
      </c>
      <c r="E739" s="33" t="s">
        <v>780</v>
      </c>
      <c r="F739" s="34">
        <v>74470</v>
      </c>
      <c r="G739" s="34">
        <v>74470</v>
      </c>
      <c r="H739" s="35" t="s">
        <v>1111</v>
      </c>
    </row>
    <row r="740" spans="1:8" ht="27" customHeight="1" x14ac:dyDescent="0.2">
      <c r="A740" s="31" t="s">
        <v>1559</v>
      </c>
      <c r="B740" s="32" t="s">
        <v>1560</v>
      </c>
      <c r="C740" s="32" t="s">
        <v>782</v>
      </c>
      <c r="D740" s="32" t="s">
        <v>901</v>
      </c>
      <c r="E740" s="33" t="s">
        <v>784</v>
      </c>
      <c r="F740" s="34">
        <v>101253</v>
      </c>
      <c r="G740" s="34">
        <v>101253</v>
      </c>
      <c r="H740" s="35" t="s">
        <v>1111</v>
      </c>
    </row>
    <row r="741" spans="1:8" ht="27" customHeight="1" x14ac:dyDescent="0.2">
      <c r="A741" s="31" t="s">
        <v>1564</v>
      </c>
      <c r="B741" s="32" t="s">
        <v>1565</v>
      </c>
      <c r="C741" s="32" t="s">
        <v>763</v>
      </c>
      <c r="D741" s="32" t="s">
        <v>816</v>
      </c>
      <c r="E741" s="33" t="s">
        <v>764</v>
      </c>
      <c r="F741" s="34">
        <v>4145</v>
      </c>
      <c r="G741" s="34">
        <v>4145</v>
      </c>
      <c r="H741" s="35" t="s">
        <v>765</v>
      </c>
    </row>
    <row r="742" spans="1:8" ht="27" customHeight="1" x14ac:dyDescent="0.2">
      <c r="A742" s="31" t="s">
        <v>1564</v>
      </c>
      <c r="B742" s="32" t="s">
        <v>1565</v>
      </c>
      <c r="C742" s="32" t="s">
        <v>770</v>
      </c>
      <c r="D742" s="32" t="s">
        <v>810</v>
      </c>
      <c r="E742" s="33" t="s">
        <v>772</v>
      </c>
      <c r="F742" s="34">
        <v>177908</v>
      </c>
      <c r="G742" s="34">
        <v>177917</v>
      </c>
      <c r="H742" s="35" t="s">
        <v>765</v>
      </c>
    </row>
    <row r="743" spans="1:8" ht="27" customHeight="1" x14ac:dyDescent="0.2">
      <c r="A743" s="31" t="s">
        <v>1564</v>
      </c>
      <c r="B743" s="32" t="s">
        <v>1565</v>
      </c>
      <c r="C743" s="32" t="s">
        <v>860</v>
      </c>
      <c r="D743" s="32" t="s">
        <v>911</v>
      </c>
      <c r="E743" s="33" t="s">
        <v>861</v>
      </c>
      <c r="F743" s="34">
        <v>33066</v>
      </c>
      <c r="G743" s="34">
        <v>33068</v>
      </c>
      <c r="H743" s="35" t="s">
        <v>765</v>
      </c>
    </row>
    <row r="744" spans="1:8" ht="27" customHeight="1" x14ac:dyDescent="0.2">
      <c r="A744" s="31" t="s">
        <v>1564</v>
      </c>
      <c r="B744" s="32" t="s">
        <v>1565</v>
      </c>
      <c r="C744" s="32" t="s">
        <v>796</v>
      </c>
      <c r="D744" s="32" t="s">
        <v>1566</v>
      </c>
      <c r="E744" s="33" t="s">
        <v>772</v>
      </c>
      <c r="F744" s="34">
        <v>948574</v>
      </c>
      <c r="G744" s="34">
        <v>948622</v>
      </c>
      <c r="H744" s="35" t="s">
        <v>1567</v>
      </c>
    </row>
    <row r="745" spans="1:8" ht="27" customHeight="1" x14ac:dyDescent="0.2">
      <c r="A745" s="31" t="s">
        <v>1564</v>
      </c>
      <c r="B745" s="32" t="s">
        <v>1565</v>
      </c>
      <c r="C745" s="32" t="s">
        <v>776</v>
      </c>
      <c r="D745" s="32" t="s">
        <v>812</v>
      </c>
      <c r="E745" s="33" t="s">
        <v>777</v>
      </c>
      <c r="F745" s="34">
        <v>25010</v>
      </c>
      <c r="G745" s="34">
        <v>25011</v>
      </c>
      <c r="H745" s="35" t="s">
        <v>765</v>
      </c>
    </row>
    <row r="746" spans="1:8" ht="27" customHeight="1" x14ac:dyDescent="0.2">
      <c r="A746" s="31" t="s">
        <v>1564</v>
      </c>
      <c r="B746" s="32" t="s">
        <v>1565</v>
      </c>
      <c r="C746" s="32" t="s">
        <v>779</v>
      </c>
      <c r="D746" s="32" t="s">
        <v>876</v>
      </c>
      <c r="E746" s="33" t="s">
        <v>780</v>
      </c>
      <c r="F746" s="34">
        <v>190475</v>
      </c>
      <c r="G746" s="34">
        <v>190485</v>
      </c>
      <c r="H746" s="35" t="s">
        <v>765</v>
      </c>
    </row>
    <row r="747" spans="1:8" ht="27" customHeight="1" x14ac:dyDescent="0.2">
      <c r="A747" s="31" t="s">
        <v>1564</v>
      </c>
      <c r="B747" s="32" t="s">
        <v>1565</v>
      </c>
      <c r="C747" s="32" t="s">
        <v>782</v>
      </c>
      <c r="D747" s="32" t="s">
        <v>964</v>
      </c>
      <c r="E747" s="33" t="s">
        <v>784</v>
      </c>
      <c r="F747" s="34">
        <v>376196</v>
      </c>
      <c r="G747" s="34">
        <v>376215</v>
      </c>
      <c r="H747" s="35" t="s">
        <v>1568</v>
      </c>
    </row>
    <row r="748" spans="1:8" ht="27" customHeight="1" x14ac:dyDescent="0.2">
      <c r="A748" s="31" t="s">
        <v>1569</v>
      </c>
      <c r="B748" s="32" t="s">
        <v>1570</v>
      </c>
      <c r="C748" s="32" t="s">
        <v>763</v>
      </c>
      <c r="D748" s="32" t="s">
        <v>816</v>
      </c>
      <c r="E748" s="33" t="s">
        <v>764</v>
      </c>
      <c r="F748" s="34">
        <v>2286563</v>
      </c>
      <c r="G748" s="34">
        <v>1507306</v>
      </c>
      <c r="H748" s="35" t="s">
        <v>1571</v>
      </c>
    </row>
    <row r="749" spans="1:8" ht="27" customHeight="1" x14ac:dyDescent="0.2">
      <c r="A749" s="31" t="s">
        <v>1569</v>
      </c>
      <c r="B749" s="32" t="s">
        <v>1570</v>
      </c>
      <c r="C749" s="32" t="s">
        <v>766</v>
      </c>
      <c r="D749" s="32" t="s">
        <v>947</v>
      </c>
      <c r="E749" s="33" t="s">
        <v>768</v>
      </c>
      <c r="F749" s="34">
        <v>1185624</v>
      </c>
      <c r="G749" s="34">
        <v>1186483</v>
      </c>
      <c r="H749" s="35" t="s">
        <v>1572</v>
      </c>
    </row>
    <row r="750" spans="1:8" ht="27" customHeight="1" x14ac:dyDescent="0.2">
      <c r="A750" s="31" t="s">
        <v>1569</v>
      </c>
      <c r="B750" s="32" t="s">
        <v>1570</v>
      </c>
      <c r="C750" s="32" t="s">
        <v>770</v>
      </c>
      <c r="D750" s="32" t="s">
        <v>820</v>
      </c>
      <c r="E750" s="33" t="s">
        <v>772</v>
      </c>
      <c r="F750" s="34">
        <v>714898</v>
      </c>
      <c r="G750" s="34">
        <v>456772</v>
      </c>
      <c r="H750" s="35" t="s">
        <v>1573</v>
      </c>
    </row>
    <row r="751" spans="1:8" ht="27" customHeight="1" x14ac:dyDescent="0.2">
      <c r="A751" s="31" t="s">
        <v>1569</v>
      </c>
      <c r="B751" s="32" t="s">
        <v>1570</v>
      </c>
      <c r="C751" s="32" t="s">
        <v>844</v>
      </c>
      <c r="D751" s="32" t="s">
        <v>972</v>
      </c>
      <c r="E751" s="33" t="s">
        <v>846</v>
      </c>
      <c r="F751" s="34">
        <v>243224</v>
      </c>
      <c r="G751" s="34">
        <v>243273</v>
      </c>
      <c r="H751" s="35" t="s">
        <v>1574</v>
      </c>
    </row>
    <row r="752" spans="1:8" ht="27" customHeight="1" x14ac:dyDescent="0.2">
      <c r="A752" s="31" t="s">
        <v>1569</v>
      </c>
      <c r="B752" s="32" t="s">
        <v>1570</v>
      </c>
      <c r="C752" s="32" t="s">
        <v>773</v>
      </c>
      <c r="D752" s="32" t="s">
        <v>973</v>
      </c>
      <c r="E752" s="33" t="s">
        <v>775</v>
      </c>
      <c r="F752" s="34">
        <v>30181</v>
      </c>
      <c r="G752" s="34">
        <v>30187</v>
      </c>
      <c r="H752" s="35" t="s">
        <v>1572</v>
      </c>
    </row>
    <row r="753" spans="1:8" ht="27" customHeight="1" x14ac:dyDescent="0.2">
      <c r="A753" s="31" t="s">
        <v>1569</v>
      </c>
      <c r="B753" s="32" t="s">
        <v>1570</v>
      </c>
      <c r="C753" s="32" t="s">
        <v>860</v>
      </c>
      <c r="D753" s="32" t="s">
        <v>911</v>
      </c>
      <c r="E753" s="33" t="s">
        <v>861</v>
      </c>
      <c r="F753" s="34">
        <v>685722</v>
      </c>
      <c r="G753" s="34">
        <v>624678</v>
      </c>
      <c r="H753" s="35" t="s">
        <v>1575</v>
      </c>
    </row>
    <row r="754" spans="1:8" ht="27" customHeight="1" x14ac:dyDescent="0.2">
      <c r="A754" s="31" t="s">
        <v>1569</v>
      </c>
      <c r="B754" s="32" t="s">
        <v>1570</v>
      </c>
      <c r="C754" s="32" t="s">
        <v>796</v>
      </c>
      <c r="D754" s="32" t="s">
        <v>1576</v>
      </c>
      <c r="E754" s="33" t="s">
        <v>772</v>
      </c>
      <c r="F754" s="34">
        <v>681568</v>
      </c>
      <c r="G754" s="34">
        <v>681742</v>
      </c>
      <c r="H754" s="35" t="s">
        <v>1577</v>
      </c>
    </row>
    <row r="755" spans="1:8" ht="27" customHeight="1" x14ac:dyDescent="0.2">
      <c r="A755" s="31" t="s">
        <v>1569</v>
      </c>
      <c r="B755" s="32" t="s">
        <v>1570</v>
      </c>
      <c r="C755" s="32" t="s">
        <v>776</v>
      </c>
      <c r="D755" s="32" t="s">
        <v>812</v>
      </c>
      <c r="E755" s="33" t="s">
        <v>777</v>
      </c>
      <c r="F755" s="34">
        <v>854432</v>
      </c>
      <c r="G755" s="34">
        <v>854646</v>
      </c>
      <c r="H755" s="35" t="s">
        <v>1578</v>
      </c>
    </row>
    <row r="756" spans="1:8" ht="27" customHeight="1" x14ac:dyDescent="0.2">
      <c r="A756" s="31" t="s">
        <v>1569</v>
      </c>
      <c r="B756" s="32" t="s">
        <v>1570</v>
      </c>
      <c r="C756" s="32" t="s">
        <v>779</v>
      </c>
      <c r="D756" s="32" t="s">
        <v>826</v>
      </c>
      <c r="E756" s="33" t="s">
        <v>780</v>
      </c>
      <c r="F756" s="34">
        <v>321400</v>
      </c>
      <c r="G756" s="34">
        <v>301465</v>
      </c>
      <c r="H756" s="35" t="s">
        <v>1579</v>
      </c>
    </row>
    <row r="757" spans="1:8" ht="27" customHeight="1" x14ac:dyDescent="0.2">
      <c r="A757" s="31" t="s">
        <v>1569</v>
      </c>
      <c r="B757" s="32" t="s">
        <v>1570</v>
      </c>
      <c r="C757" s="32" t="s">
        <v>782</v>
      </c>
      <c r="D757" s="32" t="s">
        <v>839</v>
      </c>
      <c r="E757" s="33" t="s">
        <v>784</v>
      </c>
      <c r="F757" s="34">
        <v>139095</v>
      </c>
      <c r="G757" s="34">
        <v>118743</v>
      </c>
      <c r="H757" s="35" t="s">
        <v>1580</v>
      </c>
    </row>
    <row r="758" spans="1:8" ht="27" customHeight="1" x14ac:dyDescent="0.2">
      <c r="A758" s="31" t="s">
        <v>1581</v>
      </c>
      <c r="B758" s="32" t="s">
        <v>1582</v>
      </c>
      <c r="C758" s="32" t="s">
        <v>763</v>
      </c>
      <c r="D758" s="32" t="s">
        <v>897</v>
      </c>
      <c r="E758" s="33" t="s">
        <v>764</v>
      </c>
      <c r="F758" s="34">
        <v>985107</v>
      </c>
      <c r="G758" s="34">
        <v>985158</v>
      </c>
      <c r="H758" s="35" t="s">
        <v>765</v>
      </c>
    </row>
    <row r="759" spans="1:8" ht="27" customHeight="1" x14ac:dyDescent="0.2">
      <c r="A759" s="31" t="s">
        <v>1581</v>
      </c>
      <c r="B759" s="32" t="s">
        <v>1582</v>
      </c>
      <c r="C759" s="32" t="s">
        <v>770</v>
      </c>
      <c r="D759" s="32" t="s">
        <v>810</v>
      </c>
      <c r="E759" s="33" t="s">
        <v>772</v>
      </c>
      <c r="F759" s="34">
        <v>242063</v>
      </c>
      <c r="G759" s="34">
        <v>242076</v>
      </c>
      <c r="H759" s="35" t="s">
        <v>765</v>
      </c>
    </row>
    <row r="760" spans="1:8" ht="27" customHeight="1" x14ac:dyDescent="0.2">
      <c r="A760" s="31" t="s">
        <v>1581</v>
      </c>
      <c r="B760" s="32" t="s">
        <v>1582</v>
      </c>
      <c r="C760" s="32" t="s">
        <v>860</v>
      </c>
      <c r="D760" s="32" t="s">
        <v>911</v>
      </c>
      <c r="E760" s="33" t="s">
        <v>861</v>
      </c>
      <c r="F760" s="34">
        <v>184763</v>
      </c>
      <c r="G760" s="34">
        <v>184772</v>
      </c>
      <c r="H760" s="35" t="s">
        <v>765</v>
      </c>
    </row>
    <row r="761" spans="1:8" ht="27" customHeight="1" x14ac:dyDescent="0.2">
      <c r="A761" s="31" t="s">
        <v>1581</v>
      </c>
      <c r="B761" s="32" t="s">
        <v>1582</v>
      </c>
      <c r="C761" s="32" t="s">
        <v>796</v>
      </c>
      <c r="D761" s="32" t="s">
        <v>811</v>
      </c>
      <c r="E761" s="33" t="s">
        <v>772</v>
      </c>
      <c r="F761" s="34">
        <v>1346104</v>
      </c>
      <c r="G761" s="34">
        <v>1346244</v>
      </c>
      <c r="H761" s="35" t="s">
        <v>1583</v>
      </c>
    </row>
    <row r="762" spans="1:8" ht="27" customHeight="1" x14ac:dyDescent="0.2">
      <c r="A762" s="31" t="s">
        <v>1581</v>
      </c>
      <c r="B762" s="32" t="s">
        <v>1582</v>
      </c>
      <c r="C762" s="32" t="s">
        <v>776</v>
      </c>
      <c r="D762" s="32" t="s">
        <v>812</v>
      </c>
      <c r="E762" s="33" t="s">
        <v>777</v>
      </c>
      <c r="F762" s="34">
        <v>25007</v>
      </c>
      <c r="G762" s="34">
        <v>25008</v>
      </c>
      <c r="H762" s="35" t="s">
        <v>765</v>
      </c>
    </row>
    <row r="763" spans="1:8" ht="27" customHeight="1" x14ac:dyDescent="0.2">
      <c r="A763" s="31" t="s">
        <v>1581</v>
      </c>
      <c r="B763" s="32" t="s">
        <v>1582</v>
      </c>
      <c r="C763" s="32" t="s">
        <v>779</v>
      </c>
      <c r="D763" s="32" t="s">
        <v>876</v>
      </c>
      <c r="E763" s="33" t="s">
        <v>780</v>
      </c>
      <c r="F763" s="34">
        <v>148430</v>
      </c>
      <c r="G763" s="34">
        <v>148438</v>
      </c>
      <c r="H763" s="35" t="s">
        <v>765</v>
      </c>
    </row>
    <row r="764" spans="1:8" ht="27" customHeight="1" x14ac:dyDescent="0.2">
      <c r="A764" s="31" t="s">
        <v>1581</v>
      </c>
      <c r="B764" s="32" t="s">
        <v>1582</v>
      </c>
      <c r="C764" s="32" t="s">
        <v>782</v>
      </c>
      <c r="D764" s="32" t="s">
        <v>964</v>
      </c>
      <c r="E764" s="33" t="s">
        <v>784</v>
      </c>
      <c r="F764" s="34">
        <v>422524</v>
      </c>
      <c r="G764" s="34">
        <v>422545</v>
      </c>
      <c r="H764" s="35" t="s">
        <v>1584</v>
      </c>
    </row>
    <row r="765" spans="1:8" ht="27" customHeight="1" x14ac:dyDescent="0.2">
      <c r="A765" s="31" t="s">
        <v>1585</v>
      </c>
      <c r="B765" s="32" t="s">
        <v>1586</v>
      </c>
      <c r="C765" s="32" t="s">
        <v>763</v>
      </c>
      <c r="D765" s="32" t="s">
        <v>816</v>
      </c>
      <c r="E765" s="33" t="s">
        <v>764</v>
      </c>
      <c r="F765" s="34">
        <v>531357</v>
      </c>
      <c r="G765" s="34">
        <v>531357</v>
      </c>
      <c r="H765" s="35" t="s">
        <v>1587</v>
      </c>
    </row>
    <row r="766" spans="1:8" ht="27" customHeight="1" x14ac:dyDescent="0.2">
      <c r="A766" s="31" t="s">
        <v>1585</v>
      </c>
      <c r="B766" s="32" t="s">
        <v>1586</v>
      </c>
      <c r="C766" s="32" t="s">
        <v>766</v>
      </c>
      <c r="D766" s="32" t="s">
        <v>832</v>
      </c>
      <c r="E766" s="33" t="s">
        <v>768</v>
      </c>
      <c r="F766" s="34">
        <v>6048641</v>
      </c>
      <c r="G766" s="34">
        <v>5740407</v>
      </c>
      <c r="H766" s="35" t="s">
        <v>1588</v>
      </c>
    </row>
    <row r="767" spans="1:8" ht="27" customHeight="1" x14ac:dyDescent="0.2">
      <c r="A767" s="31" t="s">
        <v>1585</v>
      </c>
      <c r="B767" s="32" t="s">
        <v>1586</v>
      </c>
      <c r="C767" s="32" t="s">
        <v>770</v>
      </c>
      <c r="D767" s="32" t="s">
        <v>1589</v>
      </c>
      <c r="E767" s="33" t="s">
        <v>772</v>
      </c>
      <c r="F767" s="34">
        <v>1835429</v>
      </c>
      <c r="G767" s="34">
        <v>1835429</v>
      </c>
      <c r="H767" s="35" t="s">
        <v>1590</v>
      </c>
    </row>
    <row r="768" spans="1:8" ht="27" customHeight="1" x14ac:dyDescent="0.2">
      <c r="A768" s="31" t="s">
        <v>1585</v>
      </c>
      <c r="B768" s="32" t="s">
        <v>1586</v>
      </c>
      <c r="C768" s="32" t="s">
        <v>831</v>
      </c>
      <c r="D768" s="32" t="s">
        <v>1591</v>
      </c>
      <c r="E768" s="33" t="s">
        <v>1592</v>
      </c>
      <c r="F768" s="34">
        <v>0</v>
      </c>
      <c r="G768" s="34">
        <v>0</v>
      </c>
      <c r="H768" s="35" t="s">
        <v>1591</v>
      </c>
    </row>
    <row r="769" spans="1:8" ht="27" customHeight="1" x14ac:dyDescent="0.2">
      <c r="A769" s="31" t="s">
        <v>1585</v>
      </c>
      <c r="B769" s="32" t="s">
        <v>1586</v>
      </c>
      <c r="C769" s="32" t="s">
        <v>796</v>
      </c>
      <c r="D769" s="32" t="s">
        <v>1149</v>
      </c>
      <c r="E769" s="33" t="s">
        <v>772</v>
      </c>
      <c r="F769" s="34">
        <v>1603859</v>
      </c>
      <c r="G769" s="34">
        <v>1603859</v>
      </c>
      <c r="H769" s="35" t="s">
        <v>1593</v>
      </c>
    </row>
    <row r="770" spans="1:8" ht="27" customHeight="1" x14ac:dyDescent="0.2">
      <c r="A770" s="31" t="s">
        <v>1585</v>
      </c>
      <c r="B770" s="32" t="s">
        <v>1586</v>
      </c>
      <c r="C770" s="32" t="s">
        <v>776</v>
      </c>
      <c r="D770" s="32" t="s">
        <v>812</v>
      </c>
      <c r="E770" s="33" t="s">
        <v>777</v>
      </c>
      <c r="F770" s="34">
        <v>200000</v>
      </c>
      <c r="G770" s="34">
        <v>200000</v>
      </c>
      <c r="H770" s="35" t="s">
        <v>1594</v>
      </c>
    </row>
    <row r="771" spans="1:8" ht="27" customHeight="1" x14ac:dyDescent="0.2">
      <c r="A771" s="31" t="s">
        <v>1585</v>
      </c>
      <c r="B771" s="32" t="s">
        <v>1586</v>
      </c>
      <c r="C771" s="32" t="s">
        <v>779</v>
      </c>
      <c r="D771" s="32" t="s">
        <v>826</v>
      </c>
      <c r="E771" s="33" t="s">
        <v>780</v>
      </c>
      <c r="F771" s="34">
        <v>247549</v>
      </c>
      <c r="G771" s="34">
        <v>247549</v>
      </c>
      <c r="H771" s="35" t="s">
        <v>1595</v>
      </c>
    </row>
    <row r="772" spans="1:8" ht="27" customHeight="1" x14ac:dyDescent="0.2">
      <c r="A772" s="31" t="s">
        <v>1585</v>
      </c>
      <c r="B772" s="32" t="s">
        <v>1586</v>
      </c>
      <c r="C772" s="32" t="s">
        <v>782</v>
      </c>
      <c r="D772" s="32" t="s">
        <v>813</v>
      </c>
      <c r="E772" s="33" t="s">
        <v>784</v>
      </c>
      <c r="F772" s="34">
        <v>1065310</v>
      </c>
      <c r="G772" s="34">
        <v>1065310</v>
      </c>
      <c r="H772" s="35" t="s">
        <v>1596</v>
      </c>
    </row>
    <row r="773" spans="1:8" ht="27" customHeight="1" x14ac:dyDescent="0.2">
      <c r="A773" s="31" t="s">
        <v>1597</v>
      </c>
      <c r="B773" s="32" t="s">
        <v>1598</v>
      </c>
      <c r="C773" s="32" t="s">
        <v>763</v>
      </c>
      <c r="D773" s="32" t="s">
        <v>816</v>
      </c>
      <c r="E773" s="33" t="s">
        <v>764</v>
      </c>
      <c r="F773" s="34">
        <v>1425636</v>
      </c>
      <c r="G773" s="34">
        <v>625636</v>
      </c>
      <c r="H773" s="35" t="s">
        <v>1599</v>
      </c>
    </row>
    <row r="774" spans="1:8" ht="27" customHeight="1" x14ac:dyDescent="0.2">
      <c r="A774" s="31" t="s">
        <v>1597</v>
      </c>
      <c r="B774" s="32" t="s">
        <v>1598</v>
      </c>
      <c r="C774" s="32" t="s">
        <v>766</v>
      </c>
      <c r="D774" s="32" t="s">
        <v>1301</v>
      </c>
      <c r="E774" s="33" t="s">
        <v>768</v>
      </c>
      <c r="F774" s="34">
        <v>1901144</v>
      </c>
      <c r="G774" s="34">
        <v>1801144</v>
      </c>
      <c r="H774" s="35" t="s">
        <v>767</v>
      </c>
    </row>
    <row r="775" spans="1:8" ht="27" customHeight="1" x14ac:dyDescent="0.2">
      <c r="A775" s="31" t="s">
        <v>1597</v>
      </c>
      <c r="B775" s="32" t="s">
        <v>1598</v>
      </c>
      <c r="C775" s="32" t="s">
        <v>770</v>
      </c>
      <c r="D775" s="32" t="s">
        <v>810</v>
      </c>
      <c r="E775" s="33" t="s">
        <v>772</v>
      </c>
      <c r="F775" s="34">
        <v>2096322</v>
      </c>
      <c r="G775" s="34">
        <v>2044212</v>
      </c>
      <c r="H775" s="35" t="s">
        <v>1600</v>
      </c>
    </row>
    <row r="776" spans="1:8" ht="27" customHeight="1" x14ac:dyDescent="0.2">
      <c r="A776" s="31" t="s">
        <v>1597</v>
      </c>
      <c r="B776" s="32" t="s">
        <v>1598</v>
      </c>
      <c r="C776" s="32" t="s">
        <v>860</v>
      </c>
      <c r="D776" s="32" t="s">
        <v>911</v>
      </c>
      <c r="E776" s="33" t="s">
        <v>861</v>
      </c>
      <c r="F776" s="34">
        <v>400680</v>
      </c>
      <c r="G776" s="34">
        <v>329680</v>
      </c>
      <c r="H776" s="35" t="s">
        <v>1601</v>
      </c>
    </row>
    <row r="777" spans="1:8" ht="27" customHeight="1" x14ac:dyDescent="0.2">
      <c r="A777" s="31" t="s">
        <v>1597</v>
      </c>
      <c r="B777" s="32" t="s">
        <v>1598</v>
      </c>
      <c r="C777" s="32" t="s">
        <v>796</v>
      </c>
      <c r="D777" s="32" t="s">
        <v>1602</v>
      </c>
      <c r="E777" s="33" t="s">
        <v>823</v>
      </c>
      <c r="F777" s="34">
        <v>1486528</v>
      </c>
      <c r="G777" s="34">
        <v>1336528</v>
      </c>
      <c r="H777" s="35" t="s">
        <v>1603</v>
      </c>
    </row>
    <row r="778" spans="1:8" ht="27" customHeight="1" x14ac:dyDescent="0.2">
      <c r="A778" s="31" t="s">
        <v>1597</v>
      </c>
      <c r="B778" s="32" t="s">
        <v>1598</v>
      </c>
      <c r="C778" s="32" t="s">
        <v>779</v>
      </c>
      <c r="D778" s="32" t="s">
        <v>876</v>
      </c>
      <c r="E778" s="33" t="s">
        <v>780</v>
      </c>
      <c r="F778" s="34">
        <v>251050</v>
      </c>
      <c r="G778" s="34">
        <v>251125</v>
      </c>
      <c r="H778" s="35" t="s">
        <v>1604</v>
      </c>
    </row>
    <row r="779" spans="1:8" ht="27" customHeight="1" x14ac:dyDescent="0.2">
      <c r="A779" s="31" t="s">
        <v>1597</v>
      </c>
      <c r="B779" s="32" t="s">
        <v>1598</v>
      </c>
      <c r="C779" s="32" t="s">
        <v>782</v>
      </c>
      <c r="D779" s="32" t="s">
        <v>782</v>
      </c>
      <c r="E779" s="33" t="s">
        <v>784</v>
      </c>
      <c r="F779" s="34">
        <v>114160</v>
      </c>
      <c r="G779" s="34">
        <v>39160</v>
      </c>
      <c r="H779" s="35" t="s">
        <v>1605</v>
      </c>
    </row>
    <row r="780" spans="1:8" ht="27" customHeight="1" x14ac:dyDescent="0.2">
      <c r="A780" s="31" t="s">
        <v>1606</v>
      </c>
      <c r="B780" s="32" t="s">
        <v>1607</v>
      </c>
      <c r="C780" s="32" t="s">
        <v>763</v>
      </c>
      <c r="D780" s="32" t="s">
        <v>763</v>
      </c>
      <c r="E780" s="33" t="s">
        <v>764</v>
      </c>
      <c r="F780" s="34">
        <v>2763</v>
      </c>
      <c r="G780" s="34">
        <v>2791</v>
      </c>
      <c r="H780" s="35" t="s">
        <v>859</v>
      </c>
    </row>
    <row r="781" spans="1:8" ht="27" customHeight="1" x14ac:dyDescent="0.2">
      <c r="A781" s="31" t="s">
        <v>1606</v>
      </c>
      <c r="B781" s="32" t="s">
        <v>1607</v>
      </c>
      <c r="C781" s="32" t="s">
        <v>770</v>
      </c>
      <c r="D781" s="32" t="s">
        <v>1136</v>
      </c>
      <c r="E781" s="33" t="s">
        <v>772</v>
      </c>
      <c r="F781" s="34">
        <v>331692</v>
      </c>
      <c r="G781" s="34">
        <v>332024</v>
      </c>
      <c r="H781" s="35" t="s">
        <v>1608</v>
      </c>
    </row>
    <row r="782" spans="1:8" ht="27" customHeight="1" x14ac:dyDescent="0.2">
      <c r="A782" s="31" t="s">
        <v>1606</v>
      </c>
      <c r="B782" s="32" t="s">
        <v>1607</v>
      </c>
      <c r="C782" s="32" t="s">
        <v>844</v>
      </c>
      <c r="D782" s="32" t="s">
        <v>844</v>
      </c>
      <c r="E782" s="33" t="s">
        <v>846</v>
      </c>
      <c r="F782" s="34">
        <v>26028</v>
      </c>
      <c r="G782" s="34">
        <v>26054</v>
      </c>
      <c r="H782" s="35" t="s">
        <v>1609</v>
      </c>
    </row>
    <row r="783" spans="1:8" ht="27" customHeight="1" x14ac:dyDescent="0.2">
      <c r="A783" s="31" t="s">
        <v>1606</v>
      </c>
      <c r="B783" s="32" t="s">
        <v>1607</v>
      </c>
      <c r="C783" s="32" t="s">
        <v>773</v>
      </c>
      <c r="D783" s="32" t="s">
        <v>773</v>
      </c>
      <c r="E783" s="33" t="s">
        <v>775</v>
      </c>
      <c r="F783" s="34">
        <v>26028</v>
      </c>
      <c r="G783" s="34">
        <v>26054</v>
      </c>
      <c r="H783" s="35" t="s">
        <v>1610</v>
      </c>
    </row>
    <row r="784" spans="1:8" ht="27" customHeight="1" x14ac:dyDescent="0.2">
      <c r="A784" s="31" t="s">
        <v>1606</v>
      </c>
      <c r="B784" s="32" t="s">
        <v>1607</v>
      </c>
      <c r="C784" s="32" t="s">
        <v>796</v>
      </c>
      <c r="D784" s="32" t="s">
        <v>796</v>
      </c>
      <c r="E784" s="33" t="s">
        <v>772</v>
      </c>
      <c r="F784" s="34">
        <v>312221</v>
      </c>
      <c r="G784" s="34">
        <v>267153</v>
      </c>
      <c r="H784" s="35" t="s">
        <v>1611</v>
      </c>
    </row>
    <row r="785" spans="1:8" ht="27" customHeight="1" x14ac:dyDescent="0.2">
      <c r="A785" s="31" t="s">
        <v>1606</v>
      </c>
      <c r="B785" s="32" t="s">
        <v>1607</v>
      </c>
      <c r="C785" s="32" t="s">
        <v>779</v>
      </c>
      <c r="D785" s="32" t="s">
        <v>802</v>
      </c>
      <c r="E785" s="33" t="s">
        <v>780</v>
      </c>
      <c r="F785" s="34">
        <v>52251</v>
      </c>
      <c r="G785" s="34">
        <v>52303</v>
      </c>
      <c r="H785" s="35" t="s">
        <v>1612</v>
      </c>
    </row>
    <row r="786" spans="1:8" ht="27" customHeight="1" x14ac:dyDescent="0.2">
      <c r="A786" s="31" t="s">
        <v>1613</v>
      </c>
      <c r="B786" s="32" t="s">
        <v>241</v>
      </c>
      <c r="C786" s="32" t="s">
        <v>763</v>
      </c>
      <c r="D786" s="32" t="s">
        <v>816</v>
      </c>
      <c r="E786" s="33" t="s">
        <v>764</v>
      </c>
      <c r="F786" s="34">
        <v>2854961</v>
      </c>
      <c r="G786" s="34">
        <v>2854961</v>
      </c>
      <c r="H786" s="35" t="s">
        <v>1614</v>
      </c>
    </row>
    <row r="787" spans="1:8" ht="27" customHeight="1" x14ac:dyDescent="0.2">
      <c r="A787" s="31" t="s">
        <v>1613</v>
      </c>
      <c r="B787" s="32" t="s">
        <v>241</v>
      </c>
      <c r="C787" s="32" t="s">
        <v>770</v>
      </c>
      <c r="D787" s="32" t="s">
        <v>770</v>
      </c>
      <c r="E787" s="33" t="s">
        <v>772</v>
      </c>
      <c r="F787" s="34">
        <v>1135331</v>
      </c>
      <c r="G787" s="34">
        <v>1135331</v>
      </c>
      <c r="H787" s="35" t="s">
        <v>1615</v>
      </c>
    </row>
    <row r="788" spans="1:8" ht="27" customHeight="1" x14ac:dyDescent="0.2">
      <c r="A788" s="31" t="s">
        <v>1613</v>
      </c>
      <c r="B788" s="32" t="s">
        <v>241</v>
      </c>
      <c r="C788" s="32" t="s">
        <v>779</v>
      </c>
      <c r="D788" s="32" t="s">
        <v>779</v>
      </c>
      <c r="E788" s="33" t="s">
        <v>780</v>
      </c>
      <c r="F788" s="34">
        <v>46971</v>
      </c>
      <c r="G788" s="34">
        <v>46971</v>
      </c>
      <c r="H788" s="35" t="s">
        <v>859</v>
      </c>
    </row>
    <row r="789" spans="1:8" ht="27" customHeight="1" x14ac:dyDescent="0.2">
      <c r="A789" s="31" t="s">
        <v>1616</v>
      </c>
      <c r="B789" s="32" t="s">
        <v>1617</v>
      </c>
      <c r="C789" s="32" t="s">
        <v>770</v>
      </c>
      <c r="D789" s="32" t="s">
        <v>1136</v>
      </c>
      <c r="E789" s="33" t="s">
        <v>772</v>
      </c>
      <c r="F789" s="34">
        <v>160729</v>
      </c>
      <c r="G789" s="34">
        <v>160925</v>
      </c>
      <c r="H789" s="35" t="s">
        <v>1618</v>
      </c>
    </row>
    <row r="790" spans="1:8" ht="27" customHeight="1" x14ac:dyDescent="0.2">
      <c r="A790" s="31" t="s">
        <v>1616</v>
      </c>
      <c r="B790" s="32" t="s">
        <v>1617</v>
      </c>
      <c r="C790" s="32" t="s">
        <v>860</v>
      </c>
      <c r="D790" s="32" t="s">
        <v>860</v>
      </c>
      <c r="E790" s="33" t="s">
        <v>861</v>
      </c>
      <c r="F790" s="34">
        <v>51284</v>
      </c>
      <c r="G790" s="34">
        <v>51335</v>
      </c>
      <c r="H790" s="35" t="s">
        <v>1619</v>
      </c>
    </row>
    <row r="791" spans="1:8" ht="27" customHeight="1" x14ac:dyDescent="0.2">
      <c r="A791" s="31" t="s">
        <v>1616</v>
      </c>
      <c r="B791" s="32" t="s">
        <v>1617</v>
      </c>
      <c r="C791" s="32" t="s">
        <v>796</v>
      </c>
      <c r="D791" s="32" t="s">
        <v>796</v>
      </c>
      <c r="E791" s="33" t="s">
        <v>772</v>
      </c>
      <c r="F791" s="34">
        <v>449410</v>
      </c>
      <c r="G791" s="34">
        <v>449859</v>
      </c>
      <c r="H791" s="35" t="s">
        <v>1611</v>
      </c>
    </row>
    <row r="792" spans="1:8" ht="27" customHeight="1" x14ac:dyDescent="0.2">
      <c r="A792" s="31" t="s">
        <v>1616</v>
      </c>
      <c r="B792" s="32" t="s">
        <v>1617</v>
      </c>
      <c r="C792" s="32" t="s">
        <v>776</v>
      </c>
      <c r="D792" s="32" t="s">
        <v>776</v>
      </c>
      <c r="E792" s="33" t="s">
        <v>777</v>
      </c>
      <c r="F792" s="34">
        <v>230710</v>
      </c>
      <c r="G792" s="34">
        <v>230940</v>
      </c>
      <c r="H792" s="35" t="s">
        <v>1620</v>
      </c>
    </row>
    <row r="793" spans="1:8" ht="27" customHeight="1" x14ac:dyDescent="0.2">
      <c r="A793" s="31" t="s">
        <v>1616</v>
      </c>
      <c r="B793" s="32" t="s">
        <v>1617</v>
      </c>
      <c r="C793" s="32" t="s">
        <v>779</v>
      </c>
      <c r="D793" s="32" t="s">
        <v>802</v>
      </c>
      <c r="E793" s="33" t="s">
        <v>780</v>
      </c>
      <c r="F793" s="34">
        <v>30000</v>
      </c>
      <c r="G793" s="34">
        <v>30030</v>
      </c>
      <c r="H793" s="35" t="s">
        <v>1621</v>
      </c>
    </row>
    <row r="794" spans="1:8" ht="27" customHeight="1" x14ac:dyDescent="0.2">
      <c r="A794" s="31" t="s">
        <v>1622</v>
      </c>
      <c r="B794" s="32" t="s">
        <v>1623</v>
      </c>
      <c r="C794" s="32" t="s">
        <v>770</v>
      </c>
      <c r="D794" s="32" t="s">
        <v>1136</v>
      </c>
      <c r="E794" s="33" t="s">
        <v>772</v>
      </c>
      <c r="F794" s="34">
        <v>557232</v>
      </c>
      <c r="G794" s="34">
        <v>560000</v>
      </c>
      <c r="H794" s="35" t="s">
        <v>1624</v>
      </c>
    </row>
    <row r="795" spans="1:8" ht="27" customHeight="1" x14ac:dyDescent="0.2">
      <c r="A795" s="31" t="s">
        <v>1622</v>
      </c>
      <c r="B795" s="32" t="s">
        <v>1623</v>
      </c>
      <c r="C795" s="32" t="s">
        <v>773</v>
      </c>
      <c r="D795" s="32" t="s">
        <v>773</v>
      </c>
      <c r="E795" s="33" t="s">
        <v>775</v>
      </c>
      <c r="F795" s="34">
        <v>449953</v>
      </c>
      <c r="G795" s="34">
        <v>501000</v>
      </c>
      <c r="H795" s="35" t="s">
        <v>1625</v>
      </c>
    </row>
    <row r="796" spans="1:8" ht="27" customHeight="1" x14ac:dyDescent="0.2">
      <c r="A796" s="31" t="s">
        <v>1622</v>
      </c>
      <c r="B796" s="32" t="s">
        <v>1623</v>
      </c>
      <c r="C796" s="32" t="s">
        <v>831</v>
      </c>
      <c r="D796" s="32" t="s">
        <v>870</v>
      </c>
      <c r="E796" s="33" t="s">
        <v>870</v>
      </c>
      <c r="F796" s="34">
        <v>3740630</v>
      </c>
      <c r="G796" s="34">
        <v>4000000</v>
      </c>
      <c r="H796" s="35" t="s">
        <v>1626</v>
      </c>
    </row>
    <row r="797" spans="1:8" ht="27" customHeight="1" x14ac:dyDescent="0.2">
      <c r="A797" s="31" t="s">
        <v>1622</v>
      </c>
      <c r="B797" s="32" t="s">
        <v>1623</v>
      </c>
      <c r="C797" s="32" t="s">
        <v>796</v>
      </c>
      <c r="D797" s="32" t="s">
        <v>1050</v>
      </c>
      <c r="E797" s="33" t="s">
        <v>823</v>
      </c>
      <c r="F797" s="34">
        <v>667513</v>
      </c>
      <c r="G797" s="34">
        <v>669000</v>
      </c>
      <c r="H797" s="35" t="s">
        <v>1627</v>
      </c>
    </row>
    <row r="798" spans="1:8" ht="27" customHeight="1" x14ac:dyDescent="0.2">
      <c r="A798" s="31" t="s">
        <v>1622</v>
      </c>
      <c r="B798" s="32" t="s">
        <v>1623</v>
      </c>
      <c r="C798" s="32" t="s">
        <v>779</v>
      </c>
      <c r="D798" s="32" t="s">
        <v>802</v>
      </c>
      <c r="E798" s="33" t="s">
        <v>780</v>
      </c>
      <c r="F798" s="34">
        <v>145882</v>
      </c>
      <c r="G798" s="34">
        <v>146500</v>
      </c>
      <c r="H798" s="35" t="s">
        <v>1628</v>
      </c>
    </row>
    <row r="799" spans="1:8" ht="27" customHeight="1" x14ac:dyDescent="0.2">
      <c r="A799" s="31" t="s">
        <v>1622</v>
      </c>
      <c r="B799" s="32" t="s">
        <v>1623</v>
      </c>
      <c r="C799" s="32" t="s">
        <v>782</v>
      </c>
      <c r="D799" s="32" t="s">
        <v>1629</v>
      </c>
      <c r="E799" s="33" t="s">
        <v>784</v>
      </c>
      <c r="F799" s="34">
        <v>116520</v>
      </c>
      <c r="G799" s="34">
        <v>117500</v>
      </c>
      <c r="H799" s="35" t="s">
        <v>1630</v>
      </c>
    </row>
    <row r="800" spans="1:8" ht="27" customHeight="1" x14ac:dyDescent="0.2">
      <c r="A800" s="31" t="s">
        <v>1631</v>
      </c>
      <c r="B800" s="32" t="s">
        <v>1632</v>
      </c>
      <c r="C800" s="32" t="s">
        <v>763</v>
      </c>
      <c r="D800" s="32" t="s">
        <v>816</v>
      </c>
      <c r="E800" s="33" t="s">
        <v>764</v>
      </c>
      <c r="F800" s="34">
        <v>110479</v>
      </c>
      <c r="G800" s="34">
        <v>110490</v>
      </c>
      <c r="H800" s="35" t="s">
        <v>1633</v>
      </c>
    </row>
    <row r="801" spans="1:8" ht="27" customHeight="1" x14ac:dyDescent="0.2">
      <c r="A801" s="31" t="s">
        <v>1631</v>
      </c>
      <c r="B801" s="32" t="s">
        <v>1632</v>
      </c>
      <c r="C801" s="32" t="s">
        <v>770</v>
      </c>
      <c r="D801" s="32" t="s">
        <v>820</v>
      </c>
      <c r="E801" s="33" t="s">
        <v>772</v>
      </c>
      <c r="F801" s="34">
        <v>172412</v>
      </c>
      <c r="G801" s="34">
        <v>152400</v>
      </c>
      <c r="H801" s="35" t="s">
        <v>1634</v>
      </c>
    </row>
    <row r="802" spans="1:8" ht="27" customHeight="1" x14ac:dyDescent="0.2">
      <c r="A802" s="31" t="s">
        <v>1631</v>
      </c>
      <c r="B802" s="32" t="s">
        <v>1632</v>
      </c>
      <c r="C802" s="32" t="s">
        <v>796</v>
      </c>
      <c r="D802" s="32" t="s">
        <v>1095</v>
      </c>
      <c r="E802" s="33" t="s">
        <v>772</v>
      </c>
      <c r="F802" s="34">
        <v>157220</v>
      </c>
      <c r="G802" s="34">
        <v>132225</v>
      </c>
      <c r="H802" s="35" t="s">
        <v>1635</v>
      </c>
    </row>
    <row r="803" spans="1:8" ht="27" customHeight="1" x14ac:dyDescent="0.2">
      <c r="A803" s="31" t="s">
        <v>1631</v>
      </c>
      <c r="B803" s="32" t="s">
        <v>1632</v>
      </c>
      <c r="C803" s="32" t="s">
        <v>779</v>
      </c>
      <c r="D803" s="32" t="s">
        <v>826</v>
      </c>
      <c r="E803" s="33" t="s">
        <v>780</v>
      </c>
      <c r="F803" s="34">
        <v>15000</v>
      </c>
      <c r="G803" s="34">
        <v>15000</v>
      </c>
      <c r="H803" s="35" t="s">
        <v>1636</v>
      </c>
    </row>
    <row r="804" spans="1:8" ht="27" customHeight="1" x14ac:dyDescent="0.2">
      <c r="A804" s="31" t="s">
        <v>1637</v>
      </c>
      <c r="B804" s="32" t="s">
        <v>1638</v>
      </c>
      <c r="C804" s="32" t="s">
        <v>763</v>
      </c>
      <c r="D804" s="32" t="s">
        <v>1639</v>
      </c>
      <c r="E804" s="33" t="s">
        <v>764</v>
      </c>
      <c r="F804" s="34">
        <v>415331</v>
      </c>
      <c r="G804" s="34">
        <v>415331</v>
      </c>
      <c r="H804" s="35" t="s">
        <v>1640</v>
      </c>
    </row>
    <row r="805" spans="1:8" ht="27" customHeight="1" x14ac:dyDescent="0.2">
      <c r="A805" s="31" t="s">
        <v>1637</v>
      </c>
      <c r="B805" s="32" t="s">
        <v>1638</v>
      </c>
      <c r="C805" s="32" t="s">
        <v>763</v>
      </c>
      <c r="D805" s="32" t="s">
        <v>988</v>
      </c>
      <c r="E805" s="33" t="s">
        <v>764</v>
      </c>
      <c r="F805" s="34">
        <v>610000</v>
      </c>
      <c r="G805" s="34">
        <v>1200000</v>
      </c>
      <c r="H805" s="35" t="s">
        <v>1040</v>
      </c>
    </row>
    <row r="806" spans="1:8" ht="27" customHeight="1" x14ac:dyDescent="0.2">
      <c r="A806" s="31" t="s">
        <v>1637</v>
      </c>
      <c r="B806" s="32" t="s">
        <v>1638</v>
      </c>
      <c r="C806" s="32" t="s">
        <v>770</v>
      </c>
      <c r="D806" s="32" t="s">
        <v>1136</v>
      </c>
      <c r="E806" s="33" t="s">
        <v>772</v>
      </c>
      <c r="F806" s="34">
        <v>574434</v>
      </c>
      <c r="G806" s="34">
        <v>574434</v>
      </c>
      <c r="H806" s="35" t="s">
        <v>1641</v>
      </c>
    </row>
    <row r="807" spans="1:8" ht="27" customHeight="1" x14ac:dyDescent="0.2">
      <c r="A807" s="31" t="s">
        <v>1637</v>
      </c>
      <c r="B807" s="32" t="s">
        <v>1638</v>
      </c>
      <c r="C807" s="32" t="s">
        <v>860</v>
      </c>
      <c r="D807" s="32" t="s">
        <v>911</v>
      </c>
      <c r="E807" s="33" t="s">
        <v>861</v>
      </c>
      <c r="F807" s="34">
        <v>50255</v>
      </c>
      <c r="G807" s="34">
        <v>50255</v>
      </c>
      <c r="H807" s="35" t="s">
        <v>1642</v>
      </c>
    </row>
    <row r="808" spans="1:8" ht="27" customHeight="1" x14ac:dyDescent="0.2">
      <c r="A808" s="31" t="s">
        <v>1637</v>
      </c>
      <c r="B808" s="32" t="s">
        <v>1638</v>
      </c>
      <c r="C808" s="32" t="s">
        <v>796</v>
      </c>
      <c r="D808" s="32" t="s">
        <v>835</v>
      </c>
      <c r="E808" s="33" t="s">
        <v>823</v>
      </c>
      <c r="F808" s="34">
        <v>1382000</v>
      </c>
      <c r="G808" s="34">
        <v>1382000</v>
      </c>
      <c r="H808" s="35" t="s">
        <v>1642</v>
      </c>
    </row>
    <row r="809" spans="1:8" ht="27" customHeight="1" x14ac:dyDescent="0.2">
      <c r="A809" s="31" t="s">
        <v>1637</v>
      </c>
      <c r="B809" s="32" t="s">
        <v>1638</v>
      </c>
      <c r="C809" s="32" t="s">
        <v>779</v>
      </c>
      <c r="D809" s="32" t="s">
        <v>802</v>
      </c>
      <c r="E809" s="33" t="s">
        <v>780</v>
      </c>
      <c r="F809" s="34">
        <v>33312</v>
      </c>
      <c r="G809" s="34">
        <v>33312</v>
      </c>
      <c r="H809" s="35" t="s">
        <v>1642</v>
      </c>
    </row>
    <row r="810" spans="1:8" ht="27" customHeight="1" x14ac:dyDescent="0.2">
      <c r="A810" s="31" t="s">
        <v>1643</v>
      </c>
      <c r="B810" s="32" t="s">
        <v>1644</v>
      </c>
      <c r="C810" s="32" t="s">
        <v>763</v>
      </c>
      <c r="D810" s="32" t="s">
        <v>763</v>
      </c>
      <c r="E810" s="33" t="s">
        <v>764</v>
      </c>
      <c r="F810" s="34">
        <v>1028079</v>
      </c>
      <c r="G810" s="34">
        <v>1038366</v>
      </c>
      <c r="H810" s="35" t="s">
        <v>859</v>
      </c>
    </row>
    <row r="811" spans="1:8" ht="27" customHeight="1" x14ac:dyDescent="0.2">
      <c r="A811" s="31" t="s">
        <v>1643</v>
      </c>
      <c r="B811" s="32" t="s">
        <v>1644</v>
      </c>
      <c r="C811" s="32" t="s">
        <v>770</v>
      </c>
      <c r="D811" s="32" t="s">
        <v>1136</v>
      </c>
      <c r="E811" s="33" t="s">
        <v>772</v>
      </c>
      <c r="F811" s="34">
        <v>357688</v>
      </c>
      <c r="G811" s="34">
        <v>361265</v>
      </c>
      <c r="H811" s="35" t="s">
        <v>1645</v>
      </c>
    </row>
    <row r="812" spans="1:8" ht="27" customHeight="1" x14ac:dyDescent="0.2">
      <c r="A812" s="31" t="s">
        <v>1643</v>
      </c>
      <c r="B812" s="32" t="s">
        <v>1644</v>
      </c>
      <c r="C812" s="32" t="s">
        <v>860</v>
      </c>
      <c r="D812" s="32" t="s">
        <v>1646</v>
      </c>
      <c r="E812" s="33" t="s">
        <v>861</v>
      </c>
      <c r="F812" s="34">
        <v>108316</v>
      </c>
      <c r="G812" s="34">
        <v>109399</v>
      </c>
      <c r="H812" s="35" t="s">
        <v>859</v>
      </c>
    </row>
    <row r="813" spans="1:8" ht="27" customHeight="1" x14ac:dyDescent="0.2">
      <c r="A813" s="31" t="s">
        <v>1643</v>
      </c>
      <c r="B813" s="32" t="s">
        <v>1644</v>
      </c>
      <c r="C813" s="32" t="s">
        <v>796</v>
      </c>
      <c r="D813" s="32" t="s">
        <v>796</v>
      </c>
      <c r="E813" s="33" t="s">
        <v>772</v>
      </c>
      <c r="F813" s="34">
        <v>543563</v>
      </c>
      <c r="G813" s="34">
        <v>549052</v>
      </c>
      <c r="H813" s="35" t="s">
        <v>1611</v>
      </c>
    </row>
    <row r="814" spans="1:8" ht="27" customHeight="1" x14ac:dyDescent="0.2">
      <c r="A814" s="31" t="s">
        <v>1643</v>
      </c>
      <c r="B814" s="32" t="s">
        <v>1644</v>
      </c>
      <c r="C814" s="32" t="s">
        <v>776</v>
      </c>
      <c r="D814" s="32" t="s">
        <v>776</v>
      </c>
      <c r="E814" s="33" t="s">
        <v>777</v>
      </c>
      <c r="F814" s="34">
        <v>155555</v>
      </c>
      <c r="G814" s="34">
        <v>157110</v>
      </c>
      <c r="H814" s="35" t="s">
        <v>1620</v>
      </c>
    </row>
    <row r="815" spans="1:8" ht="27" customHeight="1" x14ac:dyDescent="0.2">
      <c r="A815" s="31" t="s">
        <v>1643</v>
      </c>
      <c r="B815" s="32" t="s">
        <v>1644</v>
      </c>
      <c r="C815" s="32" t="s">
        <v>779</v>
      </c>
      <c r="D815" s="32" t="s">
        <v>802</v>
      </c>
      <c r="E815" s="33" t="s">
        <v>780</v>
      </c>
      <c r="F815" s="34">
        <v>220501</v>
      </c>
      <c r="G815" s="34">
        <v>222706</v>
      </c>
      <c r="H815" s="35" t="s">
        <v>1647</v>
      </c>
    </row>
    <row r="816" spans="1:8" ht="27" customHeight="1" x14ac:dyDescent="0.2">
      <c r="A816" s="31" t="s">
        <v>1648</v>
      </c>
      <c r="B816" s="32" t="s">
        <v>1649</v>
      </c>
      <c r="C816" s="32" t="s">
        <v>770</v>
      </c>
      <c r="D816" s="32" t="s">
        <v>1136</v>
      </c>
      <c r="E816" s="33" t="s">
        <v>772</v>
      </c>
      <c r="F816" s="34">
        <v>1899243</v>
      </c>
      <c r="G816" s="34">
        <v>1899243</v>
      </c>
      <c r="H816" s="35" t="s">
        <v>1650</v>
      </c>
    </row>
    <row r="817" spans="1:8" ht="27" customHeight="1" x14ac:dyDescent="0.2">
      <c r="A817" s="31" t="s">
        <v>1648</v>
      </c>
      <c r="B817" s="32" t="s">
        <v>1649</v>
      </c>
      <c r="C817" s="32" t="s">
        <v>886</v>
      </c>
      <c r="D817" s="32" t="s">
        <v>886</v>
      </c>
      <c r="E817" s="33" t="s">
        <v>887</v>
      </c>
      <c r="F817" s="34">
        <v>13811</v>
      </c>
      <c r="G817" s="34">
        <v>13824</v>
      </c>
      <c r="H817" s="35" t="s">
        <v>1650</v>
      </c>
    </row>
    <row r="818" spans="1:8" ht="27" customHeight="1" x14ac:dyDescent="0.2">
      <c r="A818" s="31" t="s">
        <v>1648</v>
      </c>
      <c r="B818" s="32" t="s">
        <v>1649</v>
      </c>
      <c r="C818" s="32" t="s">
        <v>860</v>
      </c>
      <c r="D818" s="32" t="s">
        <v>911</v>
      </c>
      <c r="E818" s="33" t="s">
        <v>861</v>
      </c>
      <c r="F818" s="34">
        <v>47620</v>
      </c>
      <c r="G818" s="34">
        <v>47624</v>
      </c>
      <c r="H818" s="35" t="s">
        <v>1650</v>
      </c>
    </row>
    <row r="819" spans="1:8" ht="27" customHeight="1" x14ac:dyDescent="0.2">
      <c r="A819" s="31" t="s">
        <v>1648</v>
      </c>
      <c r="B819" s="32" t="s">
        <v>1649</v>
      </c>
      <c r="C819" s="32" t="s">
        <v>796</v>
      </c>
      <c r="D819" s="32" t="s">
        <v>1095</v>
      </c>
      <c r="E819" s="33" t="s">
        <v>772</v>
      </c>
      <c r="F819" s="34">
        <v>1571994</v>
      </c>
      <c r="G819" s="34">
        <v>1572404</v>
      </c>
      <c r="H819" s="35" t="s">
        <v>1651</v>
      </c>
    </row>
    <row r="820" spans="1:8" ht="27" customHeight="1" x14ac:dyDescent="0.2">
      <c r="A820" s="31" t="s">
        <v>1648</v>
      </c>
      <c r="B820" s="32" t="s">
        <v>1649</v>
      </c>
      <c r="C820" s="32" t="s">
        <v>779</v>
      </c>
      <c r="D820" s="32" t="s">
        <v>826</v>
      </c>
      <c r="E820" s="33" t="s">
        <v>780</v>
      </c>
      <c r="F820" s="34">
        <v>140564</v>
      </c>
      <c r="G820" s="34">
        <v>140583</v>
      </c>
      <c r="H820" s="35" t="s">
        <v>1650</v>
      </c>
    </row>
    <row r="821" spans="1:8" ht="27" customHeight="1" x14ac:dyDescent="0.2">
      <c r="A821" s="31" t="s">
        <v>1652</v>
      </c>
      <c r="B821" s="32" t="s">
        <v>1653</v>
      </c>
      <c r="C821" s="32" t="s">
        <v>763</v>
      </c>
      <c r="D821" s="32" t="s">
        <v>763</v>
      </c>
      <c r="E821" s="33" t="s">
        <v>764</v>
      </c>
      <c r="F821" s="34">
        <v>1000000</v>
      </c>
      <c r="G821" s="34">
        <v>1000000</v>
      </c>
      <c r="H821" s="35" t="s">
        <v>1654</v>
      </c>
    </row>
    <row r="822" spans="1:8" ht="27" customHeight="1" x14ac:dyDescent="0.2">
      <c r="A822" s="31" t="s">
        <v>1652</v>
      </c>
      <c r="B822" s="32" t="s">
        <v>1653</v>
      </c>
      <c r="C822" s="32" t="s">
        <v>766</v>
      </c>
      <c r="D822" s="32" t="s">
        <v>870</v>
      </c>
      <c r="E822" s="33" t="s">
        <v>768</v>
      </c>
      <c r="F822" s="34">
        <v>1829229</v>
      </c>
      <c r="G822" s="34">
        <v>979229</v>
      </c>
      <c r="H822" s="35" t="s">
        <v>1655</v>
      </c>
    </row>
    <row r="823" spans="1:8" ht="27" customHeight="1" x14ac:dyDescent="0.2">
      <c r="A823" s="31" t="s">
        <v>1652</v>
      </c>
      <c r="B823" s="32" t="s">
        <v>1653</v>
      </c>
      <c r="C823" s="32" t="s">
        <v>770</v>
      </c>
      <c r="D823" s="32" t="s">
        <v>794</v>
      </c>
      <c r="E823" s="33" t="s">
        <v>772</v>
      </c>
      <c r="F823" s="34">
        <v>805936</v>
      </c>
      <c r="G823" s="34">
        <v>805936</v>
      </c>
      <c r="H823" s="35" t="s">
        <v>1656</v>
      </c>
    </row>
    <row r="824" spans="1:8" ht="27" customHeight="1" x14ac:dyDescent="0.2">
      <c r="A824" s="31" t="s">
        <v>1652</v>
      </c>
      <c r="B824" s="32" t="s">
        <v>1653</v>
      </c>
      <c r="C824" s="32" t="s">
        <v>773</v>
      </c>
      <c r="D824" s="32" t="s">
        <v>773</v>
      </c>
      <c r="E824" s="33" t="s">
        <v>775</v>
      </c>
      <c r="F824" s="34">
        <v>635557</v>
      </c>
      <c r="G824" s="34">
        <v>635557</v>
      </c>
      <c r="H824" s="35" t="s">
        <v>1657</v>
      </c>
    </row>
    <row r="825" spans="1:8" ht="27" customHeight="1" x14ac:dyDescent="0.2">
      <c r="A825" s="31" t="s">
        <v>1652</v>
      </c>
      <c r="B825" s="32" t="s">
        <v>1653</v>
      </c>
      <c r="C825" s="32" t="s">
        <v>886</v>
      </c>
      <c r="D825" s="32" t="s">
        <v>886</v>
      </c>
      <c r="E825" s="33" t="s">
        <v>887</v>
      </c>
      <c r="F825" s="34">
        <v>115712</v>
      </c>
      <c r="G825" s="34">
        <v>115712</v>
      </c>
      <c r="H825" s="35" t="s">
        <v>1657</v>
      </c>
    </row>
    <row r="826" spans="1:8" ht="27" customHeight="1" x14ac:dyDescent="0.2">
      <c r="A826" s="31" t="s">
        <v>1652</v>
      </c>
      <c r="B826" s="32" t="s">
        <v>1653</v>
      </c>
      <c r="C826" s="32" t="s">
        <v>860</v>
      </c>
      <c r="D826" s="32" t="s">
        <v>860</v>
      </c>
      <c r="E826" s="33" t="s">
        <v>861</v>
      </c>
      <c r="F826" s="34">
        <v>159979</v>
      </c>
      <c r="G826" s="34">
        <v>159979</v>
      </c>
      <c r="H826" s="35" t="s">
        <v>1657</v>
      </c>
    </row>
    <row r="827" spans="1:8" ht="27" customHeight="1" x14ac:dyDescent="0.2">
      <c r="A827" s="31" t="s">
        <v>1652</v>
      </c>
      <c r="B827" s="32" t="s">
        <v>1653</v>
      </c>
      <c r="C827" s="32" t="s">
        <v>796</v>
      </c>
      <c r="D827" s="32" t="s">
        <v>796</v>
      </c>
      <c r="E827" s="33" t="s">
        <v>823</v>
      </c>
      <c r="F827" s="34">
        <v>1181178</v>
      </c>
      <c r="G827" s="34">
        <v>881178</v>
      </c>
      <c r="H827" s="35" t="s">
        <v>1658</v>
      </c>
    </row>
    <row r="828" spans="1:8" ht="27" customHeight="1" x14ac:dyDescent="0.2">
      <c r="A828" s="31" t="s">
        <v>1652</v>
      </c>
      <c r="B828" s="32" t="s">
        <v>1653</v>
      </c>
      <c r="C828" s="32" t="s">
        <v>776</v>
      </c>
      <c r="D828" s="32" t="s">
        <v>776</v>
      </c>
      <c r="E828" s="33" t="s">
        <v>777</v>
      </c>
      <c r="F828" s="34">
        <v>563357</v>
      </c>
      <c r="G828" s="34">
        <v>563357</v>
      </c>
      <c r="H828" s="35" t="s">
        <v>1659</v>
      </c>
    </row>
    <row r="829" spans="1:8" ht="27" customHeight="1" x14ac:dyDescent="0.2">
      <c r="A829" s="31" t="s">
        <v>1652</v>
      </c>
      <c r="B829" s="32" t="s">
        <v>1653</v>
      </c>
      <c r="C829" s="32" t="s">
        <v>798</v>
      </c>
      <c r="D829" s="32" t="s">
        <v>799</v>
      </c>
      <c r="E829" s="33" t="s">
        <v>800</v>
      </c>
      <c r="F829" s="34">
        <v>57072</v>
      </c>
      <c r="G829" s="34">
        <v>57072</v>
      </c>
      <c r="H829" s="35" t="s">
        <v>1660</v>
      </c>
    </row>
    <row r="830" spans="1:8" ht="27" customHeight="1" x14ac:dyDescent="0.2">
      <c r="A830" s="31" t="s">
        <v>1652</v>
      </c>
      <c r="B830" s="32" t="s">
        <v>1653</v>
      </c>
      <c r="C830" s="32" t="s">
        <v>779</v>
      </c>
      <c r="D830" s="32" t="s">
        <v>1661</v>
      </c>
      <c r="E830" s="33" t="s">
        <v>780</v>
      </c>
      <c r="F830" s="34">
        <v>378916</v>
      </c>
      <c r="G830" s="34">
        <v>378916</v>
      </c>
      <c r="H830" s="35" t="s">
        <v>1657</v>
      </c>
    </row>
    <row r="831" spans="1:8" ht="27" customHeight="1" x14ac:dyDescent="0.2">
      <c r="A831" s="31" t="s">
        <v>1662</v>
      </c>
      <c r="B831" s="32" t="s">
        <v>1663</v>
      </c>
      <c r="C831" s="32" t="s">
        <v>763</v>
      </c>
      <c r="D831" s="32" t="s">
        <v>1664</v>
      </c>
      <c r="E831" s="33" t="s">
        <v>764</v>
      </c>
      <c r="F831" s="34">
        <v>473780</v>
      </c>
      <c r="G831" s="34">
        <v>474124</v>
      </c>
      <c r="H831" s="35" t="s">
        <v>1665</v>
      </c>
    </row>
    <row r="832" spans="1:8" ht="27" customHeight="1" x14ac:dyDescent="0.2">
      <c r="A832" s="31" t="s">
        <v>1662</v>
      </c>
      <c r="B832" s="32" t="s">
        <v>1663</v>
      </c>
      <c r="C832" s="32" t="s">
        <v>763</v>
      </c>
      <c r="D832" s="32" t="s">
        <v>1666</v>
      </c>
      <c r="E832" s="33" t="s">
        <v>764</v>
      </c>
      <c r="F832" s="34">
        <v>468810</v>
      </c>
      <c r="G832" s="34">
        <v>469155</v>
      </c>
      <c r="H832" s="35" t="s">
        <v>1667</v>
      </c>
    </row>
    <row r="833" spans="1:8" ht="27" customHeight="1" x14ac:dyDescent="0.2">
      <c r="A833" s="31" t="s">
        <v>1662</v>
      </c>
      <c r="B833" s="32" t="s">
        <v>1663</v>
      </c>
      <c r="C833" s="32" t="s">
        <v>763</v>
      </c>
      <c r="D833" s="32" t="s">
        <v>931</v>
      </c>
      <c r="E833" s="33" t="s">
        <v>764</v>
      </c>
      <c r="F833" s="34">
        <v>928650</v>
      </c>
      <c r="G833" s="34">
        <v>929331</v>
      </c>
      <c r="H833" s="35" t="s">
        <v>1667</v>
      </c>
    </row>
    <row r="834" spans="1:8" ht="27" customHeight="1" x14ac:dyDescent="0.2">
      <c r="A834" s="31" t="s">
        <v>1662</v>
      </c>
      <c r="B834" s="32" t="s">
        <v>1663</v>
      </c>
      <c r="C834" s="32" t="s">
        <v>763</v>
      </c>
      <c r="D834" s="32" t="s">
        <v>1668</v>
      </c>
      <c r="E834" s="33" t="s">
        <v>764</v>
      </c>
      <c r="F834" s="34">
        <v>502272</v>
      </c>
      <c r="G834" s="34">
        <v>502641</v>
      </c>
      <c r="H834" s="35" t="s">
        <v>1667</v>
      </c>
    </row>
    <row r="835" spans="1:8" ht="27" customHeight="1" x14ac:dyDescent="0.2">
      <c r="A835" s="31" t="s">
        <v>1662</v>
      </c>
      <c r="B835" s="32" t="s">
        <v>1663</v>
      </c>
      <c r="C835" s="32" t="s">
        <v>770</v>
      </c>
      <c r="D835" s="32" t="s">
        <v>1669</v>
      </c>
      <c r="E835" s="33" t="s">
        <v>772</v>
      </c>
      <c r="F835" s="34">
        <v>198512</v>
      </c>
      <c r="G835" s="34">
        <v>198650</v>
      </c>
      <c r="H835" s="35" t="s">
        <v>1667</v>
      </c>
    </row>
    <row r="836" spans="1:8" ht="27" customHeight="1" x14ac:dyDescent="0.2">
      <c r="A836" s="31" t="s">
        <v>1662</v>
      </c>
      <c r="B836" s="32" t="s">
        <v>1663</v>
      </c>
      <c r="C836" s="32" t="s">
        <v>844</v>
      </c>
      <c r="D836" s="32" t="s">
        <v>844</v>
      </c>
      <c r="E836" s="33" t="s">
        <v>846</v>
      </c>
      <c r="F836" s="34">
        <v>135893</v>
      </c>
      <c r="G836" s="34">
        <v>135992</v>
      </c>
      <c r="H836" s="35" t="s">
        <v>1670</v>
      </c>
    </row>
    <row r="837" spans="1:8" ht="27" customHeight="1" x14ac:dyDescent="0.2">
      <c r="A837" s="31" t="s">
        <v>1662</v>
      </c>
      <c r="B837" s="32" t="s">
        <v>1663</v>
      </c>
      <c r="C837" s="32" t="s">
        <v>860</v>
      </c>
      <c r="D837" s="32" t="s">
        <v>860</v>
      </c>
      <c r="E837" s="33" t="s">
        <v>861</v>
      </c>
      <c r="F837" s="34">
        <v>604749</v>
      </c>
      <c r="G837" s="34">
        <v>605192</v>
      </c>
      <c r="H837" s="35" t="s">
        <v>1667</v>
      </c>
    </row>
    <row r="838" spans="1:8" ht="27" customHeight="1" x14ac:dyDescent="0.2">
      <c r="A838" s="31" t="s">
        <v>1662</v>
      </c>
      <c r="B838" s="32" t="s">
        <v>1663</v>
      </c>
      <c r="C838" s="32" t="s">
        <v>796</v>
      </c>
      <c r="D838" s="32" t="s">
        <v>1095</v>
      </c>
      <c r="E838" s="33" t="s">
        <v>823</v>
      </c>
      <c r="F838" s="34">
        <v>547093</v>
      </c>
      <c r="G838" s="34">
        <v>547497</v>
      </c>
      <c r="H838" s="35" t="s">
        <v>1671</v>
      </c>
    </row>
    <row r="839" spans="1:8" ht="27" customHeight="1" x14ac:dyDescent="0.2">
      <c r="A839" s="31" t="s">
        <v>1662</v>
      </c>
      <c r="B839" s="32" t="s">
        <v>1663</v>
      </c>
      <c r="C839" s="32" t="s">
        <v>776</v>
      </c>
      <c r="D839" s="32" t="s">
        <v>776</v>
      </c>
      <c r="E839" s="33" t="s">
        <v>777</v>
      </c>
      <c r="F839" s="34">
        <v>44880</v>
      </c>
      <c r="G839" s="34">
        <v>44913</v>
      </c>
      <c r="H839" s="35" t="s">
        <v>1667</v>
      </c>
    </row>
    <row r="840" spans="1:8" ht="27" customHeight="1" x14ac:dyDescent="0.2">
      <c r="A840" s="31" t="s">
        <v>1662</v>
      </c>
      <c r="B840" s="32" t="s">
        <v>1663</v>
      </c>
      <c r="C840" s="32" t="s">
        <v>779</v>
      </c>
      <c r="D840" s="32" t="s">
        <v>826</v>
      </c>
      <c r="E840" s="33" t="s">
        <v>780</v>
      </c>
      <c r="F840" s="34">
        <v>263873</v>
      </c>
      <c r="G840" s="34">
        <v>264065</v>
      </c>
      <c r="H840" s="35" t="s">
        <v>1672</v>
      </c>
    </row>
    <row r="841" spans="1:8" ht="27" customHeight="1" x14ac:dyDescent="0.2">
      <c r="A841" s="31" t="s">
        <v>1662</v>
      </c>
      <c r="B841" s="32" t="s">
        <v>1663</v>
      </c>
      <c r="C841" s="32" t="s">
        <v>782</v>
      </c>
      <c r="D841" s="32" t="s">
        <v>839</v>
      </c>
      <c r="E841" s="33" t="s">
        <v>784</v>
      </c>
      <c r="F841" s="34">
        <v>122140</v>
      </c>
      <c r="G841" s="34">
        <v>122225</v>
      </c>
      <c r="H841" s="35" t="s">
        <v>1673</v>
      </c>
    </row>
    <row r="842" spans="1:8" ht="27" customHeight="1" x14ac:dyDescent="0.2">
      <c r="A842" s="31" t="s">
        <v>1674</v>
      </c>
      <c r="B842" s="32" t="s">
        <v>1675</v>
      </c>
      <c r="C842" s="32" t="s">
        <v>763</v>
      </c>
      <c r="D842" s="32" t="s">
        <v>933</v>
      </c>
      <c r="E842" s="33" t="s">
        <v>764</v>
      </c>
      <c r="F842" s="34">
        <v>722212</v>
      </c>
      <c r="G842" s="34">
        <v>617212</v>
      </c>
      <c r="H842" s="35" t="s">
        <v>1676</v>
      </c>
    </row>
    <row r="843" spans="1:8" ht="27" customHeight="1" x14ac:dyDescent="0.2">
      <c r="A843" s="31" t="s">
        <v>1674</v>
      </c>
      <c r="B843" s="32" t="s">
        <v>1675</v>
      </c>
      <c r="C843" s="32" t="s">
        <v>770</v>
      </c>
      <c r="D843" s="32" t="s">
        <v>770</v>
      </c>
      <c r="E843" s="33" t="s">
        <v>772</v>
      </c>
      <c r="F843" s="34">
        <v>189300</v>
      </c>
      <c r="G843" s="34">
        <v>189300</v>
      </c>
      <c r="H843" s="35" t="s">
        <v>1677</v>
      </c>
    </row>
    <row r="844" spans="1:8" ht="27" customHeight="1" x14ac:dyDescent="0.2">
      <c r="A844" s="31" t="s">
        <v>1674</v>
      </c>
      <c r="B844" s="32" t="s">
        <v>1675</v>
      </c>
      <c r="C844" s="32" t="s">
        <v>779</v>
      </c>
      <c r="D844" s="32" t="s">
        <v>826</v>
      </c>
      <c r="E844" s="33" t="s">
        <v>780</v>
      </c>
      <c r="F844" s="34">
        <v>100000</v>
      </c>
      <c r="G844" s="34">
        <v>100000</v>
      </c>
      <c r="H844" s="35" t="s">
        <v>1677</v>
      </c>
    </row>
    <row r="845" spans="1:8" ht="27" customHeight="1" x14ac:dyDescent="0.2">
      <c r="A845" s="31" t="s">
        <v>1678</v>
      </c>
      <c r="B845" s="32" t="s">
        <v>1679</v>
      </c>
      <c r="C845" s="32" t="s">
        <v>770</v>
      </c>
      <c r="D845" s="32" t="s">
        <v>810</v>
      </c>
      <c r="E845" s="33" t="s">
        <v>772</v>
      </c>
      <c r="F845" s="34">
        <v>88881</v>
      </c>
      <c r="G845" s="34">
        <v>88891</v>
      </c>
      <c r="H845" s="35" t="s">
        <v>859</v>
      </c>
    </row>
    <row r="846" spans="1:8" ht="27" customHeight="1" x14ac:dyDescent="0.2">
      <c r="A846" s="31" t="s">
        <v>1678</v>
      </c>
      <c r="B846" s="32" t="s">
        <v>1679</v>
      </c>
      <c r="C846" s="32" t="s">
        <v>886</v>
      </c>
      <c r="D846" s="32" t="s">
        <v>1013</v>
      </c>
      <c r="E846" s="33" t="s">
        <v>887</v>
      </c>
      <c r="F846" s="34">
        <v>9571</v>
      </c>
      <c r="G846" s="34">
        <v>9575</v>
      </c>
      <c r="H846" s="35" t="s">
        <v>859</v>
      </c>
    </row>
    <row r="847" spans="1:8" ht="27" customHeight="1" x14ac:dyDescent="0.2">
      <c r="A847" s="31" t="s">
        <v>1678</v>
      </c>
      <c r="B847" s="32" t="s">
        <v>1679</v>
      </c>
      <c r="C847" s="32" t="s">
        <v>776</v>
      </c>
      <c r="D847" s="32" t="s">
        <v>812</v>
      </c>
      <c r="E847" s="33" t="s">
        <v>777</v>
      </c>
      <c r="F847" s="34">
        <v>128783</v>
      </c>
      <c r="G847" s="34">
        <v>0</v>
      </c>
      <c r="H847" s="35" t="s">
        <v>1680</v>
      </c>
    </row>
    <row r="848" spans="1:8" ht="27" customHeight="1" x14ac:dyDescent="0.2">
      <c r="A848" s="31" t="s">
        <v>1678</v>
      </c>
      <c r="B848" s="32" t="s">
        <v>1679</v>
      </c>
      <c r="C848" s="32" t="s">
        <v>779</v>
      </c>
      <c r="D848" s="32" t="s">
        <v>876</v>
      </c>
      <c r="E848" s="33" t="s">
        <v>780</v>
      </c>
      <c r="F848" s="34">
        <v>71372</v>
      </c>
      <c r="G848" s="34">
        <v>71392</v>
      </c>
      <c r="H848" s="35" t="s">
        <v>859</v>
      </c>
    </row>
    <row r="849" spans="1:8" ht="27" customHeight="1" x14ac:dyDescent="0.2">
      <c r="A849" s="31" t="s">
        <v>1681</v>
      </c>
      <c r="B849" s="32" t="s">
        <v>132</v>
      </c>
      <c r="C849" s="32" t="s">
        <v>763</v>
      </c>
      <c r="D849" s="32" t="s">
        <v>816</v>
      </c>
      <c r="E849" s="33" t="s">
        <v>764</v>
      </c>
      <c r="F849" s="34">
        <v>1000000</v>
      </c>
      <c r="G849" s="34">
        <v>1000000</v>
      </c>
      <c r="H849" s="35" t="s">
        <v>1682</v>
      </c>
    </row>
    <row r="850" spans="1:8" ht="27" customHeight="1" x14ac:dyDescent="0.2">
      <c r="A850" s="31" t="s">
        <v>1681</v>
      </c>
      <c r="B850" s="32" t="s">
        <v>132</v>
      </c>
      <c r="C850" s="32" t="s">
        <v>770</v>
      </c>
      <c r="D850" s="32" t="s">
        <v>1683</v>
      </c>
      <c r="E850" s="33" t="s">
        <v>772</v>
      </c>
      <c r="F850" s="34">
        <v>1103340</v>
      </c>
      <c r="G850" s="34">
        <v>1103340</v>
      </c>
      <c r="H850" s="35" t="s">
        <v>1684</v>
      </c>
    </row>
    <row r="851" spans="1:8" ht="27" customHeight="1" x14ac:dyDescent="0.2">
      <c r="A851" s="31" t="s">
        <v>1681</v>
      </c>
      <c r="B851" s="32" t="s">
        <v>132</v>
      </c>
      <c r="C851" s="32" t="s">
        <v>796</v>
      </c>
      <c r="D851" s="32" t="s">
        <v>1685</v>
      </c>
      <c r="E851" s="33" t="s">
        <v>823</v>
      </c>
      <c r="F851" s="34">
        <v>834110</v>
      </c>
      <c r="G851" s="34">
        <v>834110</v>
      </c>
      <c r="H851" s="35" t="s">
        <v>1686</v>
      </c>
    </row>
    <row r="852" spans="1:8" ht="27" customHeight="1" x14ac:dyDescent="0.2">
      <c r="A852" s="31" t="s">
        <v>1681</v>
      </c>
      <c r="B852" s="32" t="s">
        <v>132</v>
      </c>
      <c r="C852" s="32" t="s">
        <v>776</v>
      </c>
      <c r="D852" s="32" t="s">
        <v>776</v>
      </c>
      <c r="E852" s="33" t="s">
        <v>777</v>
      </c>
      <c r="F852" s="34">
        <v>536863</v>
      </c>
      <c r="G852" s="34">
        <v>536863</v>
      </c>
      <c r="H852" s="35" t="s">
        <v>1687</v>
      </c>
    </row>
    <row r="853" spans="1:8" ht="27" customHeight="1" x14ac:dyDescent="0.2">
      <c r="A853" s="31" t="s">
        <v>1681</v>
      </c>
      <c r="B853" s="32" t="s">
        <v>132</v>
      </c>
      <c r="C853" s="32" t="s">
        <v>798</v>
      </c>
      <c r="D853" s="32" t="s">
        <v>799</v>
      </c>
      <c r="E853" s="33" t="s">
        <v>800</v>
      </c>
      <c r="F853" s="34">
        <v>450200</v>
      </c>
      <c r="G853" s="34">
        <v>450200</v>
      </c>
      <c r="H853" s="35" t="s">
        <v>1688</v>
      </c>
    </row>
    <row r="854" spans="1:8" ht="27" customHeight="1" x14ac:dyDescent="0.2">
      <c r="A854" s="31" t="s">
        <v>1681</v>
      </c>
      <c r="B854" s="32" t="s">
        <v>132</v>
      </c>
      <c r="C854" s="32" t="s">
        <v>779</v>
      </c>
      <c r="D854" s="32" t="s">
        <v>802</v>
      </c>
      <c r="E854" s="33" t="s">
        <v>780</v>
      </c>
      <c r="F854" s="34">
        <v>267055</v>
      </c>
      <c r="G854" s="34">
        <v>267055</v>
      </c>
      <c r="H854" s="35" t="s">
        <v>1689</v>
      </c>
    </row>
    <row r="855" spans="1:8" ht="27" customHeight="1" x14ac:dyDescent="0.2">
      <c r="A855" s="31" t="s">
        <v>1690</v>
      </c>
      <c r="B855" s="32" t="s">
        <v>1691</v>
      </c>
      <c r="C855" s="32" t="s">
        <v>763</v>
      </c>
      <c r="D855" s="32" t="s">
        <v>816</v>
      </c>
      <c r="E855" s="33" t="s">
        <v>764</v>
      </c>
      <c r="F855" s="34">
        <v>3609877</v>
      </c>
      <c r="G855" s="34">
        <v>3619546</v>
      </c>
      <c r="H855" s="35" t="s">
        <v>1692</v>
      </c>
    </row>
    <row r="856" spans="1:8" ht="27" customHeight="1" x14ac:dyDescent="0.2">
      <c r="A856" s="31" t="s">
        <v>1690</v>
      </c>
      <c r="B856" s="32" t="s">
        <v>1691</v>
      </c>
      <c r="C856" s="32" t="s">
        <v>770</v>
      </c>
      <c r="D856" s="32" t="s">
        <v>1011</v>
      </c>
      <c r="E856" s="33" t="s">
        <v>772</v>
      </c>
      <c r="F856" s="34">
        <v>751947</v>
      </c>
      <c r="G856" s="34">
        <v>793800</v>
      </c>
      <c r="H856" s="35" t="s">
        <v>1693</v>
      </c>
    </row>
    <row r="857" spans="1:8" ht="27" customHeight="1" x14ac:dyDescent="0.2">
      <c r="A857" s="31" t="s">
        <v>1690</v>
      </c>
      <c r="B857" s="32" t="s">
        <v>1691</v>
      </c>
      <c r="C857" s="32" t="s">
        <v>796</v>
      </c>
      <c r="D857" s="32" t="s">
        <v>1694</v>
      </c>
      <c r="E857" s="33" t="s">
        <v>772</v>
      </c>
      <c r="F857" s="34">
        <v>0</v>
      </c>
      <c r="G857" s="34">
        <v>350000</v>
      </c>
      <c r="H857" s="35" t="s">
        <v>1692</v>
      </c>
    </row>
    <row r="858" spans="1:8" ht="27" customHeight="1" x14ac:dyDescent="0.2">
      <c r="A858" s="31" t="s">
        <v>1690</v>
      </c>
      <c r="B858" s="32" t="s">
        <v>1691</v>
      </c>
      <c r="C858" s="32" t="s">
        <v>776</v>
      </c>
      <c r="D858" s="32" t="s">
        <v>812</v>
      </c>
      <c r="E858" s="33" t="s">
        <v>777</v>
      </c>
      <c r="F858" s="34">
        <v>162587</v>
      </c>
      <c r="G858" s="34">
        <v>163022</v>
      </c>
      <c r="H858" s="35" t="s">
        <v>1692</v>
      </c>
    </row>
    <row r="859" spans="1:8" ht="27" customHeight="1" x14ac:dyDescent="0.2">
      <c r="A859" s="31" t="s">
        <v>1690</v>
      </c>
      <c r="B859" s="32" t="s">
        <v>1691</v>
      </c>
      <c r="C859" s="32" t="s">
        <v>779</v>
      </c>
      <c r="D859" s="32" t="s">
        <v>876</v>
      </c>
      <c r="E859" s="33" t="s">
        <v>780</v>
      </c>
      <c r="F859" s="34">
        <v>16114</v>
      </c>
      <c r="G859" s="34">
        <v>16157</v>
      </c>
      <c r="H859" s="35" t="s">
        <v>1692</v>
      </c>
    </row>
    <row r="860" spans="1:8" ht="27" customHeight="1" x14ac:dyDescent="0.2">
      <c r="A860" s="31" t="s">
        <v>1695</v>
      </c>
      <c r="B860" s="32" t="s">
        <v>1696</v>
      </c>
      <c r="C860" s="32" t="s">
        <v>763</v>
      </c>
      <c r="D860" s="32" t="s">
        <v>1697</v>
      </c>
      <c r="E860" s="33" t="s">
        <v>764</v>
      </c>
      <c r="F860" s="34">
        <v>2000000</v>
      </c>
      <c r="G860" s="34">
        <v>2000000</v>
      </c>
      <c r="H860" s="35" t="s">
        <v>1698</v>
      </c>
    </row>
    <row r="861" spans="1:8" ht="27" customHeight="1" x14ac:dyDescent="0.2">
      <c r="A861" s="31" t="s">
        <v>1695</v>
      </c>
      <c r="B861" s="32" t="s">
        <v>1696</v>
      </c>
      <c r="C861" s="32" t="s">
        <v>770</v>
      </c>
      <c r="D861" s="32" t="s">
        <v>1699</v>
      </c>
      <c r="E861" s="33" t="s">
        <v>772</v>
      </c>
      <c r="F861" s="34">
        <v>2081043</v>
      </c>
      <c r="G861" s="34">
        <v>2081043</v>
      </c>
      <c r="H861" s="35" t="s">
        <v>1700</v>
      </c>
    </row>
    <row r="862" spans="1:8" ht="27" customHeight="1" x14ac:dyDescent="0.2">
      <c r="A862" s="31" t="s">
        <v>1695</v>
      </c>
      <c r="B862" s="32" t="s">
        <v>1696</v>
      </c>
      <c r="C862" s="32" t="s">
        <v>860</v>
      </c>
      <c r="D862" s="32" t="s">
        <v>911</v>
      </c>
      <c r="E862" s="33" t="s">
        <v>861</v>
      </c>
      <c r="F862" s="34">
        <v>101755</v>
      </c>
      <c r="G862" s="34">
        <v>101755</v>
      </c>
      <c r="H862" s="35" t="s">
        <v>1701</v>
      </c>
    </row>
    <row r="863" spans="1:8" ht="27" customHeight="1" x14ac:dyDescent="0.2">
      <c r="A863" s="31" t="s">
        <v>1695</v>
      </c>
      <c r="B863" s="32" t="s">
        <v>1696</v>
      </c>
      <c r="C863" s="32" t="s">
        <v>796</v>
      </c>
      <c r="D863" s="32" t="s">
        <v>835</v>
      </c>
      <c r="E863" s="33" t="s">
        <v>772</v>
      </c>
      <c r="F863" s="34">
        <v>3974770</v>
      </c>
      <c r="G863" s="34">
        <v>3724770</v>
      </c>
      <c r="H863" s="35" t="s">
        <v>1702</v>
      </c>
    </row>
    <row r="864" spans="1:8" ht="27" customHeight="1" x14ac:dyDescent="0.2">
      <c r="A864" s="31" t="s">
        <v>1695</v>
      </c>
      <c r="B864" s="32" t="s">
        <v>1696</v>
      </c>
      <c r="C864" s="32" t="s">
        <v>776</v>
      </c>
      <c r="D864" s="32" t="s">
        <v>812</v>
      </c>
      <c r="E864" s="33" t="s">
        <v>777</v>
      </c>
      <c r="F864" s="34">
        <v>1071861</v>
      </c>
      <c r="G864" s="34">
        <v>1071861</v>
      </c>
      <c r="H864" s="35" t="s">
        <v>1703</v>
      </c>
    </row>
    <row r="865" spans="1:8" ht="27" customHeight="1" x14ac:dyDescent="0.2">
      <c r="A865" s="31" t="s">
        <v>1695</v>
      </c>
      <c r="B865" s="32" t="s">
        <v>1696</v>
      </c>
      <c r="C865" s="32" t="s">
        <v>779</v>
      </c>
      <c r="D865" s="32" t="s">
        <v>826</v>
      </c>
      <c r="E865" s="33" t="s">
        <v>780</v>
      </c>
      <c r="F865" s="34">
        <v>103578</v>
      </c>
      <c r="G865" s="34">
        <v>103578</v>
      </c>
      <c r="H865" s="35" t="s">
        <v>1704</v>
      </c>
    </row>
    <row r="866" spans="1:8" ht="27" customHeight="1" x14ac:dyDescent="0.2">
      <c r="A866" s="31" t="s">
        <v>1695</v>
      </c>
      <c r="B866" s="32" t="s">
        <v>1696</v>
      </c>
      <c r="C866" s="32" t="s">
        <v>782</v>
      </c>
      <c r="D866" s="32" t="s">
        <v>980</v>
      </c>
      <c r="E866" s="33" t="s">
        <v>784</v>
      </c>
      <c r="F866" s="34">
        <v>341374</v>
      </c>
      <c r="G866" s="34">
        <v>0</v>
      </c>
      <c r="H866" s="35" t="s">
        <v>1705</v>
      </c>
    </row>
    <row r="867" spans="1:8" ht="27" customHeight="1" x14ac:dyDescent="0.2">
      <c r="A867" s="31" t="s">
        <v>1706</v>
      </c>
      <c r="B867" s="32" t="s">
        <v>1707</v>
      </c>
      <c r="C867" s="32" t="s">
        <v>763</v>
      </c>
      <c r="D867" s="32" t="s">
        <v>1708</v>
      </c>
      <c r="E867" s="33" t="s">
        <v>764</v>
      </c>
      <c r="F867" s="34">
        <v>78454</v>
      </c>
      <c r="G867" s="34">
        <v>78514</v>
      </c>
      <c r="H867" s="35" t="s">
        <v>1709</v>
      </c>
    </row>
    <row r="868" spans="1:8" ht="27" customHeight="1" x14ac:dyDescent="0.2">
      <c r="A868" s="31" t="s">
        <v>1706</v>
      </c>
      <c r="B868" s="32" t="s">
        <v>1707</v>
      </c>
      <c r="C868" s="32" t="s">
        <v>770</v>
      </c>
      <c r="D868" s="32" t="s">
        <v>1710</v>
      </c>
      <c r="E868" s="33" t="s">
        <v>772</v>
      </c>
      <c r="F868" s="34">
        <v>221299</v>
      </c>
      <c r="G868" s="34">
        <v>221303</v>
      </c>
      <c r="H868" s="35" t="s">
        <v>1711</v>
      </c>
    </row>
    <row r="869" spans="1:8" ht="27" customHeight="1" x14ac:dyDescent="0.2">
      <c r="A869" s="31" t="s">
        <v>1706</v>
      </c>
      <c r="B869" s="32" t="s">
        <v>1707</v>
      </c>
      <c r="C869" s="32" t="s">
        <v>884</v>
      </c>
      <c r="D869" s="32" t="s">
        <v>1365</v>
      </c>
      <c r="E869" s="33" t="s">
        <v>885</v>
      </c>
      <c r="F869" s="34">
        <v>274620</v>
      </c>
      <c r="G869" s="34">
        <v>274623</v>
      </c>
      <c r="H869" s="35" t="s">
        <v>1712</v>
      </c>
    </row>
    <row r="870" spans="1:8" ht="27" customHeight="1" x14ac:dyDescent="0.2">
      <c r="A870" s="31" t="s">
        <v>1706</v>
      </c>
      <c r="B870" s="32" t="s">
        <v>1707</v>
      </c>
      <c r="C870" s="32" t="s">
        <v>796</v>
      </c>
      <c r="D870" s="32" t="s">
        <v>961</v>
      </c>
      <c r="E870" s="33" t="s">
        <v>823</v>
      </c>
      <c r="F870" s="34">
        <v>142025</v>
      </c>
      <c r="G870" s="34">
        <v>142027</v>
      </c>
      <c r="H870" s="35" t="s">
        <v>1713</v>
      </c>
    </row>
    <row r="871" spans="1:8" ht="27" customHeight="1" x14ac:dyDescent="0.2">
      <c r="A871" s="31" t="s">
        <v>1706</v>
      </c>
      <c r="B871" s="32" t="s">
        <v>1707</v>
      </c>
      <c r="C871" s="32" t="s">
        <v>776</v>
      </c>
      <c r="D871" s="32" t="s">
        <v>914</v>
      </c>
      <c r="E871" s="33" t="s">
        <v>777</v>
      </c>
      <c r="F871" s="34">
        <v>394060</v>
      </c>
      <c r="G871" s="34">
        <v>394175</v>
      </c>
      <c r="H871" s="35" t="s">
        <v>1714</v>
      </c>
    </row>
    <row r="872" spans="1:8" ht="27" customHeight="1" x14ac:dyDescent="0.2">
      <c r="A872" s="31" t="s">
        <v>1706</v>
      </c>
      <c r="B872" s="32" t="s">
        <v>1707</v>
      </c>
      <c r="C872" s="32" t="s">
        <v>779</v>
      </c>
      <c r="D872" s="32" t="s">
        <v>876</v>
      </c>
      <c r="E872" s="33" t="s">
        <v>780</v>
      </c>
      <c r="F872" s="34">
        <v>144118</v>
      </c>
      <c r="G872" s="34">
        <v>144120</v>
      </c>
      <c r="H872" s="35" t="s">
        <v>1715</v>
      </c>
    </row>
    <row r="873" spans="1:8" ht="27" customHeight="1" x14ac:dyDescent="0.2">
      <c r="A873" s="31" t="s">
        <v>1706</v>
      </c>
      <c r="B873" s="32" t="s">
        <v>1707</v>
      </c>
      <c r="C873" s="32" t="s">
        <v>782</v>
      </c>
      <c r="D873" s="32" t="s">
        <v>1391</v>
      </c>
      <c r="E873" s="33" t="s">
        <v>784</v>
      </c>
      <c r="F873" s="34">
        <v>66259</v>
      </c>
      <c r="G873" s="34">
        <v>66310</v>
      </c>
      <c r="H873" s="35" t="s">
        <v>1716</v>
      </c>
    </row>
    <row r="874" spans="1:8" ht="27" customHeight="1" x14ac:dyDescent="0.2">
      <c r="A874" s="31" t="s">
        <v>1717</v>
      </c>
      <c r="B874" s="32" t="s">
        <v>1718</v>
      </c>
      <c r="C874" s="32" t="s">
        <v>763</v>
      </c>
      <c r="D874" s="32" t="s">
        <v>816</v>
      </c>
      <c r="E874" s="33" t="s">
        <v>764</v>
      </c>
      <c r="F874" s="34">
        <v>1550000</v>
      </c>
      <c r="G874" s="34">
        <v>1550000</v>
      </c>
      <c r="H874" s="35" t="s">
        <v>1719</v>
      </c>
    </row>
    <row r="875" spans="1:8" ht="27" customHeight="1" x14ac:dyDescent="0.2">
      <c r="A875" s="31" t="s">
        <v>1717</v>
      </c>
      <c r="B875" s="32" t="s">
        <v>1718</v>
      </c>
      <c r="C875" s="32" t="s">
        <v>770</v>
      </c>
      <c r="D875" s="32" t="s">
        <v>1720</v>
      </c>
      <c r="E875" s="33" t="s">
        <v>772</v>
      </c>
      <c r="F875" s="34">
        <v>1383581</v>
      </c>
      <c r="G875" s="34">
        <v>1383581</v>
      </c>
      <c r="H875" s="35" t="s">
        <v>1721</v>
      </c>
    </row>
    <row r="876" spans="1:8" ht="27" customHeight="1" x14ac:dyDescent="0.2">
      <c r="A876" s="31" t="s">
        <v>1717</v>
      </c>
      <c r="B876" s="32" t="s">
        <v>1718</v>
      </c>
      <c r="C876" s="32" t="s">
        <v>831</v>
      </c>
      <c r="D876" s="32" t="s">
        <v>908</v>
      </c>
      <c r="E876" s="33"/>
      <c r="F876" s="34">
        <v>1400774</v>
      </c>
      <c r="G876" s="34">
        <v>1400000</v>
      </c>
      <c r="H876" s="35" t="s">
        <v>1722</v>
      </c>
    </row>
    <row r="877" spans="1:8" ht="27" customHeight="1" x14ac:dyDescent="0.2">
      <c r="A877" s="31" t="s">
        <v>1717</v>
      </c>
      <c r="B877" s="32" t="s">
        <v>1718</v>
      </c>
      <c r="C877" s="32" t="s">
        <v>796</v>
      </c>
      <c r="D877" s="32" t="s">
        <v>1314</v>
      </c>
      <c r="E877" s="33" t="s">
        <v>772</v>
      </c>
      <c r="F877" s="34">
        <v>3614882</v>
      </c>
      <c r="G877" s="34">
        <v>3614784</v>
      </c>
      <c r="H877" s="35" t="s">
        <v>1723</v>
      </c>
    </row>
    <row r="878" spans="1:8" ht="27" customHeight="1" x14ac:dyDescent="0.2">
      <c r="A878" s="31" t="s">
        <v>1717</v>
      </c>
      <c r="B878" s="32" t="s">
        <v>1718</v>
      </c>
      <c r="C878" s="32" t="s">
        <v>776</v>
      </c>
      <c r="D878" s="32" t="s">
        <v>914</v>
      </c>
      <c r="E878" s="33" t="s">
        <v>777</v>
      </c>
      <c r="F878" s="34">
        <v>973680</v>
      </c>
      <c r="G878" s="34">
        <v>973680</v>
      </c>
      <c r="H878" s="35" t="s">
        <v>1724</v>
      </c>
    </row>
    <row r="879" spans="1:8" ht="27" customHeight="1" x14ac:dyDescent="0.2">
      <c r="A879" s="31" t="s">
        <v>1717</v>
      </c>
      <c r="B879" s="32" t="s">
        <v>1718</v>
      </c>
      <c r="C879" s="32" t="s">
        <v>782</v>
      </c>
      <c r="D879" s="32" t="s">
        <v>980</v>
      </c>
      <c r="E879" s="33" t="s">
        <v>784</v>
      </c>
      <c r="F879" s="34">
        <v>200000</v>
      </c>
      <c r="G879" s="34">
        <v>0</v>
      </c>
      <c r="H879" s="35" t="s">
        <v>1725</v>
      </c>
    </row>
    <row r="880" spans="1:8" ht="27" customHeight="1" x14ac:dyDescent="0.2">
      <c r="A880" s="31" t="s">
        <v>1726</v>
      </c>
      <c r="B880" s="32" t="s">
        <v>1727</v>
      </c>
      <c r="C880" s="32" t="s">
        <v>763</v>
      </c>
      <c r="D880" s="32" t="s">
        <v>1728</v>
      </c>
      <c r="E880" s="33" t="s">
        <v>764</v>
      </c>
      <c r="F880" s="34">
        <v>2897160</v>
      </c>
      <c r="G880" s="34">
        <v>4115832</v>
      </c>
      <c r="H880" s="35" t="s">
        <v>1729</v>
      </c>
    </row>
    <row r="881" spans="1:8" ht="27" customHeight="1" x14ac:dyDescent="0.2">
      <c r="A881" s="31" t="s">
        <v>1726</v>
      </c>
      <c r="B881" s="32" t="s">
        <v>1727</v>
      </c>
      <c r="C881" s="32" t="s">
        <v>763</v>
      </c>
      <c r="D881" s="32" t="s">
        <v>1730</v>
      </c>
      <c r="E881" s="33" t="s">
        <v>764</v>
      </c>
      <c r="F881" s="34">
        <v>4179942</v>
      </c>
      <c r="G881" s="34">
        <v>4179942</v>
      </c>
      <c r="H881" s="35" t="s">
        <v>1604</v>
      </c>
    </row>
    <row r="882" spans="1:8" ht="27" customHeight="1" x14ac:dyDescent="0.2">
      <c r="A882" s="31" t="s">
        <v>1726</v>
      </c>
      <c r="B882" s="32" t="s">
        <v>1727</v>
      </c>
      <c r="C882" s="32" t="s">
        <v>770</v>
      </c>
      <c r="D882" s="32" t="s">
        <v>1011</v>
      </c>
      <c r="E882" s="33" t="s">
        <v>772</v>
      </c>
      <c r="F882" s="34">
        <v>194094</v>
      </c>
      <c r="G882" s="34">
        <v>198000</v>
      </c>
      <c r="H882" s="35" t="s">
        <v>1731</v>
      </c>
    </row>
    <row r="883" spans="1:8" ht="27" customHeight="1" x14ac:dyDescent="0.2">
      <c r="A883" s="31" t="s">
        <v>1726</v>
      </c>
      <c r="B883" s="32" t="s">
        <v>1727</v>
      </c>
      <c r="C883" s="32" t="s">
        <v>844</v>
      </c>
      <c r="D883" s="32" t="s">
        <v>844</v>
      </c>
      <c r="E883" s="33" t="s">
        <v>846</v>
      </c>
      <c r="F883" s="34">
        <v>290000</v>
      </c>
      <c r="G883" s="34">
        <v>290000</v>
      </c>
      <c r="H883" s="35" t="s">
        <v>1604</v>
      </c>
    </row>
    <row r="884" spans="1:8" ht="27" customHeight="1" x14ac:dyDescent="0.2">
      <c r="A884" s="31" t="s">
        <v>1726</v>
      </c>
      <c r="B884" s="32" t="s">
        <v>1727</v>
      </c>
      <c r="C884" s="32" t="s">
        <v>860</v>
      </c>
      <c r="D884" s="32" t="s">
        <v>860</v>
      </c>
      <c r="E884" s="33" t="s">
        <v>861</v>
      </c>
      <c r="F884" s="34">
        <v>0</v>
      </c>
      <c r="G884" s="34">
        <v>0</v>
      </c>
      <c r="H884" s="35" t="s">
        <v>1732</v>
      </c>
    </row>
    <row r="885" spans="1:8" ht="27" customHeight="1" x14ac:dyDescent="0.2">
      <c r="A885" s="31" t="s">
        <v>1726</v>
      </c>
      <c r="B885" s="32" t="s">
        <v>1727</v>
      </c>
      <c r="C885" s="32" t="s">
        <v>796</v>
      </c>
      <c r="D885" s="32" t="s">
        <v>835</v>
      </c>
      <c r="E885" s="33" t="s">
        <v>823</v>
      </c>
      <c r="F885" s="34">
        <v>2349866</v>
      </c>
      <c r="G885" s="34">
        <v>1714668</v>
      </c>
      <c r="H885" s="35" t="s">
        <v>1733</v>
      </c>
    </row>
    <row r="886" spans="1:8" ht="27" customHeight="1" x14ac:dyDescent="0.2">
      <c r="A886" s="31" t="s">
        <v>1726</v>
      </c>
      <c r="B886" s="32" t="s">
        <v>1727</v>
      </c>
      <c r="C886" s="32" t="s">
        <v>776</v>
      </c>
      <c r="D886" s="32" t="s">
        <v>776</v>
      </c>
      <c r="E886" s="33" t="s">
        <v>777</v>
      </c>
      <c r="F886" s="34">
        <v>465046</v>
      </c>
      <c r="G886" s="34">
        <v>462898</v>
      </c>
      <c r="H886" s="35" t="s">
        <v>1734</v>
      </c>
    </row>
    <row r="887" spans="1:8" ht="27" customHeight="1" x14ac:dyDescent="0.2">
      <c r="A887" s="31" t="s">
        <v>1726</v>
      </c>
      <c r="B887" s="32" t="s">
        <v>1727</v>
      </c>
      <c r="C887" s="32" t="s">
        <v>779</v>
      </c>
      <c r="D887" s="32" t="s">
        <v>802</v>
      </c>
      <c r="E887" s="33" t="s">
        <v>780</v>
      </c>
      <c r="F887" s="34">
        <v>100000</v>
      </c>
      <c r="G887" s="34">
        <v>100000</v>
      </c>
      <c r="H887" s="35" t="s">
        <v>1604</v>
      </c>
    </row>
    <row r="888" spans="1:8" ht="27" customHeight="1" x14ac:dyDescent="0.2">
      <c r="A888" s="31" t="s">
        <v>1726</v>
      </c>
      <c r="B888" s="32" t="s">
        <v>1727</v>
      </c>
      <c r="C888" s="32" t="s">
        <v>782</v>
      </c>
      <c r="D888" s="32" t="s">
        <v>1735</v>
      </c>
      <c r="E888" s="33" t="s">
        <v>784</v>
      </c>
      <c r="F888" s="34">
        <v>80000</v>
      </c>
      <c r="G888" s="34">
        <v>0</v>
      </c>
      <c r="H888" s="35" t="s">
        <v>1736</v>
      </c>
    </row>
    <row r="889" spans="1:8" ht="27" customHeight="1" x14ac:dyDescent="0.2">
      <c r="A889" s="31" t="s">
        <v>1737</v>
      </c>
      <c r="B889" s="32" t="s">
        <v>1738</v>
      </c>
      <c r="C889" s="32" t="s">
        <v>844</v>
      </c>
      <c r="D889" s="32" t="s">
        <v>973</v>
      </c>
      <c r="E889" s="33" t="s">
        <v>846</v>
      </c>
      <c r="F889" s="34">
        <v>257839</v>
      </c>
      <c r="G889" s="34">
        <v>257839</v>
      </c>
      <c r="H889" s="35" t="s">
        <v>1739</v>
      </c>
    </row>
    <row r="890" spans="1:8" ht="27" customHeight="1" x14ac:dyDescent="0.2">
      <c r="A890" s="31" t="s">
        <v>1737</v>
      </c>
      <c r="B890" s="32" t="s">
        <v>1738</v>
      </c>
      <c r="C890" s="32" t="s">
        <v>798</v>
      </c>
      <c r="D890" s="32" t="s">
        <v>914</v>
      </c>
      <c r="E890" s="33" t="s">
        <v>800</v>
      </c>
      <c r="F890" s="34">
        <v>420093</v>
      </c>
      <c r="G890" s="34">
        <v>420093</v>
      </c>
      <c r="H890" s="35" t="s">
        <v>1740</v>
      </c>
    </row>
    <row r="891" spans="1:8" ht="27" customHeight="1" x14ac:dyDescent="0.2">
      <c r="A891" s="31" t="s">
        <v>1737</v>
      </c>
      <c r="B891" s="32" t="s">
        <v>1738</v>
      </c>
      <c r="C891" s="32" t="s">
        <v>779</v>
      </c>
      <c r="D891" s="32" t="s">
        <v>826</v>
      </c>
      <c r="E891" s="33" t="s">
        <v>780</v>
      </c>
      <c r="F891" s="34">
        <v>219344</v>
      </c>
      <c r="G891" s="34">
        <v>219344</v>
      </c>
      <c r="H891" s="35" t="s">
        <v>1739</v>
      </c>
    </row>
    <row r="892" spans="1:8" ht="27" customHeight="1" x14ac:dyDescent="0.2">
      <c r="A892" s="31" t="s">
        <v>1741</v>
      </c>
      <c r="B892" s="32" t="s">
        <v>1742</v>
      </c>
      <c r="C892" s="32" t="s">
        <v>763</v>
      </c>
      <c r="D892" s="32" t="s">
        <v>1743</v>
      </c>
      <c r="E892" s="33" t="s">
        <v>764</v>
      </c>
      <c r="F892" s="34">
        <v>1518337</v>
      </c>
      <c r="G892" s="34">
        <v>1519650</v>
      </c>
      <c r="H892" s="35" t="s">
        <v>1744</v>
      </c>
    </row>
    <row r="893" spans="1:8" ht="27" customHeight="1" x14ac:dyDescent="0.2">
      <c r="A893" s="31" t="s">
        <v>1741</v>
      </c>
      <c r="B893" s="32" t="s">
        <v>1742</v>
      </c>
      <c r="C893" s="32" t="s">
        <v>770</v>
      </c>
      <c r="D893" s="32" t="s">
        <v>1745</v>
      </c>
      <c r="E893" s="33" t="s">
        <v>772</v>
      </c>
      <c r="F893" s="34">
        <v>907147</v>
      </c>
      <c r="G893" s="34">
        <v>907450</v>
      </c>
      <c r="H893" s="35" t="s">
        <v>829</v>
      </c>
    </row>
    <row r="894" spans="1:8" ht="27" customHeight="1" x14ac:dyDescent="0.2">
      <c r="A894" s="31" t="s">
        <v>1741</v>
      </c>
      <c r="B894" s="32" t="s">
        <v>1742</v>
      </c>
      <c r="C894" s="32" t="s">
        <v>773</v>
      </c>
      <c r="D894" s="32" t="s">
        <v>973</v>
      </c>
      <c r="E894" s="33" t="s">
        <v>775</v>
      </c>
      <c r="F894" s="34">
        <v>53254</v>
      </c>
      <c r="G894" s="34">
        <v>53268</v>
      </c>
      <c r="H894" s="35" t="s">
        <v>829</v>
      </c>
    </row>
    <row r="895" spans="1:8" ht="27" customHeight="1" x14ac:dyDescent="0.2">
      <c r="A895" s="31" t="s">
        <v>1741</v>
      </c>
      <c r="B895" s="32" t="s">
        <v>1742</v>
      </c>
      <c r="C895" s="32" t="s">
        <v>796</v>
      </c>
      <c r="D895" s="32" t="s">
        <v>1746</v>
      </c>
      <c r="E895" s="33" t="s">
        <v>823</v>
      </c>
      <c r="F895" s="34">
        <v>4535853</v>
      </c>
      <c r="G895" s="34">
        <v>4536200</v>
      </c>
      <c r="H895" s="35" t="s">
        <v>829</v>
      </c>
    </row>
    <row r="896" spans="1:8" ht="27" customHeight="1" x14ac:dyDescent="0.2">
      <c r="A896" s="31" t="s">
        <v>1741</v>
      </c>
      <c r="B896" s="32" t="s">
        <v>1742</v>
      </c>
      <c r="C896" s="32" t="s">
        <v>776</v>
      </c>
      <c r="D896" s="32" t="s">
        <v>914</v>
      </c>
      <c r="E896" s="33" t="s">
        <v>777</v>
      </c>
      <c r="F896" s="34">
        <v>393675</v>
      </c>
      <c r="G896" s="34">
        <v>394175</v>
      </c>
      <c r="H896" s="35" t="s">
        <v>829</v>
      </c>
    </row>
    <row r="897" spans="1:8" ht="27" customHeight="1" x14ac:dyDescent="0.2">
      <c r="A897" s="31" t="s">
        <v>1741</v>
      </c>
      <c r="B897" s="32" t="s">
        <v>1742</v>
      </c>
      <c r="C897" s="32" t="s">
        <v>779</v>
      </c>
      <c r="D897" s="32" t="s">
        <v>826</v>
      </c>
      <c r="E897" s="33" t="s">
        <v>780</v>
      </c>
      <c r="F897" s="34">
        <v>131078</v>
      </c>
      <c r="G897" s="34">
        <v>131100</v>
      </c>
      <c r="H897" s="35" t="s">
        <v>829</v>
      </c>
    </row>
    <row r="898" spans="1:8" ht="27" customHeight="1" x14ac:dyDescent="0.2">
      <c r="A898" s="31" t="s">
        <v>1747</v>
      </c>
      <c r="B898" s="32" t="s">
        <v>1748</v>
      </c>
      <c r="C898" s="32" t="s">
        <v>763</v>
      </c>
      <c r="D898" s="32" t="s">
        <v>1749</v>
      </c>
      <c r="E898" s="33" t="s">
        <v>764</v>
      </c>
      <c r="F898" s="34">
        <v>217217</v>
      </c>
      <c r="G898" s="34">
        <v>217217</v>
      </c>
      <c r="H898" s="35" t="s">
        <v>1750</v>
      </c>
    </row>
    <row r="899" spans="1:8" ht="27" customHeight="1" x14ac:dyDescent="0.2">
      <c r="A899" s="31" t="s">
        <v>1747</v>
      </c>
      <c r="B899" s="32" t="s">
        <v>1748</v>
      </c>
      <c r="C899" s="32" t="s">
        <v>770</v>
      </c>
      <c r="D899" s="32" t="s">
        <v>1751</v>
      </c>
      <c r="E899" s="33" t="s">
        <v>772</v>
      </c>
      <c r="F899" s="34">
        <v>780000</v>
      </c>
      <c r="G899" s="34">
        <v>780000</v>
      </c>
      <c r="H899" s="35" t="s">
        <v>1752</v>
      </c>
    </row>
    <row r="900" spans="1:8" ht="27" customHeight="1" x14ac:dyDescent="0.2">
      <c r="A900" s="31" t="s">
        <v>1747</v>
      </c>
      <c r="B900" s="32" t="s">
        <v>1748</v>
      </c>
      <c r="C900" s="32" t="s">
        <v>844</v>
      </c>
      <c r="D900" s="32" t="s">
        <v>1753</v>
      </c>
      <c r="E900" s="33" t="s">
        <v>846</v>
      </c>
      <c r="F900" s="34">
        <v>421538</v>
      </c>
      <c r="G900" s="34">
        <v>385000</v>
      </c>
      <c r="H900" s="35" t="s">
        <v>1754</v>
      </c>
    </row>
    <row r="901" spans="1:8" ht="27" customHeight="1" x14ac:dyDescent="0.2">
      <c r="A901" s="31" t="s">
        <v>1747</v>
      </c>
      <c r="B901" s="32" t="s">
        <v>1748</v>
      </c>
      <c r="C901" s="32" t="s">
        <v>796</v>
      </c>
      <c r="D901" s="32" t="s">
        <v>822</v>
      </c>
      <c r="E901" s="33" t="s">
        <v>772</v>
      </c>
      <c r="F901" s="34">
        <v>800912</v>
      </c>
      <c r="G901" s="34">
        <v>800912</v>
      </c>
      <c r="H901" s="35" t="s">
        <v>1752</v>
      </c>
    </row>
    <row r="902" spans="1:8" ht="27" customHeight="1" x14ac:dyDescent="0.2">
      <c r="A902" s="31" t="s">
        <v>1747</v>
      </c>
      <c r="B902" s="32" t="s">
        <v>1748</v>
      </c>
      <c r="C902" s="32" t="s">
        <v>776</v>
      </c>
      <c r="D902" s="32" t="s">
        <v>1755</v>
      </c>
      <c r="E902" s="33" t="s">
        <v>777</v>
      </c>
      <c r="F902" s="34">
        <v>4624202</v>
      </c>
      <c r="G902" s="34">
        <v>4550000</v>
      </c>
      <c r="H902" s="35" t="s">
        <v>1756</v>
      </c>
    </row>
    <row r="903" spans="1:8" ht="27" customHeight="1" x14ac:dyDescent="0.2">
      <c r="A903" s="31" t="s">
        <v>1747</v>
      </c>
      <c r="B903" s="32" t="s">
        <v>1748</v>
      </c>
      <c r="C903" s="32" t="s">
        <v>779</v>
      </c>
      <c r="D903" s="32" t="s">
        <v>1757</v>
      </c>
      <c r="E903" s="33" t="s">
        <v>780</v>
      </c>
      <c r="F903" s="34">
        <v>321481</v>
      </c>
      <c r="G903" s="34">
        <v>315000</v>
      </c>
      <c r="H903" s="35" t="s">
        <v>1758</v>
      </c>
    </row>
    <row r="904" spans="1:8" ht="27" customHeight="1" x14ac:dyDescent="0.2">
      <c r="A904" s="31" t="s">
        <v>1747</v>
      </c>
      <c r="B904" s="32" t="s">
        <v>1748</v>
      </c>
      <c r="C904" s="32" t="s">
        <v>782</v>
      </c>
      <c r="D904" s="32" t="s">
        <v>1735</v>
      </c>
      <c r="E904" s="33" t="s">
        <v>784</v>
      </c>
      <c r="F904" s="34">
        <v>388449</v>
      </c>
      <c r="G904" s="34">
        <v>360000</v>
      </c>
      <c r="H904" s="35" t="s">
        <v>1759</v>
      </c>
    </row>
    <row r="905" spans="1:8" ht="27" customHeight="1" x14ac:dyDescent="0.2">
      <c r="A905" s="31" t="s">
        <v>1760</v>
      </c>
      <c r="B905" s="32" t="s">
        <v>1761</v>
      </c>
      <c r="C905" s="32" t="s">
        <v>770</v>
      </c>
      <c r="D905" s="32" t="s">
        <v>1762</v>
      </c>
      <c r="E905" s="33" t="s">
        <v>772</v>
      </c>
      <c r="F905" s="34">
        <v>1524177</v>
      </c>
      <c r="G905" s="34">
        <v>1517240</v>
      </c>
      <c r="H905" s="35" t="s">
        <v>1763</v>
      </c>
    </row>
    <row r="906" spans="1:8" ht="27" customHeight="1" x14ac:dyDescent="0.2">
      <c r="A906" s="31" t="s">
        <v>1760</v>
      </c>
      <c r="B906" s="32" t="s">
        <v>1761</v>
      </c>
      <c r="C906" s="32" t="s">
        <v>796</v>
      </c>
      <c r="D906" s="32" t="s">
        <v>796</v>
      </c>
      <c r="E906" s="33" t="s">
        <v>772</v>
      </c>
      <c r="F906" s="34">
        <v>1490000</v>
      </c>
      <c r="G906" s="34">
        <v>1490000</v>
      </c>
      <c r="H906" s="35" t="s">
        <v>1764</v>
      </c>
    </row>
    <row r="907" spans="1:8" ht="27" customHeight="1" x14ac:dyDescent="0.2">
      <c r="A907" s="31" t="s">
        <v>1760</v>
      </c>
      <c r="B907" s="32" t="s">
        <v>1761</v>
      </c>
      <c r="C907" s="32" t="s">
        <v>779</v>
      </c>
      <c r="D907" s="32" t="s">
        <v>802</v>
      </c>
      <c r="E907" s="33" t="s">
        <v>780</v>
      </c>
      <c r="F907" s="34">
        <v>32760</v>
      </c>
      <c r="G907" s="34">
        <v>32760</v>
      </c>
      <c r="H907" s="35" t="s">
        <v>1765</v>
      </c>
    </row>
    <row r="908" spans="1:8" ht="27" customHeight="1" x14ac:dyDescent="0.2">
      <c r="A908" s="31" t="s">
        <v>1760</v>
      </c>
      <c r="B908" s="32" t="s">
        <v>1761</v>
      </c>
      <c r="C908" s="32" t="s">
        <v>782</v>
      </c>
      <c r="D908" s="32" t="s">
        <v>782</v>
      </c>
      <c r="E908" s="33" t="s">
        <v>784</v>
      </c>
      <c r="F908" s="34">
        <v>96900</v>
      </c>
      <c r="G908" s="34">
        <v>0</v>
      </c>
      <c r="H908" s="35" t="s">
        <v>1766</v>
      </c>
    </row>
    <row r="909" spans="1:8" ht="27" customHeight="1" x14ac:dyDescent="0.2">
      <c r="A909" s="31" t="s">
        <v>1767</v>
      </c>
      <c r="B909" s="32" t="s">
        <v>1768</v>
      </c>
      <c r="C909" s="32" t="s">
        <v>763</v>
      </c>
      <c r="D909" s="32" t="s">
        <v>763</v>
      </c>
      <c r="E909" s="33" t="s">
        <v>764</v>
      </c>
      <c r="F909" s="34">
        <v>4556</v>
      </c>
      <c r="G909" s="34">
        <v>4556</v>
      </c>
      <c r="H909" s="35" t="s">
        <v>859</v>
      </c>
    </row>
    <row r="910" spans="1:8" ht="27" customHeight="1" x14ac:dyDescent="0.2">
      <c r="A910" s="31" t="s">
        <v>1767</v>
      </c>
      <c r="B910" s="32" t="s">
        <v>1768</v>
      </c>
      <c r="C910" s="32" t="s">
        <v>770</v>
      </c>
      <c r="D910" s="32" t="s">
        <v>1720</v>
      </c>
      <c r="E910" s="33" t="s">
        <v>772</v>
      </c>
      <c r="F910" s="34">
        <v>590199</v>
      </c>
      <c r="G910" s="34">
        <v>466175</v>
      </c>
      <c r="H910" s="35" t="s">
        <v>1769</v>
      </c>
    </row>
    <row r="911" spans="1:8" ht="27" customHeight="1" x14ac:dyDescent="0.2">
      <c r="A911" s="31" t="s">
        <v>1767</v>
      </c>
      <c r="B911" s="32" t="s">
        <v>1768</v>
      </c>
      <c r="C911" s="32" t="s">
        <v>776</v>
      </c>
      <c r="D911" s="32" t="s">
        <v>776</v>
      </c>
      <c r="E911" s="33" t="s">
        <v>777</v>
      </c>
      <c r="F911" s="34">
        <v>175382</v>
      </c>
      <c r="G911" s="34">
        <v>175382</v>
      </c>
      <c r="H911" s="35" t="s">
        <v>1770</v>
      </c>
    </row>
    <row r="912" spans="1:8" ht="27" customHeight="1" x14ac:dyDescent="0.2">
      <c r="A912" s="31" t="s">
        <v>1767</v>
      </c>
      <c r="B912" s="32" t="s">
        <v>1768</v>
      </c>
      <c r="C912" s="32" t="s">
        <v>779</v>
      </c>
      <c r="D912" s="32" t="s">
        <v>826</v>
      </c>
      <c r="E912" s="33" t="s">
        <v>780</v>
      </c>
      <c r="F912" s="34">
        <v>56678</v>
      </c>
      <c r="G912" s="34">
        <v>55178</v>
      </c>
      <c r="H912" s="35" t="s">
        <v>1771</v>
      </c>
    </row>
    <row r="913" spans="1:8" ht="27" customHeight="1" x14ac:dyDescent="0.2">
      <c r="A913" s="31" t="s">
        <v>1767</v>
      </c>
      <c r="B913" s="32" t="s">
        <v>1768</v>
      </c>
      <c r="C913" s="32" t="s">
        <v>782</v>
      </c>
      <c r="D913" s="32" t="s">
        <v>782</v>
      </c>
      <c r="E913" s="33" t="s">
        <v>784</v>
      </c>
      <c r="F913" s="34">
        <v>145000</v>
      </c>
      <c r="G913" s="34">
        <v>0</v>
      </c>
      <c r="H913" s="35" t="s">
        <v>1772</v>
      </c>
    </row>
    <row r="914" spans="1:8" ht="27" customHeight="1" x14ac:dyDescent="0.2">
      <c r="A914" s="31" t="s">
        <v>1773</v>
      </c>
      <c r="B914" s="32" t="s">
        <v>702</v>
      </c>
      <c r="C914" s="32" t="s">
        <v>886</v>
      </c>
      <c r="D914" s="32" t="s">
        <v>1774</v>
      </c>
      <c r="E914" s="33" t="s">
        <v>887</v>
      </c>
      <c r="F914" s="34">
        <v>41542</v>
      </c>
      <c r="G914" s="34">
        <v>41698</v>
      </c>
      <c r="H914" s="35" t="s">
        <v>1775</v>
      </c>
    </row>
    <row r="915" spans="1:8" ht="27" customHeight="1" x14ac:dyDescent="0.2">
      <c r="A915" s="31" t="s">
        <v>1773</v>
      </c>
      <c r="B915" s="32" t="s">
        <v>702</v>
      </c>
      <c r="C915" s="32" t="s">
        <v>860</v>
      </c>
      <c r="D915" s="32" t="s">
        <v>911</v>
      </c>
      <c r="E915" s="33" t="s">
        <v>861</v>
      </c>
      <c r="F915" s="34">
        <v>329671</v>
      </c>
      <c r="G915" s="34">
        <v>329977</v>
      </c>
      <c r="H915" s="35" t="s">
        <v>1775</v>
      </c>
    </row>
    <row r="916" spans="1:8" ht="27" customHeight="1" x14ac:dyDescent="0.2">
      <c r="A916" s="31" t="s">
        <v>1773</v>
      </c>
      <c r="B916" s="32" t="s">
        <v>702</v>
      </c>
      <c r="C916" s="32" t="s">
        <v>776</v>
      </c>
      <c r="D916" s="32" t="s">
        <v>1776</v>
      </c>
      <c r="E916" s="33" t="s">
        <v>777</v>
      </c>
      <c r="F916" s="34">
        <v>3725</v>
      </c>
      <c r="G916" s="34">
        <v>0</v>
      </c>
      <c r="H916" s="35" t="s">
        <v>1777</v>
      </c>
    </row>
    <row r="917" spans="1:8" ht="27" customHeight="1" x14ac:dyDescent="0.2">
      <c r="A917" s="31" t="s">
        <v>1778</v>
      </c>
      <c r="B917" s="32" t="s">
        <v>1779</v>
      </c>
      <c r="C917" s="32" t="s">
        <v>763</v>
      </c>
      <c r="D917" s="32" t="s">
        <v>816</v>
      </c>
      <c r="E917" s="33" t="s">
        <v>764</v>
      </c>
      <c r="F917" s="34">
        <v>2460747</v>
      </c>
      <c r="G917" s="34">
        <v>2462000</v>
      </c>
      <c r="H917" s="35" t="s">
        <v>859</v>
      </c>
    </row>
    <row r="918" spans="1:8" ht="27" customHeight="1" x14ac:dyDescent="0.2">
      <c r="A918" s="31" t="s">
        <v>1778</v>
      </c>
      <c r="B918" s="32" t="s">
        <v>1779</v>
      </c>
      <c r="C918" s="32" t="s">
        <v>796</v>
      </c>
      <c r="D918" s="32" t="s">
        <v>811</v>
      </c>
      <c r="E918" s="33" t="s">
        <v>823</v>
      </c>
      <c r="F918" s="34">
        <v>459027</v>
      </c>
      <c r="G918" s="34">
        <v>459600</v>
      </c>
      <c r="H918" s="35" t="s">
        <v>859</v>
      </c>
    </row>
    <row r="919" spans="1:8" ht="27" customHeight="1" x14ac:dyDescent="0.2">
      <c r="A919" s="31" t="s">
        <v>1778</v>
      </c>
      <c r="B919" s="32" t="s">
        <v>1779</v>
      </c>
      <c r="C919" s="32" t="s">
        <v>776</v>
      </c>
      <c r="D919" s="32" t="s">
        <v>812</v>
      </c>
      <c r="E919" s="33" t="s">
        <v>777</v>
      </c>
      <c r="F919" s="34">
        <v>548120</v>
      </c>
      <c r="G919" s="34">
        <v>549000</v>
      </c>
      <c r="H919" s="35" t="s">
        <v>859</v>
      </c>
    </row>
    <row r="920" spans="1:8" ht="27" customHeight="1" x14ac:dyDescent="0.2">
      <c r="A920" s="31" t="s">
        <v>1778</v>
      </c>
      <c r="B920" s="32" t="s">
        <v>1779</v>
      </c>
      <c r="C920" s="32" t="s">
        <v>779</v>
      </c>
      <c r="D920" s="32" t="s">
        <v>826</v>
      </c>
      <c r="E920" s="33" t="s">
        <v>780</v>
      </c>
      <c r="F920" s="34">
        <v>108232</v>
      </c>
      <c r="G920" s="34">
        <v>108400</v>
      </c>
      <c r="H920" s="35" t="s">
        <v>859</v>
      </c>
    </row>
    <row r="921" spans="1:8" ht="27" customHeight="1" x14ac:dyDescent="0.2">
      <c r="A921" s="31" t="s">
        <v>1780</v>
      </c>
      <c r="B921" s="32" t="s">
        <v>1781</v>
      </c>
      <c r="C921" s="32" t="s">
        <v>763</v>
      </c>
      <c r="D921" s="32" t="s">
        <v>1782</v>
      </c>
      <c r="E921" s="33" t="s">
        <v>764</v>
      </c>
      <c r="F921" s="34">
        <v>250623</v>
      </c>
      <c r="G921" s="34">
        <v>251626</v>
      </c>
      <c r="H921" s="35" t="s">
        <v>1783</v>
      </c>
    </row>
    <row r="922" spans="1:8" ht="27" customHeight="1" x14ac:dyDescent="0.2">
      <c r="A922" s="31" t="s">
        <v>1780</v>
      </c>
      <c r="B922" s="32" t="s">
        <v>1781</v>
      </c>
      <c r="C922" s="32" t="s">
        <v>763</v>
      </c>
      <c r="D922" s="32" t="s">
        <v>1784</v>
      </c>
      <c r="E922" s="33" t="s">
        <v>764</v>
      </c>
      <c r="F922" s="34">
        <v>348488</v>
      </c>
      <c r="G922" s="34">
        <v>348488</v>
      </c>
      <c r="H922" s="35" t="s">
        <v>1785</v>
      </c>
    </row>
    <row r="923" spans="1:8" ht="27" customHeight="1" x14ac:dyDescent="0.2">
      <c r="A923" s="31" t="s">
        <v>1780</v>
      </c>
      <c r="B923" s="32" t="s">
        <v>1781</v>
      </c>
      <c r="C923" s="32" t="s">
        <v>763</v>
      </c>
      <c r="D923" s="32" t="s">
        <v>897</v>
      </c>
      <c r="E923" s="33" t="s">
        <v>764</v>
      </c>
      <c r="F923" s="34">
        <v>11783</v>
      </c>
      <c r="G923" s="34">
        <v>11830</v>
      </c>
      <c r="H923" s="35" t="s">
        <v>1783</v>
      </c>
    </row>
    <row r="924" spans="1:8" ht="27" customHeight="1" x14ac:dyDescent="0.2">
      <c r="A924" s="31" t="s">
        <v>1780</v>
      </c>
      <c r="B924" s="32" t="s">
        <v>1781</v>
      </c>
      <c r="C924" s="32" t="s">
        <v>763</v>
      </c>
      <c r="D924" s="32" t="s">
        <v>1786</v>
      </c>
      <c r="E924" s="33" t="s">
        <v>764</v>
      </c>
      <c r="F924" s="34">
        <v>263308</v>
      </c>
      <c r="G924" s="34">
        <v>264361</v>
      </c>
      <c r="H924" s="35" t="s">
        <v>1787</v>
      </c>
    </row>
    <row r="925" spans="1:8" ht="27" customHeight="1" x14ac:dyDescent="0.2">
      <c r="A925" s="31" t="s">
        <v>1780</v>
      </c>
      <c r="B925" s="32" t="s">
        <v>1781</v>
      </c>
      <c r="C925" s="32" t="s">
        <v>763</v>
      </c>
      <c r="D925" s="32" t="s">
        <v>1664</v>
      </c>
      <c r="E925" s="33" t="s">
        <v>764</v>
      </c>
      <c r="F925" s="34">
        <v>1812567</v>
      </c>
      <c r="G925" s="34">
        <v>1821212</v>
      </c>
      <c r="H925" s="35" t="s">
        <v>1788</v>
      </c>
    </row>
    <row r="926" spans="1:8" ht="27" customHeight="1" x14ac:dyDescent="0.2">
      <c r="A926" s="31" t="s">
        <v>1780</v>
      </c>
      <c r="B926" s="32" t="s">
        <v>1781</v>
      </c>
      <c r="C926" s="32" t="s">
        <v>766</v>
      </c>
      <c r="D926" s="32" t="s">
        <v>832</v>
      </c>
      <c r="E926" s="33" t="s">
        <v>768</v>
      </c>
      <c r="F926" s="34">
        <v>221404</v>
      </c>
      <c r="G926" s="34">
        <v>222290</v>
      </c>
      <c r="H926" s="35" t="s">
        <v>1789</v>
      </c>
    </row>
    <row r="927" spans="1:8" ht="27" customHeight="1" x14ac:dyDescent="0.2">
      <c r="A927" s="31" t="s">
        <v>1780</v>
      </c>
      <c r="B927" s="32" t="s">
        <v>1781</v>
      </c>
      <c r="C927" s="32" t="s">
        <v>770</v>
      </c>
      <c r="D927" s="32" t="s">
        <v>830</v>
      </c>
      <c r="E927" s="33" t="s">
        <v>772</v>
      </c>
      <c r="F927" s="34">
        <v>2317244</v>
      </c>
      <c r="G927" s="34">
        <v>2167244</v>
      </c>
      <c r="H927" s="35" t="s">
        <v>1790</v>
      </c>
    </row>
    <row r="928" spans="1:8" ht="27" customHeight="1" x14ac:dyDescent="0.2">
      <c r="A928" s="31" t="s">
        <v>1780</v>
      </c>
      <c r="B928" s="32" t="s">
        <v>1781</v>
      </c>
      <c r="C928" s="32" t="s">
        <v>884</v>
      </c>
      <c r="D928" s="32" t="s">
        <v>859</v>
      </c>
      <c r="E928" s="33" t="s">
        <v>885</v>
      </c>
      <c r="F928" s="34">
        <v>0</v>
      </c>
      <c r="G928" s="34">
        <v>0</v>
      </c>
      <c r="H928" s="35" t="s">
        <v>1791</v>
      </c>
    </row>
    <row r="929" spans="1:8" ht="27" customHeight="1" x14ac:dyDescent="0.2">
      <c r="A929" s="31" t="s">
        <v>1780</v>
      </c>
      <c r="B929" s="32" t="s">
        <v>1781</v>
      </c>
      <c r="C929" s="32" t="s">
        <v>844</v>
      </c>
      <c r="D929" s="32" t="s">
        <v>1792</v>
      </c>
      <c r="E929" s="33" t="s">
        <v>846</v>
      </c>
      <c r="F929" s="34">
        <v>40000</v>
      </c>
      <c r="G929" s="34">
        <v>40160</v>
      </c>
      <c r="H929" s="35" t="s">
        <v>1783</v>
      </c>
    </row>
    <row r="930" spans="1:8" ht="27" customHeight="1" x14ac:dyDescent="0.2">
      <c r="A930" s="31" t="s">
        <v>1780</v>
      </c>
      <c r="B930" s="32" t="s">
        <v>1781</v>
      </c>
      <c r="C930" s="32" t="s">
        <v>773</v>
      </c>
      <c r="D930" s="32" t="s">
        <v>859</v>
      </c>
      <c r="E930" s="33" t="s">
        <v>775</v>
      </c>
      <c r="F930" s="34">
        <v>0</v>
      </c>
      <c r="G930" s="34">
        <v>0</v>
      </c>
      <c r="H930" s="35" t="s">
        <v>1791</v>
      </c>
    </row>
    <row r="931" spans="1:8" ht="27" customHeight="1" x14ac:dyDescent="0.2">
      <c r="A931" s="31" t="s">
        <v>1780</v>
      </c>
      <c r="B931" s="32" t="s">
        <v>1781</v>
      </c>
      <c r="C931" s="32" t="s">
        <v>886</v>
      </c>
      <c r="D931" s="32" t="s">
        <v>859</v>
      </c>
      <c r="E931" s="33" t="s">
        <v>887</v>
      </c>
      <c r="F931" s="34">
        <v>0</v>
      </c>
      <c r="G931" s="34">
        <v>0</v>
      </c>
      <c r="H931" s="35" t="s">
        <v>1791</v>
      </c>
    </row>
    <row r="932" spans="1:8" ht="27" customHeight="1" x14ac:dyDescent="0.2">
      <c r="A932" s="31" t="s">
        <v>1780</v>
      </c>
      <c r="B932" s="32" t="s">
        <v>1781</v>
      </c>
      <c r="C932" s="32" t="s">
        <v>860</v>
      </c>
      <c r="D932" s="32" t="s">
        <v>859</v>
      </c>
      <c r="E932" s="33" t="s">
        <v>861</v>
      </c>
      <c r="F932" s="34">
        <v>0</v>
      </c>
      <c r="G932" s="34">
        <v>0</v>
      </c>
      <c r="H932" s="35" t="s">
        <v>1793</v>
      </c>
    </row>
    <row r="933" spans="1:8" ht="27" customHeight="1" x14ac:dyDescent="0.2">
      <c r="A933" s="31" t="s">
        <v>1780</v>
      </c>
      <c r="B933" s="32" t="s">
        <v>1781</v>
      </c>
      <c r="C933" s="32" t="s">
        <v>796</v>
      </c>
      <c r="D933" s="32" t="s">
        <v>1694</v>
      </c>
      <c r="E933" s="33" t="s">
        <v>772</v>
      </c>
      <c r="F933" s="34">
        <v>667634</v>
      </c>
      <c r="G933" s="34">
        <v>670305</v>
      </c>
      <c r="H933" s="35" t="s">
        <v>1783</v>
      </c>
    </row>
    <row r="934" spans="1:8" ht="27" customHeight="1" x14ac:dyDescent="0.2">
      <c r="A934" s="31" t="s">
        <v>1780</v>
      </c>
      <c r="B934" s="32" t="s">
        <v>1781</v>
      </c>
      <c r="C934" s="32" t="s">
        <v>776</v>
      </c>
      <c r="D934" s="32" t="s">
        <v>812</v>
      </c>
      <c r="E934" s="33" t="s">
        <v>777</v>
      </c>
      <c r="F934" s="34">
        <v>40116</v>
      </c>
      <c r="G934" s="34">
        <v>40116</v>
      </c>
      <c r="H934" s="35" t="s">
        <v>1794</v>
      </c>
    </row>
    <row r="935" spans="1:8" ht="27" customHeight="1" x14ac:dyDescent="0.2">
      <c r="A935" s="31" t="s">
        <v>1780</v>
      </c>
      <c r="B935" s="32" t="s">
        <v>1781</v>
      </c>
      <c r="C935" s="32" t="s">
        <v>798</v>
      </c>
      <c r="D935" s="32" t="s">
        <v>859</v>
      </c>
      <c r="E935" s="33" t="s">
        <v>800</v>
      </c>
      <c r="F935" s="34">
        <v>0</v>
      </c>
      <c r="G935" s="34">
        <v>0</v>
      </c>
      <c r="H935" s="35" t="s">
        <v>1791</v>
      </c>
    </row>
    <row r="936" spans="1:8" ht="27" customHeight="1" x14ac:dyDescent="0.2">
      <c r="A936" s="31" t="s">
        <v>1780</v>
      </c>
      <c r="B936" s="32" t="s">
        <v>1781</v>
      </c>
      <c r="C936" s="32" t="s">
        <v>892</v>
      </c>
      <c r="D936" s="32" t="s">
        <v>859</v>
      </c>
      <c r="E936" s="33" t="s">
        <v>893</v>
      </c>
      <c r="F936" s="34">
        <v>0</v>
      </c>
      <c r="G936" s="34">
        <v>0</v>
      </c>
      <c r="H936" s="35" t="s">
        <v>1791</v>
      </c>
    </row>
    <row r="937" spans="1:8" ht="27" customHeight="1" x14ac:dyDescent="0.2">
      <c r="A937" s="31" t="s">
        <v>1780</v>
      </c>
      <c r="B937" s="32" t="s">
        <v>1781</v>
      </c>
      <c r="C937" s="32" t="s">
        <v>779</v>
      </c>
      <c r="D937" s="32" t="s">
        <v>826</v>
      </c>
      <c r="E937" s="33" t="s">
        <v>780</v>
      </c>
      <c r="F937" s="34">
        <v>481695</v>
      </c>
      <c r="G937" s="34">
        <v>483622</v>
      </c>
      <c r="H937" s="35" t="s">
        <v>1795</v>
      </c>
    </row>
    <row r="938" spans="1:8" ht="27" customHeight="1" x14ac:dyDescent="0.2">
      <c r="A938" s="31" t="s">
        <v>1780</v>
      </c>
      <c r="B938" s="32" t="s">
        <v>1781</v>
      </c>
      <c r="C938" s="32" t="s">
        <v>782</v>
      </c>
      <c r="D938" s="32" t="s">
        <v>813</v>
      </c>
      <c r="E938" s="33" t="s">
        <v>784</v>
      </c>
      <c r="F938" s="34">
        <v>514536</v>
      </c>
      <c r="G938" s="34">
        <v>516595</v>
      </c>
      <c r="H938" s="35" t="s">
        <v>1783</v>
      </c>
    </row>
    <row r="939" spans="1:8" ht="27" customHeight="1" x14ac:dyDescent="0.2">
      <c r="A939" s="31" t="s">
        <v>1796</v>
      </c>
      <c r="B939" s="32" t="s">
        <v>1797</v>
      </c>
      <c r="C939" s="32" t="s">
        <v>763</v>
      </c>
      <c r="D939" s="32" t="s">
        <v>1798</v>
      </c>
      <c r="E939" s="33" t="s">
        <v>764</v>
      </c>
      <c r="F939" s="34">
        <v>0</v>
      </c>
      <c r="G939" s="34">
        <v>0</v>
      </c>
      <c r="H939" s="35" t="s">
        <v>1799</v>
      </c>
    </row>
    <row r="940" spans="1:8" ht="27" customHeight="1" x14ac:dyDescent="0.2">
      <c r="A940" s="31" t="s">
        <v>1796</v>
      </c>
      <c r="B940" s="32" t="s">
        <v>1797</v>
      </c>
      <c r="C940" s="32" t="s">
        <v>770</v>
      </c>
      <c r="D940" s="32" t="s">
        <v>771</v>
      </c>
      <c r="E940" s="33" t="s">
        <v>772</v>
      </c>
      <c r="F940" s="34">
        <v>1585264</v>
      </c>
      <c r="G940" s="34">
        <v>1587687</v>
      </c>
      <c r="H940" s="35" t="s">
        <v>1800</v>
      </c>
    </row>
    <row r="941" spans="1:8" ht="27" customHeight="1" x14ac:dyDescent="0.2">
      <c r="A941" s="31" t="s">
        <v>1796</v>
      </c>
      <c r="B941" s="32" t="s">
        <v>1797</v>
      </c>
      <c r="C941" s="32" t="s">
        <v>796</v>
      </c>
      <c r="D941" s="32" t="s">
        <v>796</v>
      </c>
      <c r="E941" s="33" t="s">
        <v>772</v>
      </c>
      <c r="F941" s="34">
        <v>1222355</v>
      </c>
      <c r="G941" s="34">
        <v>1224223</v>
      </c>
      <c r="H941" s="35" t="s">
        <v>1799</v>
      </c>
    </row>
    <row r="942" spans="1:8" ht="27" customHeight="1" x14ac:dyDescent="0.2">
      <c r="A942" s="31" t="s">
        <v>1796</v>
      </c>
      <c r="B942" s="32" t="s">
        <v>1797</v>
      </c>
      <c r="C942" s="32" t="s">
        <v>776</v>
      </c>
      <c r="D942" s="32" t="s">
        <v>776</v>
      </c>
      <c r="E942" s="33" t="s">
        <v>777</v>
      </c>
      <c r="F942" s="34">
        <v>543878</v>
      </c>
      <c r="G942" s="34">
        <v>525684</v>
      </c>
      <c r="H942" s="35" t="s">
        <v>1801</v>
      </c>
    </row>
    <row r="943" spans="1:8" ht="27" customHeight="1" x14ac:dyDescent="0.2">
      <c r="A943" s="31" t="s">
        <v>1796</v>
      </c>
      <c r="B943" s="32" t="s">
        <v>1797</v>
      </c>
      <c r="C943" s="32" t="s">
        <v>779</v>
      </c>
      <c r="D943" s="32" t="s">
        <v>779</v>
      </c>
      <c r="E943" s="33" t="s">
        <v>780</v>
      </c>
      <c r="F943" s="34">
        <v>449938</v>
      </c>
      <c r="G943" s="34">
        <v>450626</v>
      </c>
      <c r="H943" s="35" t="s">
        <v>1799</v>
      </c>
    </row>
    <row r="944" spans="1:8" ht="27" customHeight="1" x14ac:dyDescent="0.2">
      <c r="A944" s="31" t="s">
        <v>1802</v>
      </c>
      <c r="B944" s="32" t="s">
        <v>1803</v>
      </c>
      <c r="C944" s="32" t="s">
        <v>763</v>
      </c>
      <c r="D944" s="32" t="s">
        <v>788</v>
      </c>
      <c r="E944" s="33" t="s">
        <v>764</v>
      </c>
      <c r="F944" s="34">
        <v>3512399</v>
      </c>
      <c r="G944" s="34">
        <v>3512399</v>
      </c>
      <c r="H944" s="35" t="s">
        <v>1804</v>
      </c>
    </row>
    <row r="945" spans="1:8" ht="27" customHeight="1" x14ac:dyDescent="0.2">
      <c r="A945" s="31" t="s">
        <v>1802</v>
      </c>
      <c r="B945" s="32" t="s">
        <v>1803</v>
      </c>
      <c r="C945" s="32" t="s">
        <v>763</v>
      </c>
      <c r="D945" s="32" t="s">
        <v>1805</v>
      </c>
      <c r="E945" s="33" t="s">
        <v>764</v>
      </c>
      <c r="F945" s="34">
        <v>16421441</v>
      </c>
      <c r="G945" s="34">
        <v>21371555</v>
      </c>
      <c r="H945" s="35" t="s">
        <v>1806</v>
      </c>
    </row>
    <row r="946" spans="1:8" ht="27" customHeight="1" x14ac:dyDescent="0.2">
      <c r="A946" s="31" t="s">
        <v>1802</v>
      </c>
      <c r="B946" s="32" t="s">
        <v>1803</v>
      </c>
      <c r="C946" s="32" t="s">
        <v>770</v>
      </c>
      <c r="D946" s="32" t="s">
        <v>794</v>
      </c>
      <c r="E946" s="33" t="s">
        <v>772</v>
      </c>
      <c r="F946" s="34">
        <v>9624480</v>
      </c>
      <c r="G946" s="34">
        <v>9620000</v>
      </c>
      <c r="H946" s="35" t="s">
        <v>1807</v>
      </c>
    </row>
    <row r="947" spans="1:8" ht="27" customHeight="1" x14ac:dyDescent="0.2">
      <c r="A947" s="31" t="s">
        <v>1802</v>
      </c>
      <c r="B947" s="32" t="s">
        <v>1803</v>
      </c>
      <c r="C947" s="32" t="s">
        <v>844</v>
      </c>
      <c r="D947" s="32" t="s">
        <v>844</v>
      </c>
      <c r="E947" s="33" t="s">
        <v>846</v>
      </c>
      <c r="F947" s="34">
        <v>1889100</v>
      </c>
      <c r="G947" s="34">
        <v>1889100</v>
      </c>
      <c r="H947" s="35" t="s">
        <v>1808</v>
      </c>
    </row>
    <row r="948" spans="1:8" ht="27" customHeight="1" x14ac:dyDescent="0.2">
      <c r="A948" s="31" t="s">
        <v>1802</v>
      </c>
      <c r="B948" s="32" t="s">
        <v>1803</v>
      </c>
      <c r="C948" s="32" t="s">
        <v>831</v>
      </c>
      <c r="D948" s="32" t="s">
        <v>767</v>
      </c>
      <c r="E948" s="33"/>
      <c r="F948" s="34">
        <v>556925</v>
      </c>
      <c r="G948" s="34">
        <v>556925</v>
      </c>
      <c r="H948" s="35" t="s">
        <v>1809</v>
      </c>
    </row>
    <row r="949" spans="1:8" ht="27" customHeight="1" x14ac:dyDescent="0.2">
      <c r="A949" s="31" t="s">
        <v>1802</v>
      </c>
      <c r="B949" s="32" t="s">
        <v>1803</v>
      </c>
      <c r="C949" s="32" t="s">
        <v>860</v>
      </c>
      <c r="D949" s="32" t="s">
        <v>860</v>
      </c>
      <c r="E949" s="33" t="s">
        <v>861</v>
      </c>
      <c r="F949" s="34">
        <v>5321231</v>
      </c>
      <c r="G949" s="34">
        <v>5320000</v>
      </c>
      <c r="H949" s="35" t="s">
        <v>1810</v>
      </c>
    </row>
    <row r="950" spans="1:8" ht="27" customHeight="1" x14ac:dyDescent="0.2">
      <c r="A950" s="31" t="s">
        <v>1802</v>
      </c>
      <c r="B950" s="32" t="s">
        <v>1803</v>
      </c>
      <c r="C950" s="32" t="s">
        <v>796</v>
      </c>
      <c r="D950" s="32" t="s">
        <v>796</v>
      </c>
      <c r="E950" s="33" t="s">
        <v>772</v>
      </c>
      <c r="F950" s="34">
        <v>7241430</v>
      </c>
      <c r="G950" s="34">
        <v>7241400</v>
      </c>
      <c r="H950" s="35" t="s">
        <v>1811</v>
      </c>
    </row>
    <row r="951" spans="1:8" ht="27" customHeight="1" x14ac:dyDescent="0.2">
      <c r="A951" s="31" t="s">
        <v>1802</v>
      </c>
      <c r="B951" s="32" t="s">
        <v>1803</v>
      </c>
      <c r="C951" s="32" t="s">
        <v>776</v>
      </c>
      <c r="D951" s="32" t="s">
        <v>776</v>
      </c>
      <c r="E951" s="33" t="s">
        <v>777</v>
      </c>
      <c r="F951" s="34">
        <v>400000</v>
      </c>
      <c r="G951" s="34">
        <v>400000</v>
      </c>
      <c r="H951" s="35" t="s">
        <v>1812</v>
      </c>
    </row>
    <row r="952" spans="1:8" ht="27" customHeight="1" x14ac:dyDescent="0.2">
      <c r="A952" s="31" t="s">
        <v>1802</v>
      </c>
      <c r="B952" s="32" t="s">
        <v>1803</v>
      </c>
      <c r="C952" s="32" t="s">
        <v>779</v>
      </c>
      <c r="D952" s="32" t="s">
        <v>802</v>
      </c>
      <c r="E952" s="33" t="s">
        <v>780</v>
      </c>
      <c r="F952" s="34">
        <v>338008</v>
      </c>
      <c r="G952" s="34">
        <v>334008</v>
      </c>
      <c r="H952" s="35" t="s">
        <v>1813</v>
      </c>
    </row>
    <row r="953" spans="1:8" ht="27" customHeight="1" x14ac:dyDescent="0.2">
      <c r="A953" s="31" t="s">
        <v>1802</v>
      </c>
      <c r="B953" s="32" t="s">
        <v>1803</v>
      </c>
      <c r="C953" s="32" t="s">
        <v>782</v>
      </c>
      <c r="D953" s="32" t="s">
        <v>782</v>
      </c>
      <c r="E953" s="33" t="s">
        <v>784</v>
      </c>
      <c r="F953" s="34">
        <v>3304872</v>
      </c>
      <c r="G953" s="34">
        <v>3354613</v>
      </c>
      <c r="H953" s="35" t="s">
        <v>1814</v>
      </c>
    </row>
    <row r="954" spans="1:8" ht="27" customHeight="1" x14ac:dyDescent="0.2">
      <c r="A954" s="31" t="s">
        <v>1815</v>
      </c>
      <c r="B954" s="32" t="s">
        <v>671</v>
      </c>
      <c r="C954" s="32" t="s">
        <v>763</v>
      </c>
      <c r="D954" s="32" t="s">
        <v>1416</v>
      </c>
      <c r="E954" s="33" t="s">
        <v>764</v>
      </c>
      <c r="F954" s="34">
        <v>651206</v>
      </c>
      <c r="G954" s="34">
        <v>1000000</v>
      </c>
      <c r="H954" s="35" t="s">
        <v>859</v>
      </c>
    </row>
    <row r="955" spans="1:8" ht="27" customHeight="1" x14ac:dyDescent="0.2">
      <c r="A955" s="31" t="s">
        <v>1815</v>
      </c>
      <c r="B955" s="32" t="s">
        <v>671</v>
      </c>
      <c r="C955" s="32" t="s">
        <v>766</v>
      </c>
      <c r="D955" s="32" t="s">
        <v>818</v>
      </c>
      <c r="E955" s="33" t="s">
        <v>768</v>
      </c>
      <c r="F955" s="34">
        <v>6025927</v>
      </c>
      <c r="G955" s="34">
        <v>6050000</v>
      </c>
      <c r="H955" s="35" t="s">
        <v>1816</v>
      </c>
    </row>
    <row r="956" spans="1:8" ht="27" customHeight="1" x14ac:dyDescent="0.2">
      <c r="A956" s="31" t="s">
        <v>1815</v>
      </c>
      <c r="B956" s="32" t="s">
        <v>671</v>
      </c>
      <c r="C956" s="32" t="s">
        <v>770</v>
      </c>
      <c r="D956" s="32" t="s">
        <v>1720</v>
      </c>
      <c r="E956" s="33" t="s">
        <v>772</v>
      </c>
      <c r="F956" s="34">
        <v>618348</v>
      </c>
      <c r="G956" s="34">
        <v>618500</v>
      </c>
      <c r="H956" s="35" t="s">
        <v>859</v>
      </c>
    </row>
    <row r="957" spans="1:8" ht="27" customHeight="1" x14ac:dyDescent="0.2">
      <c r="A957" s="31" t="s">
        <v>1815</v>
      </c>
      <c r="B957" s="32" t="s">
        <v>671</v>
      </c>
      <c r="C957" s="32" t="s">
        <v>796</v>
      </c>
      <c r="D957" s="32" t="s">
        <v>954</v>
      </c>
      <c r="E957" s="33" t="s">
        <v>823</v>
      </c>
      <c r="F957" s="34">
        <v>331504</v>
      </c>
      <c r="G957" s="34">
        <v>500000</v>
      </c>
      <c r="H957" s="35" t="s">
        <v>1817</v>
      </c>
    </row>
    <row r="958" spans="1:8" ht="27" customHeight="1" x14ac:dyDescent="0.2">
      <c r="A958" s="31" t="s">
        <v>1815</v>
      </c>
      <c r="B958" s="32" t="s">
        <v>671</v>
      </c>
      <c r="C958" s="32" t="s">
        <v>776</v>
      </c>
      <c r="D958" s="32" t="s">
        <v>914</v>
      </c>
      <c r="E958" s="33" t="s">
        <v>777</v>
      </c>
      <c r="F958" s="34">
        <v>406407</v>
      </c>
      <c r="G958" s="34">
        <v>610000</v>
      </c>
      <c r="H958" s="35" t="s">
        <v>859</v>
      </c>
    </row>
    <row r="959" spans="1:8" ht="27" customHeight="1" x14ac:dyDescent="0.2">
      <c r="A959" s="31" t="s">
        <v>1815</v>
      </c>
      <c r="B959" s="32" t="s">
        <v>671</v>
      </c>
      <c r="C959" s="32" t="s">
        <v>779</v>
      </c>
      <c r="D959" s="32" t="s">
        <v>927</v>
      </c>
      <c r="E959" s="33" t="s">
        <v>780</v>
      </c>
      <c r="F959" s="34">
        <v>121224</v>
      </c>
      <c r="G959" s="34">
        <v>121300</v>
      </c>
      <c r="H959" s="35" t="s">
        <v>859</v>
      </c>
    </row>
    <row r="960" spans="1:8" ht="27" customHeight="1" x14ac:dyDescent="0.2">
      <c r="A960" s="31" t="s">
        <v>1815</v>
      </c>
      <c r="B960" s="32" t="s">
        <v>671</v>
      </c>
      <c r="C960" s="32" t="s">
        <v>782</v>
      </c>
      <c r="D960" s="32" t="s">
        <v>813</v>
      </c>
      <c r="E960" s="33" t="s">
        <v>784</v>
      </c>
      <c r="F960" s="34">
        <v>602145</v>
      </c>
      <c r="G960" s="34">
        <v>602500</v>
      </c>
      <c r="H960" s="35" t="s">
        <v>1818</v>
      </c>
    </row>
    <row r="961" spans="1:8" ht="27" customHeight="1" x14ac:dyDescent="0.2">
      <c r="A961" s="31" t="s">
        <v>1819</v>
      </c>
      <c r="B961" s="32" t="s">
        <v>1820</v>
      </c>
      <c r="C961" s="32" t="s">
        <v>763</v>
      </c>
      <c r="D961" s="32" t="s">
        <v>763</v>
      </c>
      <c r="E961" s="33" t="s">
        <v>764</v>
      </c>
      <c r="F961" s="34">
        <v>1133</v>
      </c>
      <c r="G961" s="34">
        <v>51133</v>
      </c>
      <c r="H961" s="35" t="s">
        <v>1821</v>
      </c>
    </row>
    <row r="962" spans="1:8" ht="27" customHeight="1" x14ac:dyDescent="0.2">
      <c r="A962" s="31" t="s">
        <v>1819</v>
      </c>
      <c r="B962" s="32" t="s">
        <v>1820</v>
      </c>
      <c r="C962" s="32" t="s">
        <v>770</v>
      </c>
      <c r="D962" s="32" t="s">
        <v>1136</v>
      </c>
      <c r="E962" s="33" t="s">
        <v>772</v>
      </c>
      <c r="F962" s="34">
        <v>182784</v>
      </c>
      <c r="G962" s="34">
        <v>182784</v>
      </c>
      <c r="H962" s="35" t="s">
        <v>1822</v>
      </c>
    </row>
    <row r="963" spans="1:8" ht="27" customHeight="1" x14ac:dyDescent="0.2">
      <c r="A963" s="31" t="s">
        <v>1819</v>
      </c>
      <c r="B963" s="32" t="s">
        <v>1820</v>
      </c>
      <c r="C963" s="32" t="s">
        <v>773</v>
      </c>
      <c r="D963" s="32" t="s">
        <v>773</v>
      </c>
      <c r="E963" s="33" t="s">
        <v>775</v>
      </c>
      <c r="F963" s="34">
        <v>41608</v>
      </c>
      <c r="G963" s="34">
        <v>41608</v>
      </c>
      <c r="H963" s="35" t="s">
        <v>1823</v>
      </c>
    </row>
    <row r="964" spans="1:8" ht="27" customHeight="1" x14ac:dyDescent="0.2">
      <c r="A964" s="31" t="s">
        <v>1819</v>
      </c>
      <c r="B964" s="32" t="s">
        <v>1820</v>
      </c>
      <c r="C964" s="32" t="s">
        <v>860</v>
      </c>
      <c r="D964" s="32" t="s">
        <v>860</v>
      </c>
      <c r="E964" s="33" t="s">
        <v>861</v>
      </c>
      <c r="F964" s="34">
        <v>393355</v>
      </c>
      <c r="G964" s="34">
        <v>365820</v>
      </c>
      <c r="H964" s="35" t="s">
        <v>1824</v>
      </c>
    </row>
    <row r="965" spans="1:8" ht="27" customHeight="1" x14ac:dyDescent="0.2">
      <c r="A965" s="31" t="s">
        <v>1819</v>
      </c>
      <c r="B965" s="32" t="s">
        <v>1820</v>
      </c>
      <c r="C965" s="32" t="s">
        <v>796</v>
      </c>
      <c r="D965" s="32" t="s">
        <v>1050</v>
      </c>
      <c r="E965" s="33" t="s">
        <v>772</v>
      </c>
      <c r="F965" s="34">
        <v>5253</v>
      </c>
      <c r="G965" s="34">
        <v>5253</v>
      </c>
      <c r="H965" s="35" t="s">
        <v>1040</v>
      </c>
    </row>
    <row r="966" spans="1:8" ht="27" customHeight="1" x14ac:dyDescent="0.2">
      <c r="A966" s="31" t="s">
        <v>1819</v>
      </c>
      <c r="B966" s="32" t="s">
        <v>1820</v>
      </c>
      <c r="C966" s="32" t="s">
        <v>776</v>
      </c>
      <c r="D966" s="32" t="s">
        <v>776</v>
      </c>
      <c r="E966" s="33" t="s">
        <v>777</v>
      </c>
      <c r="F966" s="34">
        <v>0</v>
      </c>
      <c r="G966" s="34">
        <v>220000</v>
      </c>
      <c r="H966" s="35" t="s">
        <v>1825</v>
      </c>
    </row>
    <row r="967" spans="1:8" ht="27" customHeight="1" x14ac:dyDescent="0.2">
      <c r="A967" s="31" t="s">
        <v>1826</v>
      </c>
      <c r="B967" s="32" t="s">
        <v>1827</v>
      </c>
      <c r="C967" s="32" t="s">
        <v>763</v>
      </c>
      <c r="D967" s="32" t="s">
        <v>816</v>
      </c>
      <c r="E967" s="33" t="s">
        <v>764</v>
      </c>
      <c r="F967" s="34">
        <v>1000000</v>
      </c>
      <c r="G967" s="34">
        <v>1350000</v>
      </c>
      <c r="H967" s="35" t="s">
        <v>1828</v>
      </c>
    </row>
    <row r="968" spans="1:8" ht="27" customHeight="1" x14ac:dyDescent="0.2">
      <c r="A968" s="31" t="s">
        <v>1826</v>
      </c>
      <c r="B968" s="32" t="s">
        <v>1827</v>
      </c>
      <c r="C968" s="32" t="s">
        <v>766</v>
      </c>
      <c r="D968" s="32" t="s">
        <v>832</v>
      </c>
      <c r="E968" s="33" t="s">
        <v>768</v>
      </c>
      <c r="F968" s="34">
        <v>7900</v>
      </c>
      <c r="G968" s="34">
        <v>180000</v>
      </c>
      <c r="H968" s="35" t="s">
        <v>1829</v>
      </c>
    </row>
    <row r="969" spans="1:8" ht="27" customHeight="1" x14ac:dyDescent="0.2">
      <c r="A969" s="31" t="s">
        <v>1826</v>
      </c>
      <c r="B969" s="32" t="s">
        <v>1827</v>
      </c>
      <c r="C969" s="32" t="s">
        <v>770</v>
      </c>
      <c r="D969" s="32" t="s">
        <v>770</v>
      </c>
      <c r="E969" s="33" t="s">
        <v>772</v>
      </c>
      <c r="F969" s="34">
        <v>304476</v>
      </c>
      <c r="G969" s="34">
        <v>575916</v>
      </c>
      <c r="H969" s="35" t="s">
        <v>1830</v>
      </c>
    </row>
    <row r="970" spans="1:8" ht="27" customHeight="1" x14ac:dyDescent="0.2">
      <c r="A970" s="31" t="s">
        <v>1826</v>
      </c>
      <c r="B970" s="32" t="s">
        <v>1827</v>
      </c>
      <c r="C970" s="32" t="s">
        <v>844</v>
      </c>
      <c r="D970" s="32" t="s">
        <v>972</v>
      </c>
      <c r="E970" s="33" t="s">
        <v>846</v>
      </c>
      <c r="F970" s="34">
        <v>40479</v>
      </c>
      <c r="G970" s="34">
        <v>40479</v>
      </c>
      <c r="H970" s="35" t="s">
        <v>1831</v>
      </c>
    </row>
    <row r="971" spans="1:8" ht="27" customHeight="1" x14ac:dyDescent="0.2">
      <c r="A971" s="31" t="s">
        <v>1826</v>
      </c>
      <c r="B971" s="32" t="s">
        <v>1827</v>
      </c>
      <c r="C971" s="32" t="s">
        <v>860</v>
      </c>
      <c r="D971" s="32" t="s">
        <v>911</v>
      </c>
      <c r="E971" s="33" t="s">
        <v>861</v>
      </c>
      <c r="F971" s="34">
        <v>67983</v>
      </c>
      <c r="G971" s="34">
        <v>67983</v>
      </c>
      <c r="H971" s="35" t="s">
        <v>1832</v>
      </c>
    </row>
    <row r="972" spans="1:8" ht="27" customHeight="1" x14ac:dyDescent="0.2">
      <c r="A972" s="31" t="s">
        <v>1826</v>
      </c>
      <c r="B972" s="32" t="s">
        <v>1827</v>
      </c>
      <c r="C972" s="32" t="s">
        <v>776</v>
      </c>
      <c r="D972" s="32" t="s">
        <v>812</v>
      </c>
      <c r="E972" s="33" t="s">
        <v>777</v>
      </c>
      <c r="F972" s="34">
        <v>403586</v>
      </c>
      <c r="G972" s="34">
        <v>748430</v>
      </c>
      <c r="H972" s="35" t="s">
        <v>1833</v>
      </c>
    </row>
    <row r="973" spans="1:8" ht="27" customHeight="1" x14ac:dyDescent="0.2">
      <c r="A973" s="31" t="s">
        <v>1826</v>
      </c>
      <c r="B973" s="32" t="s">
        <v>1827</v>
      </c>
      <c r="C973" s="32" t="s">
        <v>779</v>
      </c>
      <c r="D973" s="32" t="s">
        <v>826</v>
      </c>
      <c r="E973" s="33" t="s">
        <v>780</v>
      </c>
      <c r="F973" s="34">
        <v>106679</v>
      </c>
      <c r="G973" s="34">
        <v>106679</v>
      </c>
      <c r="H973" s="35" t="s">
        <v>1834</v>
      </c>
    </row>
    <row r="974" spans="1:8" ht="27" customHeight="1" x14ac:dyDescent="0.2">
      <c r="A974" s="31" t="s">
        <v>1835</v>
      </c>
      <c r="B974" s="32" t="s">
        <v>1836</v>
      </c>
      <c r="C974" s="32" t="s">
        <v>763</v>
      </c>
      <c r="D974" s="32" t="s">
        <v>1837</v>
      </c>
      <c r="E974" s="33" t="s">
        <v>764</v>
      </c>
      <c r="F974" s="34">
        <v>5011417</v>
      </c>
      <c r="G974" s="34">
        <v>0</v>
      </c>
      <c r="H974" s="35" t="s">
        <v>1838</v>
      </c>
    </row>
    <row r="975" spans="1:8" ht="27" customHeight="1" x14ac:dyDescent="0.2">
      <c r="A975" s="31" t="s">
        <v>1835</v>
      </c>
      <c r="B975" s="32" t="s">
        <v>1836</v>
      </c>
      <c r="C975" s="32" t="s">
        <v>766</v>
      </c>
      <c r="D975" s="32" t="s">
        <v>832</v>
      </c>
      <c r="E975" s="33" t="s">
        <v>768</v>
      </c>
      <c r="F975" s="34">
        <v>199048</v>
      </c>
      <c r="G975" s="34">
        <v>199048</v>
      </c>
      <c r="H975" s="35" t="s">
        <v>1839</v>
      </c>
    </row>
    <row r="976" spans="1:8" ht="27" customHeight="1" x14ac:dyDescent="0.2">
      <c r="A976" s="31" t="s">
        <v>1835</v>
      </c>
      <c r="B976" s="32" t="s">
        <v>1836</v>
      </c>
      <c r="C976" s="32" t="s">
        <v>770</v>
      </c>
      <c r="D976" s="32" t="s">
        <v>970</v>
      </c>
      <c r="E976" s="33" t="s">
        <v>772</v>
      </c>
      <c r="F976" s="34">
        <v>2320262</v>
      </c>
      <c r="G976" s="34">
        <v>2320262</v>
      </c>
      <c r="H976" s="35" t="s">
        <v>1840</v>
      </c>
    </row>
    <row r="977" spans="1:8" ht="27" customHeight="1" x14ac:dyDescent="0.2">
      <c r="A977" s="31" t="s">
        <v>1835</v>
      </c>
      <c r="B977" s="32" t="s">
        <v>1836</v>
      </c>
      <c r="C977" s="32" t="s">
        <v>831</v>
      </c>
      <c r="D977" s="32" t="s">
        <v>1049</v>
      </c>
      <c r="E977" s="33"/>
      <c r="F977" s="34">
        <v>0</v>
      </c>
      <c r="G977" s="34">
        <v>0</v>
      </c>
      <c r="H977" s="35" t="s">
        <v>1091</v>
      </c>
    </row>
    <row r="978" spans="1:8" ht="27" customHeight="1" x14ac:dyDescent="0.2">
      <c r="A978" s="31" t="s">
        <v>1835</v>
      </c>
      <c r="B978" s="32" t="s">
        <v>1836</v>
      </c>
      <c r="C978" s="32" t="s">
        <v>860</v>
      </c>
      <c r="D978" s="32" t="s">
        <v>1049</v>
      </c>
      <c r="E978" s="33" t="s">
        <v>861</v>
      </c>
      <c r="F978" s="34">
        <v>0</v>
      </c>
      <c r="G978" s="34">
        <v>0</v>
      </c>
      <c r="H978" s="35" t="s">
        <v>1049</v>
      </c>
    </row>
    <row r="979" spans="1:8" ht="27" customHeight="1" x14ac:dyDescent="0.2">
      <c r="A979" s="31" t="s">
        <v>1835</v>
      </c>
      <c r="B979" s="32" t="s">
        <v>1836</v>
      </c>
      <c r="C979" s="32" t="s">
        <v>796</v>
      </c>
      <c r="D979" s="32" t="s">
        <v>1841</v>
      </c>
      <c r="E979" s="33" t="s">
        <v>772</v>
      </c>
      <c r="F979" s="34">
        <v>1683667</v>
      </c>
      <c r="G979" s="34">
        <v>1683667</v>
      </c>
      <c r="H979" s="35" t="s">
        <v>1842</v>
      </c>
    </row>
    <row r="980" spans="1:8" ht="27" customHeight="1" x14ac:dyDescent="0.2">
      <c r="A980" s="31" t="s">
        <v>1835</v>
      </c>
      <c r="B980" s="32" t="s">
        <v>1836</v>
      </c>
      <c r="C980" s="32" t="s">
        <v>776</v>
      </c>
      <c r="D980" s="32" t="s">
        <v>812</v>
      </c>
      <c r="E980" s="33" t="s">
        <v>777</v>
      </c>
      <c r="F980" s="34">
        <v>1051824</v>
      </c>
      <c r="G980" s="34">
        <v>1051824</v>
      </c>
      <c r="H980" s="35" t="s">
        <v>1843</v>
      </c>
    </row>
    <row r="981" spans="1:8" ht="27" customHeight="1" x14ac:dyDescent="0.2">
      <c r="A981" s="31" t="s">
        <v>1835</v>
      </c>
      <c r="B981" s="32" t="s">
        <v>1836</v>
      </c>
      <c r="C981" s="32" t="s">
        <v>798</v>
      </c>
      <c r="D981" s="32" t="s">
        <v>799</v>
      </c>
      <c r="E981" s="33" t="s">
        <v>800</v>
      </c>
      <c r="F981" s="34">
        <v>952484</v>
      </c>
      <c r="G981" s="34">
        <v>952484</v>
      </c>
      <c r="H981" s="35" t="s">
        <v>1844</v>
      </c>
    </row>
    <row r="982" spans="1:8" ht="27" customHeight="1" x14ac:dyDescent="0.2">
      <c r="A982" s="31" t="s">
        <v>1835</v>
      </c>
      <c r="B982" s="32" t="s">
        <v>1836</v>
      </c>
      <c r="C982" s="32" t="s">
        <v>779</v>
      </c>
      <c r="D982" s="32" t="s">
        <v>802</v>
      </c>
      <c r="E982" s="33" t="s">
        <v>780</v>
      </c>
      <c r="F982" s="34">
        <v>24267</v>
      </c>
      <c r="G982" s="34">
        <v>24267</v>
      </c>
      <c r="H982" s="35" t="s">
        <v>1845</v>
      </c>
    </row>
    <row r="983" spans="1:8" ht="27" customHeight="1" x14ac:dyDescent="0.2">
      <c r="A983" s="31" t="s">
        <v>1835</v>
      </c>
      <c r="B983" s="32" t="s">
        <v>1836</v>
      </c>
      <c r="C983" s="32" t="s">
        <v>782</v>
      </c>
      <c r="D983" s="32" t="s">
        <v>839</v>
      </c>
      <c r="E983" s="33" t="s">
        <v>784</v>
      </c>
      <c r="F983" s="34">
        <v>851354</v>
      </c>
      <c r="G983" s="34">
        <v>851354</v>
      </c>
      <c r="H983" s="35" t="s">
        <v>1846</v>
      </c>
    </row>
    <row r="984" spans="1:8" ht="27" customHeight="1" x14ac:dyDescent="0.2">
      <c r="A984" s="31" t="s">
        <v>1847</v>
      </c>
      <c r="B984" s="32" t="s">
        <v>1848</v>
      </c>
      <c r="C984" s="32" t="s">
        <v>763</v>
      </c>
      <c r="D984" s="32" t="s">
        <v>1849</v>
      </c>
      <c r="E984" s="33" t="s">
        <v>764</v>
      </c>
      <c r="F984" s="34">
        <v>0</v>
      </c>
      <c r="G984" s="34">
        <v>40000</v>
      </c>
      <c r="H984" s="35" t="s">
        <v>1850</v>
      </c>
    </row>
    <row r="985" spans="1:8" ht="27" customHeight="1" x14ac:dyDescent="0.2">
      <c r="A985" s="31" t="s">
        <v>1847</v>
      </c>
      <c r="B985" s="32" t="s">
        <v>1848</v>
      </c>
      <c r="C985" s="32" t="s">
        <v>763</v>
      </c>
      <c r="D985" s="32" t="s">
        <v>816</v>
      </c>
      <c r="E985" s="33" t="s">
        <v>764</v>
      </c>
      <c r="F985" s="34">
        <v>751024</v>
      </c>
      <c r="G985" s="34">
        <v>751024</v>
      </c>
      <c r="H985" s="35" t="s">
        <v>859</v>
      </c>
    </row>
    <row r="986" spans="1:8" ht="27" customHeight="1" x14ac:dyDescent="0.2">
      <c r="A986" s="31" t="s">
        <v>1847</v>
      </c>
      <c r="B986" s="32" t="s">
        <v>1848</v>
      </c>
      <c r="C986" s="32" t="s">
        <v>766</v>
      </c>
      <c r="D986" s="32" t="s">
        <v>818</v>
      </c>
      <c r="E986" s="33" t="s">
        <v>768</v>
      </c>
      <c r="F986" s="34">
        <v>493626</v>
      </c>
      <c r="G986" s="34">
        <v>493626</v>
      </c>
      <c r="H986" s="35" t="s">
        <v>859</v>
      </c>
    </row>
    <row r="987" spans="1:8" ht="27" customHeight="1" x14ac:dyDescent="0.2">
      <c r="A987" s="31" t="s">
        <v>1847</v>
      </c>
      <c r="B987" s="32" t="s">
        <v>1848</v>
      </c>
      <c r="C987" s="32" t="s">
        <v>770</v>
      </c>
      <c r="D987" s="32" t="s">
        <v>1851</v>
      </c>
      <c r="E987" s="33" t="s">
        <v>772</v>
      </c>
      <c r="F987" s="34">
        <v>2474313</v>
      </c>
      <c r="G987" s="34">
        <v>2474313</v>
      </c>
      <c r="H987" s="35" t="s">
        <v>859</v>
      </c>
    </row>
    <row r="988" spans="1:8" ht="27" customHeight="1" x14ac:dyDescent="0.2">
      <c r="A988" s="31" t="s">
        <v>1847</v>
      </c>
      <c r="B988" s="32" t="s">
        <v>1848</v>
      </c>
      <c r="C988" s="32" t="s">
        <v>860</v>
      </c>
      <c r="D988" s="32" t="s">
        <v>1027</v>
      </c>
      <c r="E988" s="33" t="s">
        <v>861</v>
      </c>
      <c r="F988" s="34">
        <v>504559</v>
      </c>
      <c r="G988" s="34">
        <v>504559</v>
      </c>
      <c r="H988" s="35" t="s">
        <v>859</v>
      </c>
    </row>
    <row r="989" spans="1:8" ht="27" customHeight="1" x14ac:dyDescent="0.2">
      <c r="A989" s="31" t="s">
        <v>1847</v>
      </c>
      <c r="B989" s="32" t="s">
        <v>1848</v>
      </c>
      <c r="C989" s="32" t="s">
        <v>796</v>
      </c>
      <c r="D989" s="32" t="s">
        <v>1116</v>
      </c>
      <c r="E989" s="33" t="s">
        <v>823</v>
      </c>
      <c r="F989" s="34">
        <v>684041</v>
      </c>
      <c r="G989" s="34">
        <v>914041</v>
      </c>
      <c r="H989" s="35" t="s">
        <v>1852</v>
      </c>
    </row>
    <row r="990" spans="1:8" ht="27" customHeight="1" x14ac:dyDescent="0.2">
      <c r="A990" s="31" t="s">
        <v>1847</v>
      </c>
      <c r="B990" s="32" t="s">
        <v>1848</v>
      </c>
      <c r="C990" s="32" t="s">
        <v>779</v>
      </c>
      <c r="D990" s="32" t="s">
        <v>826</v>
      </c>
      <c r="E990" s="33" t="s">
        <v>780</v>
      </c>
      <c r="F990" s="34">
        <v>101294</v>
      </c>
      <c r="G990" s="34">
        <v>101294</v>
      </c>
      <c r="H990" s="35" t="s">
        <v>859</v>
      </c>
    </row>
    <row r="991" spans="1:8" ht="27" customHeight="1" x14ac:dyDescent="0.2">
      <c r="A991" s="31" t="s">
        <v>1847</v>
      </c>
      <c r="B991" s="32" t="s">
        <v>1848</v>
      </c>
      <c r="C991" s="32" t="s">
        <v>782</v>
      </c>
      <c r="D991" s="32" t="s">
        <v>839</v>
      </c>
      <c r="E991" s="33" t="s">
        <v>784</v>
      </c>
      <c r="F991" s="34">
        <v>304577</v>
      </c>
      <c r="G991" s="34">
        <v>304577</v>
      </c>
      <c r="H991" s="35" t="s">
        <v>859</v>
      </c>
    </row>
    <row r="992" spans="1:8" ht="27" customHeight="1" x14ac:dyDescent="0.2">
      <c r="A992" s="31" t="s">
        <v>1853</v>
      </c>
      <c r="B992" s="32" t="s">
        <v>1854</v>
      </c>
      <c r="C992" s="32" t="s">
        <v>763</v>
      </c>
      <c r="D992" s="32" t="s">
        <v>1855</v>
      </c>
      <c r="E992" s="33" t="s">
        <v>764</v>
      </c>
      <c r="F992" s="34">
        <v>1328853</v>
      </c>
      <c r="G992" s="34">
        <v>1329680</v>
      </c>
      <c r="H992" s="35" t="s">
        <v>1856</v>
      </c>
    </row>
    <row r="993" spans="1:8" ht="27" customHeight="1" x14ac:dyDescent="0.2">
      <c r="A993" s="31" t="s">
        <v>1853</v>
      </c>
      <c r="B993" s="32" t="s">
        <v>1854</v>
      </c>
      <c r="C993" s="32" t="s">
        <v>763</v>
      </c>
      <c r="D993" s="32" t="s">
        <v>1857</v>
      </c>
      <c r="E993" s="33" t="s">
        <v>764</v>
      </c>
      <c r="F993" s="34">
        <v>800710</v>
      </c>
      <c r="G993" s="34">
        <v>651644</v>
      </c>
      <c r="H993" s="35" t="s">
        <v>1858</v>
      </c>
    </row>
    <row r="994" spans="1:8" ht="27" customHeight="1" x14ac:dyDescent="0.2">
      <c r="A994" s="31" t="s">
        <v>1853</v>
      </c>
      <c r="B994" s="32" t="s">
        <v>1854</v>
      </c>
      <c r="C994" s="32" t="s">
        <v>770</v>
      </c>
      <c r="D994" s="32" t="s">
        <v>919</v>
      </c>
      <c r="E994" s="33" t="s">
        <v>772</v>
      </c>
      <c r="F994" s="34">
        <v>2440672</v>
      </c>
      <c r="G994" s="34">
        <v>2442135</v>
      </c>
      <c r="H994" s="35" t="s">
        <v>1859</v>
      </c>
    </row>
    <row r="995" spans="1:8" ht="27" customHeight="1" x14ac:dyDescent="0.2">
      <c r="A995" s="31" t="s">
        <v>1853</v>
      </c>
      <c r="B995" s="32" t="s">
        <v>1854</v>
      </c>
      <c r="C995" s="32" t="s">
        <v>860</v>
      </c>
      <c r="D995" s="32" t="s">
        <v>911</v>
      </c>
      <c r="E995" s="33" t="s">
        <v>861</v>
      </c>
      <c r="F995" s="34">
        <v>158121</v>
      </c>
      <c r="G995" s="34">
        <v>158238</v>
      </c>
      <c r="H995" s="35" t="s">
        <v>1860</v>
      </c>
    </row>
    <row r="996" spans="1:8" ht="27" customHeight="1" x14ac:dyDescent="0.2">
      <c r="A996" s="31" t="s">
        <v>1853</v>
      </c>
      <c r="B996" s="32" t="s">
        <v>1854</v>
      </c>
      <c r="C996" s="32" t="s">
        <v>796</v>
      </c>
      <c r="D996" s="32" t="s">
        <v>835</v>
      </c>
      <c r="E996" s="33" t="s">
        <v>823</v>
      </c>
      <c r="F996" s="34">
        <v>1887917</v>
      </c>
      <c r="G996" s="34">
        <v>1888796</v>
      </c>
      <c r="H996" s="35" t="s">
        <v>1861</v>
      </c>
    </row>
    <row r="997" spans="1:8" ht="27" customHeight="1" x14ac:dyDescent="0.2">
      <c r="A997" s="31" t="s">
        <v>1853</v>
      </c>
      <c r="B997" s="32" t="s">
        <v>1854</v>
      </c>
      <c r="C997" s="32" t="s">
        <v>776</v>
      </c>
      <c r="D997" s="32" t="s">
        <v>812</v>
      </c>
      <c r="E997" s="33" t="s">
        <v>777</v>
      </c>
      <c r="F997" s="34">
        <v>86588</v>
      </c>
      <c r="G997" s="34">
        <v>86632</v>
      </c>
      <c r="H997" s="35" t="s">
        <v>1862</v>
      </c>
    </row>
    <row r="998" spans="1:8" ht="27" customHeight="1" x14ac:dyDescent="0.2">
      <c r="A998" s="31" t="s">
        <v>1853</v>
      </c>
      <c r="B998" s="32" t="s">
        <v>1854</v>
      </c>
      <c r="C998" s="32" t="s">
        <v>779</v>
      </c>
      <c r="D998" s="32" t="s">
        <v>826</v>
      </c>
      <c r="E998" s="33" t="s">
        <v>780</v>
      </c>
      <c r="F998" s="34">
        <v>388133</v>
      </c>
      <c r="G998" s="34">
        <v>388333</v>
      </c>
      <c r="H998" s="35" t="s">
        <v>1863</v>
      </c>
    </row>
    <row r="999" spans="1:8" ht="27" customHeight="1" x14ac:dyDescent="0.2">
      <c r="A999" s="31" t="s">
        <v>1853</v>
      </c>
      <c r="B999" s="32" t="s">
        <v>1854</v>
      </c>
      <c r="C999" s="32" t="s">
        <v>782</v>
      </c>
      <c r="D999" s="32" t="s">
        <v>964</v>
      </c>
      <c r="E999" s="33" t="s">
        <v>784</v>
      </c>
      <c r="F999" s="34">
        <v>100785</v>
      </c>
      <c r="G999" s="34">
        <v>100884</v>
      </c>
      <c r="H999" s="35" t="s">
        <v>1864</v>
      </c>
    </row>
    <row r="1000" spans="1:8" ht="27" customHeight="1" x14ac:dyDescent="0.2">
      <c r="A1000" s="31" t="s">
        <v>1865</v>
      </c>
      <c r="B1000" s="32" t="s">
        <v>1866</v>
      </c>
      <c r="C1000" s="32" t="s">
        <v>763</v>
      </c>
      <c r="D1000" s="32" t="s">
        <v>1867</v>
      </c>
      <c r="E1000" s="33" t="s">
        <v>764</v>
      </c>
      <c r="F1000" s="34">
        <v>5854276</v>
      </c>
      <c r="G1000" s="34">
        <v>7808214</v>
      </c>
      <c r="H1000" s="35" t="s">
        <v>1868</v>
      </c>
    </row>
    <row r="1001" spans="1:8" ht="27" customHeight="1" x14ac:dyDescent="0.2">
      <c r="A1001" s="31" t="s">
        <v>1865</v>
      </c>
      <c r="B1001" s="32" t="s">
        <v>1866</v>
      </c>
      <c r="C1001" s="32" t="s">
        <v>766</v>
      </c>
      <c r="D1001" s="32" t="s">
        <v>1869</v>
      </c>
      <c r="E1001" s="33" t="s">
        <v>768</v>
      </c>
      <c r="F1001" s="34">
        <v>111802</v>
      </c>
      <c r="G1001" s="34">
        <v>687181</v>
      </c>
      <c r="H1001" s="35" t="s">
        <v>1870</v>
      </c>
    </row>
    <row r="1002" spans="1:8" ht="27" customHeight="1" x14ac:dyDescent="0.2">
      <c r="A1002" s="31" t="s">
        <v>1865</v>
      </c>
      <c r="B1002" s="32" t="s">
        <v>1866</v>
      </c>
      <c r="C1002" s="32" t="s">
        <v>770</v>
      </c>
      <c r="D1002" s="32" t="s">
        <v>810</v>
      </c>
      <c r="E1002" s="33" t="s">
        <v>772</v>
      </c>
      <c r="F1002" s="34">
        <v>644287</v>
      </c>
      <c r="G1002" s="34">
        <v>644931</v>
      </c>
      <c r="H1002" s="35" t="s">
        <v>1868</v>
      </c>
    </row>
    <row r="1003" spans="1:8" ht="27" customHeight="1" x14ac:dyDescent="0.2">
      <c r="A1003" s="31" t="s">
        <v>1865</v>
      </c>
      <c r="B1003" s="32" t="s">
        <v>1866</v>
      </c>
      <c r="C1003" s="32" t="s">
        <v>844</v>
      </c>
      <c r="D1003" s="32" t="s">
        <v>972</v>
      </c>
      <c r="E1003" s="33" t="s">
        <v>846</v>
      </c>
      <c r="F1003" s="34">
        <v>30118</v>
      </c>
      <c r="G1003" s="34">
        <v>30148</v>
      </c>
      <c r="H1003" s="35" t="s">
        <v>1868</v>
      </c>
    </row>
    <row r="1004" spans="1:8" ht="27" customHeight="1" x14ac:dyDescent="0.2">
      <c r="A1004" s="31" t="s">
        <v>1865</v>
      </c>
      <c r="B1004" s="32" t="s">
        <v>1866</v>
      </c>
      <c r="C1004" s="32" t="s">
        <v>831</v>
      </c>
      <c r="D1004" s="32" t="s">
        <v>1871</v>
      </c>
      <c r="E1004" s="33" t="s">
        <v>1872</v>
      </c>
      <c r="F1004" s="34">
        <v>8829</v>
      </c>
      <c r="G1004" s="34">
        <v>8800</v>
      </c>
      <c r="H1004" s="35" t="s">
        <v>1873</v>
      </c>
    </row>
    <row r="1005" spans="1:8" ht="27" customHeight="1" x14ac:dyDescent="0.2">
      <c r="A1005" s="31" t="s">
        <v>1865</v>
      </c>
      <c r="B1005" s="32" t="s">
        <v>1866</v>
      </c>
      <c r="C1005" s="32" t="s">
        <v>796</v>
      </c>
      <c r="D1005" s="32" t="s">
        <v>811</v>
      </c>
      <c r="E1005" s="33" t="s">
        <v>772</v>
      </c>
      <c r="F1005" s="34">
        <v>702752</v>
      </c>
      <c r="G1005" s="34">
        <v>703455</v>
      </c>
      <c r="H1005" s="35" t="s">
        <v>1868</v>
      </c>
    </row>
    <row r="1006" spans="1:8" ht="27" customHeight="1" x14ac:dyDescent="0.2">
      <c r="A1006" s="31" t="s">
        <v>1865</v>
      </c>
      <c r="B1006" s="32" t="s">
        <v>1866</v>
      </c>
      <c r="C1006" s="32" t="s">
        <v>776</v>
      </c>
      <c r="D1006" s="32" t="s">
        <v>812</v>
      </c>
      <c r="E1006" s="33" t="s">
        <v>777</v>
      </c>
      <c r="F1006" s="34">
        <v>82419</v>
      </c>
      <c r="G1006" s="34">
        <v>82462</v>
      </c>
      <c r="H1006" s="35" t="s">
        <v>1868</v>
      </c>
    </row>
    <row r="1007" spans="1:8" ht="27" customHeight="1" x14ac:dyDescent="0.2">
      <c r="A1007" s="31" t="s">
        <v>1865</v>
      </c>
      <c r="B1007" s="32" t="s">
        <v>1866</v>
      </c>
      <c r="C1007" s="32" t="s">
        <v>779</v>
      </c>
      <c r="D1007" s="32" t="s">
        <v>876</v>
      </c>
      <c r="E1007" s="33" t="s">
        <v>780</v>
      </c>
      <c r="F1007" s="34">
        <v>10039</v>
      </c>
      <c r="G1007" s="34">
        <v>10059</v>
      </c>
      <c r="H1007" s="35" t="s">
        <v>1868</v>
      </c>
    </row>
    <row r="1008" spans="1:8" ht="27" customHeight="1" x14ac:dyDescent="0.2">
      <c r="A1008" s="31" t="s">
        <v>1865</v>
      </c>
      <c r="B1008" s="32" t="s">
        <v>1866</v>
      </c>
      <c r="C1008" s="32" t="s">
        <v>782</v>
      </c>
      <c r="D1008" s="32" t="s">
        <v>964</v>
      </c>
      <c r="E1008" s="33" t="s">
        <v>784</v>
      </c>
      <c r="F1008" s="34">
        <v>2097682</v>
      </c>
      <c r="G1008" s="34">
        <v>297861</v>
      </c>
      <c r="H1008" s="35" t="s">
        <v>1868</v>
      </c>
    </row>
    <row r="1009" spans="1:8" ht="27" customHeight="1" x14ac:dyDescent="0.2">
      <c r="A1009" s="31" t="s">
        <v>1874</v>
      </c>
      <c r="B1009" s="32" t="s">
        <v>1875</v>
      </c>
      <c r="C1009" s="32" t="s">
        <v>766</v>
      </c>
      <c r="D1009" s="32" t="s">
        <v>1876</v>
      </c>
      <c r="E1009" s="33" t="s">
        <v>768</v>
      </c>
      <c r="F1009" s="34">
        <v>742167</v>
      </c>
      <c r="G1009" s="34">
        <v>1048413</v>
      </c>
      <c r="H1009" s="35" t="s">
        <v>1877</v>
      </c>
    </row>
    <row r="1010" spans="1:8" ht="27" customHeight="1" x14ac:dyDescent="0.2">
      <c r="A1010" s="31" t="s">
        <v>1874</v>
      </c>
      <c r="B1010" s="32" t="s">
        <v>1875</v>
      </c>
      <c r="C1010" s="32" t="s">
        <v>770</v>
      </c>
      <c r="D1010" s="32" t="s">
        <v>794</v>
      </c>
      <c r="E1010" s="33" t="s">
        <v>772</v>
      </c>
      <c r="F1010" s="34">
        <v>651609</v>
      </c>
      <c r="G1010" s="34">
        <v>651609</v>
      </c>
      <c r="H1010" s="35" t="s">
        <v>1878</v>
      </c>
    </row>
    <row r="1011" spans="1:8" ht="27" customHeight="1" x14ac:dyDescent="0.2">
      <c r="A1011" s="31" t="s">
        <v>1874</v>
      </c>
      <c r="B1011" s="32" t="s">
        <v>1875</v>
      </c>
      <c r="C1011" s="32" t="s">
        <v>776</v>
      </c>
      <c r="D1011" s="32" t="s">
        <v>1879</v>
      </c>
      <c r="E1011" s="33" t="s">
        <v>777</v>
      </c>
      <c r="F1011" s="34">
        <v>299978</v>
      </c>
      <c r="G1011" s="34">
        <v>299978</v>
      </c>
      <c r="H1011" s="35" t="s">
        <v>1880</v>
      </c>
    </row>
    <row r="1012" spans="1:8" ht="27" customHeight="1" x14ac:dyDescent="0.2">
      <c r="A1012" s="31" t="s">
        <v>1881</v>
      </c>
      <c r="B1012" s="32" t="s">
        <v>1882</v>
      </c>
      <c r="C1012" s="32" t="s">
        <v>766</v>
      </c>
      <c r="D1012" s="32" t="s">
        <v>906</v>
      </c>
      <c r="E1012" s="33" t="s">
        <v>768</v>
      </c>
      <c r="F1012" s="34">
        <v>636123</v>
      </c>
      <c r="G1012" s="34">
        <v>636123</v>
      </c>
      <c r="H1012" s="35" t="s">
        <v>1883</v>
      </c>
    </row>
    <row r="1013" spans="1:8" ht="27" customHeight="1" x14ac:dyDescent="0.2">
      <c r="A1013" s="31" t="s">
        <v>1881</v>
      </c>
      <c r="B1013" s="32" t="s">
        <v>1882</v>
      </c>
      <c r="C1013" s="32" t="s">
        <v>770</v>
      </c>
      <c r="D1013" s="32" t="s">
        <v>1720</v>
      </c>
      <c r="E1013" s="33" t="s">
        <v>772</v>
      </c>
      <c r="F1013" s="34">
        <v>1125547</v>
      </c>
      <c r="G1013" s="34">
        <v>1070547</v>
      </c>
      <c r="H1013" s="35" t="s">
        <v>1884</v>
      </c>
    </row>
    <row r="1014" spans="1:8" ht="27" customHeight="1" x14ac:dyDescent="0.2">
      <c r="A1014" s="31" t="s">
        <v>1881</v>
      </c>
      <c r="B1014" s="32" t="s">
        <v>1882</v>
      </c>
      <c r="C1014" s="32" t="s">
        <v>773</v>
      </c>
      <c r="D1014" s="32" t="s">
        <v>1885</v>
      </c>
      <c r="E1014" s="33" t="s">
        <v>775</v>
      </c>
      <c r="F1014" s="34">
        <v>333</v>
      </c>
      <c r="G1014" s="34">
        <v>333</v>
      </c>
      <c r="H1014" s="35" t="s">
        <v>859</v>
      </c>
    </row>
    <row r="1015" spans="1:8" ht="27" customHeight="1" x14ac:dyDescent="0.2">
      <c r="A1015" s="31" t="s">
        <v>1881</v>
      </c>
      <c r="B1015" s="32" t="s">
        <v>1882</v>
      </c>
      <c r="C1015" s="32" t="s">
        <v>796</v>
      </c>
      <c r="D1015" s="32" t="s">
        <v>811</v>
      </c>
      <c r="E1015" s="33" t="s">
        <v>772</v>
      </c>
      <c r="F1015" s="34">
        <v>314279</v>
      </c>
      <c r="G1015" s="34">
        <v>314729</v>
      </c>
      <c r="H1015" s="35" t="s">
        <v>1886</v>
      </c>
    </row>
    <row r="1016" spans="1:8" ht="27" customHeight="1" x14ac:dyDescent="0.2">
      <c r="A1016" s="31" t="s">
        <v>1881</v>
      </c>
      <c r="B1016" s="32" t="s">
        <v>1882</v>
      </c>
      <c r="C1016" s="32" t="s">
        <v>779</v>
      </c>
      <c r="D1016" s="32" t="s">
        <v>826</v>
      </c>
      <c r="E1016" s="33" t="s">
        <v>780</v>
      </c>
      <c r="F1016" s="34">
        <v>660331</v>
      </c>
      <c r="G1016" s="34">
        <v>660331</v>
      </c>
      <c r="H1016" s="35" t="s">
        <v>859</v>
      </c>
    </row>
    <row r="1017" spans="1:8" ht="27" customHeight="1" x14ac:dyDescent="0.2">
      <c r="A1017" s="31" t="s">
        <v>1881</v>
      </c>
      <c r="B1017" s="32" t="s">
        <v>1882</v>
      </c>
      <c r="C1017" s="32" t="s">
        <v>782</v>
      </c>
      <c r="D1017" s="32" t="s">
        <v>1887</v>
      </c>
      <c r="E1017" s="33" t="s">
        <v>784</v>
      </c>
      <c r="F1017" s="34">
        <v>157171</v>
      </c>
      <c r="G1017" s="34">
        <v>151171</v>
      </c>
      <c r="H1017" s="35" t="s">
        <v>859</v>
      </c>
    </row>
    <row r="1018" spans="1:8" ht="27" customHeight="1" x14ac:dyDescent="0.2">
      <c r="A1018" s="31" t="s">
        <v>1888</v>
      </c>
      <c r="B1018" s="32" t="s">
        <v>1889</v>
      </c>
      <c r="C1018" s="32" t="s">
        <v>763</v>
      </c>
      <c r="D1018" s="32" t="s">
        <v>1890</v>
      </c>
      <c r="E1018" s="33" t="s">
        <v>764</v>
      </c>
      <c r="F1018" s="34">
        <v>600386</v>
      </c>
      <c r="G1018" s="34">
        <v>1050386</v>
      </c>
      <c r="H1018" s="35" t="s">
        <v>1891</v>
      </c>
    </row>
    <row r="1019" spans="1:8" ht="27" customHeight="1" x14ac:dyDescent="0.2">
      <c r="A1019" s="31" t="s">
        <v>1888</v>
      </c>
      <c r="B1019" s="32" t="s">
        <v>1889</v>
      </c>
      <c r="C1019" s="32" t="s">
        <v>763</v>
      </c>
      <c r="D1019" s="32" t="s">
        <v>1805</v>
      </c>
      <c r="E1019" s="33" t="s">
        <v>764</v>
      </c>
      <c r="F1019" s="34">
        <v>1574030</v>
      </c>
      <c r="G1019" s="34">
        <v>1574030</v>
      </c>
      <c r="H1019" s="35" t="s">
        <v>1667</v>
      </c>
    </row>
    <row r="1020" spans="1:8" ht="27" customHeight="1" x14ac:dyDescent="0.2">
      <c r="A1020" s="31" t="s">
        <v>1888</v>
      </c>
      <c r="B1020" s="32" t="s">
        <v>1889</v>
      </c>
      <c r="C1020" s="32" t="s">
        <v>770</v>
      </c>
      <c r="D1020" s="32" t="s">
        <v>1892</v>
      </c>
      <c r="E1020" s="33" t="s">
        <v>772</v>
      </c>
      <c r="F1020" s="34">
        <v>1219279</v>
      </c>
      <c r="G1020" s="34">
        <v>1219279</v>
      </c>
      <c r="H1020" s="35" t="s">
        <v>1893</v>
      </c>
    </row>
    <row r="1021" spans="1:8" ht="27" customHeight="1" x14ac:dyDescent="0.2">
      <c r="A1021" s="31" t="s">
        <v>1888</v>
      </c>
      <c r="B1021" s="32" t="s">
        <v>1889</v>
      </c>
      <c r="C1021" s="32" t="s">
        <v>860</v>
      </c>
      <c r="D1021" s="32" t="s">
        <v>860</v>
      </c>
      <c r="E1021" s="33" t="s">
        <v>861</v>
      </c>
      <c r="F1021" s="34">
        <v>177447</v>
      </c>
      <c r="G1021" s="34">
        <v>177447</v>
      </c>
      <c r="H1021" s="35" t="s">
        <v>1667</v>
      </c>
    </row>
    <row r="1022" spans="1:8" ht="27" customHeight="1" x14ac:dyDescent="0.2">
      <c r="A1022" s="31" t="s">
        <v>1888</v>
      </c>
      <c r="B1022" s="32" t="s">
        <v>1889</v>
      </c>
      <c r="C1022" s="32" t="s">
        <v>796</v>
      </c>
      <c r="D1022" s="32" t="s">
        <v>1894</v>
      </c>
      <c r="E1022" s="33" t="s">
        <v>823</v>
      </c>
      <c r="F1022" s="34">
        <v>3053638</v>
      </c>
      <c r="G1022" s="34">
        <v>3053638</v>
      </c>
      <c r="H1022" s="35" t="s">
        <v>1895</v>
      </c>
    </row>
    <row r="1023" spans="1:8" ht="27" customHeight="1" x14ac:dyDescent="0.2">
      <c r="A1023" s="31" t="s">
        <v>1888</v>
      </c>
      <c r="B1023" s="32" t="s">
        <v>1889</v>
      </c>
      <c r="C1023" s="32" t="s">
        <v>779</v>
      </c>
      <c r="D1023" s="32" t="s">
        <v>1757</v>
      </c>
      <c r="E1023" s="33" t="s">
        <v>780</v>
      </c>
      <c r="F1023" s="34">
        <v>1046246</v>
      </c>
      <c r="G1023" s="34">
        <v>1050561</v>
      </c>
      <c r="H1023" s="35" t="s">
        <v>1896</v>
      </c>
    </row>
    <row r="1024" spans="1:8" ht="27" customHeight="1" x14ac:dyDescent="0.2">
      <c r="A1024" s="31" t="s">
        <v>1897</v>
      </c>
      <c r="B1024" s="32" t="s">
        <v>1898</v>
      </c>
      <c r="C1024" s="32" t="s">
        <v>763</v>
      </c>
      <c r="D1024" s="32" t="s">
        <v>1899</v>
      </c>
      <c r="E1024" s="33" t="s">
        <v>764</v>
      </c>
      <c r="F1024" s="34">
        <v>2213036</v>
      </c>
      <c r="G1024" s="34">
        <v>2613036</v>
      </c>
      <c r="H1024" s="35" t="s">
        <v>1900</v>
      </c>
    </row>
    <row r="1025" spans="1:8" ht="27" customHeight="1" x14ac:dyDescent="0.2">
      <c r="A1025" s="31" t="s">
        <v>1897</v>
      </c>
      <c r="B1025" s="32" t="s">
        <v>1898</v>
      </c>
      <c r="C1025" s="32" t="s">
        <v>766</v>
      </c>
      <c r="D1025" s="32" t="s">
        <v>767</v>
      </c>
      <c r="E1025" s="33" t="s">
        <v>768</v>
      </c>
      <c r="F1025" s="34">
        <v>332219</v>
      </c>
      <c r="G1025" s="34">
        <v>332219</v>
      </c>
      <c r="H1025" s="35" t="s">
        <v>1901</v>
      </c>
    </row>
    <row r="1026" spans="1:8" ht="27" customHeight="1" x14ac:dyDescent="0.2">
      <c r="A1026" s="31" t="s">
        <v>1897</v>
      </c>
      <c r="B1026" s="32" t="s">
        <v>1898</v>
      </c>
      <c r="C1026" s="32" t="s">
        <v>770</v>
      </c>
      <c r="D1026" s="32" t="s">
        <v>1902</v>
      </c>
      <c r="E1026" s="33" t="s">
        <v>772</v>
      </c>
      <c r="F1026" s="34">
        <v>1595476</v>
      </c>
      <c r="G1026" s="34">
        <v>1595476</v>
      </c>
      <c r="H1026" s="35" t="s">
        <v>1901</v>
      </c>
    </row>
    <row r="1027" spans="1:8" ht="27" customHeight="1" x14ac:dyDescent="0.2">
      <c r="A1027" s="31" t="s">
        <v>1897</v>
      </c>
      <c r="B1027" s="32" t="s">
        <v>1898</v>
      </c>
      <c r="C1027" s="32" t="s">
        <v>844</v>
      </c>
      <c r="D1027" s="32" t="s">
        <v>844</v>
      </c>
      <c r="E1027" s="33" t="s">
        <v>846</v>
      </c>
      <c r="F1027" s="34">
        <v>209889</v>
      </c>
      <c r="G1027" s="34">
        <v>209899</v>
      </c>
      <c r="H1027" s="35" t="s">
        <v>1903</v>
      </c>
    </row>
    <row r="1028" spans="1:8" ht="27" customHeight="1" x14ac:dyDescent="0.2">
      <c r="A1028" s="31" t="s">
        <v>1897</v>
      </c>
      <c r="B1028" s="32" t="s">
        <v>1898</v>
      </c>
      <c r="C1028" s="32" t="s">
        <v>860</v>
      </c>
      <c r="D1028" s="32" t="s">
        <v>860</v>
      </c>
      <c r="E1028" s="33" t="s">
        <v>861</v>
      </c>
      <c r="F1028" s="34">
        <v>840418</v>
      </c>
      <c r="G1028" s="34">
        <v>790418</v>
      </c>
      <c r="H1028" s="35" t="s">
        <v>1904</v>
      </c>
    </row>
    <row r="1029" spans="1:8" ht="27" customHeight="1" x14ac:dyDescent="0.2">
      <c r="A1029" s="31" t="s">
        <v>1897</v>
      </c>
      <c r="B1029" s="32" t="s">
        <v>1898</v>
      </c>
      <c r="C1029" s="32" t="s">
        <v>796</v>
      </c>
      <c r="D1029" s="32" t="s">
        <v>1411</v>
      </c>
      <c r="E1029" s="33" t="s">
        <v>772</v>
      </c>
      <c r="F1029" s="34">
        <v>916367</v>
      </c>
      <c r="G1029" s="34">
        <v>916367</v>
      </c>
      <c r="H1029" s="35" t="s">
        <v>1901</v>
      </c>
    </row>
    <row r="1030" spans="1:8" ht="27" customHeight="1" x14ac:dyDescent="0.2">
      <c r="A1030" s="31" t="s">
        <v>1897</v>
      </c>
      <c r="B1030" s="32" t="s">
        <v>1898</v>
      </c>
      <c r="C1030" s="32" t="s">
        <v>776</v>
      </c>
      <c r="D1030" s="32" t="s">
        <v>776</v>
      </c>
      <c r="E1030" s="33" t="s">
        <v>777</v>
      </c>
      <c r="F1030" s="34">
        <v>668734</v>
      </c>
      <c r="G1030" s="34">
        <v>668734</v>
      </c>
      <c r="H1030" s="35" t="s">
        <v>1901</v>
      </c>
    </row>
    <row r="1031" spans="1:8" ht="27" customHeight="1" x14ac:dyDescent="0.2">
      <c r="A1031" s="31" t="s">
        <v>1897</v>
      </c>
      <c r="B1031" s="32" t="s">
        <v>1898</v>
      </c>
      <c r="C1031" s="32" t="s">
        <v>779</v>
      </c>
      <c r="D1031" s="32" t="s">
        <v>802</v>
      </c>
      <c r="E1031" s="33" t="s">
        <v>780</v>
      </c>
      <c r="F1031" s="34">
        <v>604330</v>
      </c>
      <c r="G1031" s="34">
        <v>604330</v>
      </c>
      <c r="H1031" s="35" t="s">
        <v>1901</v>
      </c>
    </row>
    <row r="1032" spans="1:8" ht="27" customHeight="1" x14ac:dyDescent="0.2">
      <c r="A1032" s="31" t="s">
        <v>1897</v>
      </c>
      <c r="B1032" s="32" t="s">
        <v>1898</v>
      </c>
      <c r="C1032" s="32" t="s">
        <v>782</v>
      </c>
      <c r="D1032" s="32" t="s">
        <v>901</v>
      </c>
      <c r="E1032" s="33" t="s">
        <v>784</v>
      </c>
      <c r="F1032" s="34">
        <v>527598</v>
      </c>
      <c r="G1032" s="34">
        <v>524598</v>
      </c>
      <c r="H1032" s="35" t="s">
        <v>1901</v>
      </c>
    </row>
    <row r="1033" spans="1:8" ht="27" customHeight="1" x14ac:dyDescent="0.2">
      <c r="A1033" s="31" t="s">
        <v>1905</v>
      </c>
      <c r="B1033" s="32" t="s">
        <v>1906</v>
      </c>
      <c r="C1033" s="32" t="s">
        <v>766</v>
      </c>
      <c r="D1033" s="32" t="s">
        <v>818</v>
      </c>
      <c r="E1033" s="33" t="s">
        <v>768</v>
      </c>
      <c r="F1033" s="34">
        <v>4968938</v>
      </c>
      <c r="G1033" s="34">
        <v>4686515</v>
      </c>
      <c r="H1033" s="35" t="s">
        <v>1907</v>
      </c>
    </row>
    <row r="1034" spans="1:8" ht="27" customHeight="1" x14ac:dyDescent="0.2">
      <c r="A1034" s="31" t="s">
        <v>1905</v>
      </c>
      <c r="B1034" s="32" t="s">
        <v>1906</v>
      </c>
      <c r="C1034" s="32" t="s">
        <v>776</v>
      </c>
      <c r="D1034" s="32" t="s">
        <v>776</v>
      </c>
      <c r="E1034" s="33" t="s">
        <v>777</v>
      </c>
      <c r="F1034" s="34">
        <v>115132</v>
      </c>
      <c r="G1034" s="34">
        <v>119362</v>
      </c>
      <c r="H1034" s="35" t="s">
        <v>765</v>
      </c>
    </row>
    <row r="1035" spans="1:8" ht="27" customHeight="1" x14ac:dyDescent="0.2">
      <c r="A1035" s="31" t="s">
        <v>1908</v>
      </c>
      <c r="B1035" s="32" t="s">
        <v>1909</v>
      </c>
      <c r="C1035" s="32" t="s">
        <v>763</v>
      </c>
      <c r="D1035" s="32" t="s">
        <v>763</v>
      </c>
      <c r="E1035" s="33" t="s">
        <v>764</v>
      </c>
      <c r="F1035" s="34">
        <v>54600</v>
      </c>
      <c r="G1035" s="34">
        <v>54600</v>
      </c>
      <c r="H1035" s="35" t="s">
        <v>1910</v>
      </c>
    </row>
    <row r="1036" spans="1:8" ht="27" customHeight="1" x14ac:dyDescent="0.2">
      <c r="A1036" s="31" t="s">
        <v>1908</v>
      </c>
      <c r="B1036" s="32" t="s">
        <v>1909</v>
      </c>
      <c r="C1036" s="32" t="s">
        <v>766</v>
      </c>
      <c r="D1036" s="32" t="s">
        <v>767</v>
      </c>
      <c r="E1036" s="33" t="s">
        <v>768</v>
      </c>
      <c r="F1036" s="34">
        <v>4666488</v>
      </c>
      <c r="G1036" s="34">
        <v>4666488</v>
      </c>
      <c r="H1036" s="35" t="s">
        <v>1911</v>
      </c>
    </row>
    <row r="1037" spans="1:8" ht="27" customHeight="1" x14ac:dyDescent="0.2">
      <c r="A1037" s="31" t="s">
        <v>1908</v>
      </c>
      <c r="B1037" s="32" t="s">
        <v>1909</v>
      </c>
      <c r="C1037" s="32" t="s">
        <v>770</v>
      </c>
      <c r="D1037" s="32" t="s">
        <v>1912</v>
      </c>
      <c r="E1037" s="33" t="s">
        <v>772</v>
      </c>
      <c r="F1037" s="34">
        <v>3013284</v>
      </c>
      <c r="G1037" s="34">
        <v>3013284</v>
      </c>
      <c r="H1037" s="35" t="s">
        <v>1911</v>
      </c>
    </row>
    <row r="1038" spans="1:8" ht="27" customHeight="1" x14ac:dyDescent="0.2">
      <c r="A1038" s="31" t="s">
        <v>1908</v>
      </c>
      <c r="B1038" s="32" t="s">
        <v>1909</v>
      </c>
      <c r="C1038" s="32" t="s">
        <v>796</v>
      </c>
      <c r="D1038" s="32" t="s">
        <v>796</v>
      </c>
      <c r="E1038" s="33" t="s">
        <v>772</v>
      </c>
      <c r="F1038" s="34">
        <v>1328032</v>
      </c>
      <c r="G1038" s="34">
        <v>1328032</v>
      </c>
      <c r="H1038" s="35" t="s">
        <v>1911</v>
      </c>
    </row>
    <row r="1039" spans="1:8" ht="27" customHeight="1" x14ac:dyDescent="0.2">
      <c r="A1039" s="31" t="s">
        <v>1908</v>
      </c>
      <c r="B1039" s="32" t="s">
        <v>1909</v>
      </c>
      <c r="C1039" s="32" t="s">
        <v>776</v>
      </c>
      <c r="D1039" s="32" t="s">
        <v>776</v>
      </c>
      <c r="E1039" s="33" t="s">
        <v>777</v>
      </c>
      <c r="F1039" s="34">
        <v>304159</v>
      </c>
      <c r="G1039" s="34">
        <v>304159</v>
      </c>
      <c r="H1039" s="35" t="s">
        <v>1910</v>
      </c>
    </row>
    <row r="1040" spans="1:8" ht="27" customHeight="1" x14ac:dyDescent="0.2">
      <c r="A1040" s="31" t="s">
        <v>1908</v>
      </c>
      <c r="B1040" s="32" t="s">
        <v>1909</v>
      </c>
      <c r="C1040" s="32" t="s">
        <v>779</v>
      </c>
      <c r="D1040" s="32" t="s">
        <v>826</v>
      </c>
      <c r="E1040" s="33" t="s">
        <v>780</v>
      </c>
      <c r="F1040" s="34">
        <v>255639</v>
      </c>
      <c r="G1040" s="34">
        <v>255639</v>
      </c>
      <c r="H1040" s="35" t="s">
        <v>1911</v>
      </c>
    </row>
    <row r="1041" spans="1:8" ht="27" customHeight="1" x14ac:dyDescent="0.2">
      <c r="A1041" s="31" t="s">
        <v>1913</v>
      </c>
      <c r="B1041" s="32" t="s">
        <v>1914</v>
      </c>
      <c r="C1041" s="32" t="s">
        <v>763</v>
      </c>
      <c r="D1041" s="32" t="s">
        <v>816</v>
      </c>
      <c r="E1041" s="33" t="s">
        <v>764</v>
      </c>
      <c r="F1041" s="34">
        <v>975449</v>
      </c>
      <c r="G1041" s="34">
        <v>975599</v>
      </c>
      <c r="H1041" s="35" t="s">
        <v>829</v>
      </c>
    </row>
    <row r="1042" spans="1:8" ht="27" customHeight="1" x14ac:dyDescent="0.2">
      <c r="A1042" s="31" t="s">
        <v>1913</v>
      </c>
      <c r="B1042" s="32" t="s">
        <v>1914</v>
      </c>
      <c r="C1042" s="32" t="s">
        <v>766</v>
      </c>
      <c r="D1042" s="32" t="s">
        <v>832</v>
      </c>
      <c r="E1042" s="33" t="s">
        <v>768</v>
      </c>
      <c r="F1042" s="34">
        <v>1830217</v>
      </c>
      <c r="G1042" s="34">
        <v>1831837</v>
      </c>
      <c r="H1042" s="35" t="s">
        <v>829</v>
      </c>
    </row>
    <row r="1043" spans="1:8" ht="27" customHeight="1" x14ac:dyDescent="0.2">
      <c r="A1043" s="31" t="s">
        <v>1913</v>
      </c>
      <c r="B1043" s="32" t="s">
        <v>1914</v>
      </c>
      <c r="C1043" s="32" t="s">
        <v>860</v>
      </c>
      <c r="D1043" s="32" t="s">
        <v>911</v>
      </c>
      <c r="E1043" s="33" t="s">
        <v>861</v>
      </c>
      <c r="F1043" s="34">
        <v>350191</v>
      </c>
      <c r="G1043" s="34">
        <v>250245</v>
      </c>
      <c r="H1043" s="35" t="s">
        <v>829</v>
      </c>
    </row>
    <row r="1044" spans="1:8" ht="27" customHeight="1" x14ac:dyDescent="0.2">
      <c r="A1044" s="31" t="s">
        <v>1913</v>
      </c>
      <c r="B1044" s="32" t="s">
        <v>1914</v>
      </c>
      <c r="C1044" s="32" t="s">
        <v>796</v>
      </c>
      <c r="D1044" s="32" t="s">
        <v>1095</v>
      </c>
      <c r="E1044" s="33" t="s">
        <v>772</v>
      </c>
      <c r="F1044" s="34">
        <v>794518</v>
      </c>
      <c r="G1044" s="34">
        <v>794638</v>
      </c>
      <c r="H1044" s="35" t="s">
        <v>1915</v>
      </c>
    </row>
    <row r="1045" spans="1:8" ht="27" customHeight="1" x14ac:dyDescent="0.2">
      <c r="A1045" s="31" t="s">
        <v>1913</v>
      </c>
      <c r="B1045" s="32" t="s">
        <v>1914</v>
      </c>
      <c r="C1045" s="32" t="s">
        <v>779</v>
      </c>
      <c r="D1045" s="32" t="s">
        <v>826</v>
      </c>
      <c r="E1045" s="33" t="s">
        <v>780</v>
      </c>
      <c r="F1045" s="34">
        <v>275352</v>
      </c>
      <c r="G1045" s="34">
        <v>275394</v>
      </c>
      <c r="H1045" s="35" t="s">
        <v>1916</v>
      </c>
    </row>
    <row r="1046" spans="1:8" ht="27" customHeight="1" x14ac:dyDescent="0.2">
      <c r="A1046" s="31" t="s">
        <v>1917</v>
      </c>
      <c r="B1046" s="32" t="s">
        <v>1918</v>
      </c>
      <c r="C1046" s="32" t="s">
        <v>763</v>
      </c>
      <c r="D1046" s="32" t="s">
        <v>1416</v>
      </c>
      <c r="E1046" s="33" t="s">
        <v>764</v>
      </c>
      <c r="F1046" s="34">
        <v>846291</v>
      </c>
      <c r="G1046" s="34">
        <v>2604036</v>
      </c>
      <c r="H1046" s="35" t="s">
        <v>1919</v>
      </c>
    </row>
    <row r="1047" spans="1:8" ht="27" customHeight="1" x14ac:dyDescent="0.2">
      <c r="A1047" s="31" t="s">
        <v>1917</v>
      </c>
      <c r="B1047" s="32" t="s">
        <v>1918</v>
      </c>
      <c r="C1047" s="32" t="s">
        <v>770</v>
      </c>
      <c r="D1047" s="32" t="s">
        <v>810</v>
      </c>
      <c r="E1047" s="33" t="s">
        <v>772</v>
      </c>
      <c r="F1047" s="34">
        <v>2390136</v>
      </c>
      <c r="G1047" s="34">
        <v>2392215</v>
      </c>
      <c r="H1047" s="35" t="s">
        <v>1920</v>
      </c>
    </row>
    <row r="1048" spans="1:8" ht="27" customHeight="1" x14ac:dyDescent="0.2">
      <c r="A1048" s="31" t="s">
        <v>1917</v>
      </c>
      <c r="B1048" s="32" t="s">
        <v>1918</v>
      </c>
      <c r="C1048" s="32" t="s">
        <v>796</v>
      </c>
      <c r="D1048" s="32" t="s">
        <v>811</v>
      </c>
      <c r="E1048" s="33" t="s">
        <v>772</v>
      </c>
      <c r="F1048" s="34">
        <v>1453116</v>
      </c>
      <c r="G1048" s="34">
        <v>2754279</v>
      </c>
      <c r="H1048" s="35" t="s">
        <v>1919</v>
      </c>
    </row>
    <row r="1049" spans="1:8" ht="27" customHeight="1" x14ac:dyDescent="0.2">
      <c r="A1049" s="31" t="s">
        <v>1917</v>
      </c>
      <c r="B1049" s="32" t="s">
        <v>1918</v>
      </c>
      <c r="C1049" s="32" t="s">
        <v>782</v>
      </c>
      <c r="D1049" s="32" t="s">
        <v>964</v>
      </c>
      <c r="E1049" s="33" t="s">
        <v>784</v>
      </c>
      <c r="F1049" s="34">
        <v>2058155</v>
      </c>
      <c r="G1049" s="34">
        <v>2109929</v>
      </c>
      <c r="H1049" s="35" t="s">
        <v>1921</v>
      </c>
    </row>
    <row r="1050" spans="1:8" ht="27" customHeight="1" x14ac:dyDescent="0.2">
      <c r="A1050" s="31" t="s">
        <v>1922</v>
      </c>
      <c r="B1050" s="32" t="s">
        <v>1923</v>
      </c>
      <c r="C1050" s="32" t="s">
        <v>763</v>
      </c>
      <c r="D1050" s="32" t="s">
        <v>1924</v>
      </c>
      <c r="E1050" s="33" t="s">
        <v>764</v>
      </c>
      <c r="F1050" s="34">
        <v>1850486</v>
      </c>
      <c r="G1050" s="34">
        <v>1850486</v>
      </c>
      <c r="H1050" s="35" t="s">
        <v>1925</v>
      </c>
    </row>
    <row r="1051" spans="1:8" ht="27" customHeight="1" x14ac:dyDescent="0.2">
      <c r="A1051" s="31" t="s">
        <v>1922</v>
      </c>
      <c r="B1051" s="32" t="s">
        <v>1923</v>
      </c>
      <c r="C1051" s="32" t="s">
        <v>766</v>
      </c>
      <c r="D1051" s="32" t="s">
        <v>832</v>
      </c>
      <c r="E1051" s="33" t="s">
        <v>768</v>
      </c>
      <c r="F1051" s="34">
        <v>16211</v>
      </c>
      <c r="G1051" s="34">
        <v>16211</v>
      </c>
      <c r="H1051" s="35" t="s">
        <v>1926</v>
      </c>
    </row>
    <row r="1052" spans="1:8" ht="27" customHeight="1" x14ac:dyDescent="0.2">
      <c r="A1052" s="31" t="s">
        <v>1922</v>
      </c>
      <c r="B1052" s="32" t="s">
        <v>1923</v>
      </c>
      <c r="C1052" s="32" t="s">
        <v>770</v>
      </c>
      <c r="D1052" s="32" t="s">
        <v>1011</v>
      </c>
      <c r="E1052" s="33" t="s">
        <v>772</v>
      </c>
      <c r="F1052" s="34">
        <v>418761</v>
      </c>
      <c r="G1052" s="34">
        <v>418761</v>
      </c>
      <c r="H1052" s="35" t="s">
        <v>1926</v>
      </c>
    </row>
    <row r="1053" spans="1:8" ht="27" customHeight="1" x14ac:dyDescent="0.2">
      <c r="A1053" s="31" t="s">
        <v>1922</v>
      </c>
      <c r="B1053" s="32" t="s">
        <v>1923</v>
      </c>
      <c r="C1053" s="32" t="s">
        <v>844</v>
      </c>
      <c r="D1053" s="32" t="s">
        <v>844</v>
      </c>
      <c r="E1053" s="33" t="s">
        <v>846</v>
      </c>
      <c r="F1053" s="34">
        <v>10677</v>
      </c>
      <c r="G1053" s="34">
        <v>10677</v>
      </c>
      <c r="H1053" s="35" t="s">
        <v>1926</v>
      </c>
    </row>
    <row r="1054" spans="1:8" ht="27" customHeight="1" x14ac:dyDescent="0.2">
      <c r="A1054" s="31" t="s">
        <v>1922</v>
      </c>
      <c r="B1054" s="32" t="s">
        <v>1923</v>
      </c>
      <c r="C1054" s="32" t="s">
        <v>796</v>
      </c>
      <c r="D1054" s="32" t="s">
        <v>1095</v>
      </c>
      <c r="E1054" s="33" t="s">
        <v>823</v>
      </c>
      <c r="F1054" s="34">
        <v>437921</v>
      </c>
      <c r="G1054" s="34">
        <v>187921</v>
      </c>
      <c r="H1054" s="35" t="s">
        <v>1926</v>
      </c>
    </row>
    <row r="1055" spans="1:8" ht="27" customHeight="1" x14ac:dyDescent="0.2">
      <c r="A1055" s="31" t="s">
        <v>1922</v>
      </c>
      <c r="B1055" s="32" t="s">
        <v>1923</v>
      </c>
      <c r="C1055" s="32" t="s">
        <v>779</v>
      </c>
      <c r="D1055" s="32" t="s">
        <v>779</v>
      </c>
      <c r="E1055" s="33" t="s">
        <v>780</v>
      </c>
      <c r="F1055" s="34">
        <v>152770</v>
      </c>
      <c r="G1055" s="34">
        <v>147770</v>
      </c>
      <c r="H1055" s="35" t="s">
        <v>1927</v>
      </c>
    </row>
    <row r="1056" spans="1:8" ht="27" customHeight="1" x14ac:dyDescent="0.2">
      <c r="A1056" s="31" t="s">
        <v>1928</v>
      </c>
      <c r="B1056" s="32" t="s">
        <v>1929</v>
      </c>
      <c r="C1056" s="32" t="s">
        <v>770</v>
      </c>
      <c r="D1056" s="32" t="s">
        <v>1930</v>
      </c>
      <c r="E1056" s="33" t="s">
        <v>772</v>
      </c>
      <c r="F1056" s="34">
        <v>300000</v>
      </c>
      <c r="G1056" s="34">
        <v>300000</v>
      </c>
      <c r="H1056" s="35" t="s">
        <v>1931</v>
      </c>
    </row>
    <row r="1057" spans="1:8" ht="27" customHeight="1" x14ac:dyDescent="0.2">
      <c r="A1057" s="31" t="s">
        <v>1932</v>
      </c>
      <c r="B1057" s="32" t="s">
        <v>1933</v>
      </c>
      <c r="C1057" s="32" t="s">
        <v>763</v>
      </c>
      <c r="D1057" s="32" t="s">
        <v>1665</v>
      </c>
      <c r="E1057" s="33" t="s">
        <v>764</v>
      </c>
      <c r="F1057" s="34">
        <v>2916384</v>
      </c>
      <c r="G1057" s="34">
        <v>2922054</v>
      </c>
      <c r="H1057" s="35" t="s">
        <v>1934</v>
      </c>
    </row>
    <row r="1058" spans="1:8" ht="27" customHeight="1" x14ac:dyDescent="0.2">
      <c r="A1058" s="31" t="s">
        <v>1932</v>
      </c>
      <c r="B1058" s="32" t="s">
        <v>1933</v>
      </c>
      <c r="C1058" s="32" t="s">
        <v>763</v>
      </c>
      <c r="D1058" s="32" t="s">
        <v>1935</v>
      </c>
      <c r="E1058" s="33" t="s">
        <v>764</v>
      </c>
      <c r="F1058" s="34">
        <v>4674341</v>
      </c>
      <c r="G1058" s="34">
        <v>4683389</v>
      </c>
      <c r="H1058" s="35" t="s">
        <v>1261</v>
      </c>
    </row>
    <row r="1059" spans="1:8" ht="27" customHeight="1" x14ac:dyDescent="0.2">
      <c r="A1059" s="31" t="s">
        <v>1932</v>
      </c>
      <c r="B1059" s="32" t="s">
        <v>1933</v>
      </c>
      <c r="C1059" s="32" t="s">
        <v>766</v>
      </c>
      <c r="D1059" s="32" t="s">
        <v>767</v>
      </c>
      <c r="E1059" s="33" t="s">
        <v>768</v>
      </c>
      <c r="F1059" s="34">
        <v>7711176</v>
      </c>
      <c r="G1059" s="34">
        <v>6004739</v>
      </c>
      <c r="H1059" s="35" t="s">
        <v>1936</v>
      </c>
    </row>
    <row r="1060" spans="1:8" ht="27" customHeight="1" x14ac:dyDescent="0.2">
      <c r="A1060" s="31" t="s">
        <v>1932</v>
      </c>
      <c r="B1060" s="32" t="s">
        <v>1933</v>
      </c>
      <c r="C1060" s="32" t="s">
        <v>770</v>
      </c>
      <c r="D1060" s="32" t="s">
        <v>1937</v>
      </c>
      <c r="E1060" s="33" t="s">
        <v>772</v>
      </c>
      <c r="F1060" s="34">
        <v>9898705</v>
      </c>
      <c r="G1060" s="34">
        <v>9551030</v>
      </c>
      <c r="H1060" s="35" t="s">
        <v>1938</v>
      </c>
    </row>
    <row r="1061" spans="1:8" ht="27" customHeight="1" x14ac:dyDescent="0.2">
      <c r="A1061" s="31" t="s">
        <v>1932</v>
      </c>
      <c r="B1061" s="32" t="s">
        <v>1933</v>
      </c>
      <c r="C1061" s="32" t="s">
        <v>773</v>
      </c>
      <c r="D1061" s="32" t="s">
        <v>1939</v>
      </c>
      <c r="E1061" s="33" t="s">
        <v>775</v>
      </c>
      <c r="F1061" s="34">
        <v>323465</v>
      </c>
      <c r="G1061" s="34">
        <v>324095</v>
      </c>
      <c r="H1061" s="35" t="s">
        <v>1261</v>
      </c>
    </row>
    <row r="1062" spans="1:8" ht="27" customHeight="1" x14ac:dyDescent="0.2">
      <c r="A1062" s="31" t="s">
        <v>1932</v>
      </c>
      <c r="B1062" s="32" t="s">
        <v>1933</v>
      </c>
      <c r="C1062" s="32" t="s">
        <v>886</v>
      </c>
      <c r="D1062" s="32" t="s">
        <v>886</v>
      </c>
      <c r="E1062" s="33" t="s">
        <v>887</v>
      </c>
      <c r="F1062" s="34">
        <v>170844</v>
      </c>
      <c r="G1062" s="34">
        <v>171177</v>
      </c>
      <c r="H1062" s="35" t="s">
        <v>1261</v>
      </c>
    </row>
    <row r="1063" spans="1:8" ht="27" customHeight="1" x14ac:dyDescent="0.2">
      <c r="A1063" s="31" t="s">
        <v>1932</v>
      </c>
      <c r="B1063" s="32" t="s">
        <v>1933</v>
      </c>
      <c r="C1063" s="32" t="s">
        <v>796</v>
      </c>
      <c r="D1063" s="32" t="s">
        <v>796</v>
      </c>
      <c r="E1063" s="33" t="s">
        <v>772</v>
      </c>
      <c r="F1063" s="34">
        <v>6363977</v>
      </c>
      <c r="G1063" s="34">
        <v>3473858</v>
      </c>
      <c r="H1063" s="35" t="s">
        <v>1940</v>
      </c>
    </row>
    <row r="1064" spans="1:8" ht="27" customHeight="1" x14ac:dyDescent="0.2">
      <c r="A1064" s="31" t="s">
        <v>1932</v>
      </c>
      <c r="B1064" s="32" t="s">
        <v>1933</v>
      </c>
      <c r="C1064" s="32" t="s">
        <v>776</v>
      </c>
      <c r="D1064" s="32" t="s">
        <v>776</v>
      </c>
      <c r="E1064" s="33" t="s">
        <v>777</v>
      </c>
      <c r="F1064" s="34">
        <v>3353745</v>
      </c>
      <c r="G1064" s="34">
        <v>3225240</v>
      </c>
      <c r="H1064" s="35" t="s">
        <v>1941</v>
      </c>
    </row>
    <row r="1065" spans="1:8" ht="27" customHeight="1" x14ac:dyDescent="0.2">
      <c r="A1065" s="31" t="s">
        <v>1932</v>
      </c>
      <c r="B1065" s="32" t="s">
        <v>1933</v>
      </c>
      <c r="C1065" s="32" t="s">
        <v>779</v>
      </c>
      <c r="D1065" s="32" t="s">
        <v>779</v>
      </c>
      <c r="E1065" s="33" t="s">
        <v>780</v>
      </c>
      <c r="F1065" s="34">
        <v>2184170</v>
      </c>
      <c r="G1065" s="34">
        <v>2138400</v>
      </c>
      <c r="H1065" s="35" t="s">
        <v>1942</v>
      </c>
    </row>
    <row r="1066" spans="1:8" ht="27" customHeight="1" x14ac:dyDescent="0.2">
      <c r="A1066" s="31" t="s">
        <v>1932</v>
      </c>
      <c r="B1066" s="32" t="s">
        <v>1933</v>
      </c>
      <c r="C1066" s="32" t="s">
        <v>782</v>
      </c>
      <c r="D1066" s="32" t="s">
        <v>782</v>
      </c>
      <c r="E1066" s="33" t="s">
        <v>784</v>
      </c>
      <c r="F1066" s="34">
        <v>50559</v>
      </c>
      <c r="G1066" s="34">
        <v>30649</v>
      </c>
      <c r="H1066" s="35" t="s">
        <v>1943</v>
      </c>
    </row>
    <row r="1067" spans="1:8" ht="27" customHeight="1" x14ac:dyDescent="0.2">
      <c r="A1067" s="31" t="s">
        <v>1944</v>
      </c>
      <c r="B1067" s="32" t="s">
        <v>1945</v>
      </c>
      <c r="C1067" s="32" t="s">
        <v>763</v>
      </c>
      <c r="D1067" s="32" t="s">
        <v>897</v>
      </c>
      <c r="E1067" s="33" t="s">
        <v>764</v>
      </c>
      <c r="F1067" s="34">
        <v>2256500</v>
      </c>
      <c r="G1067" s="34">
        <v>5500000</v>
      </c>
      <c r="H1067" s="35" t="s">
        <v>829</v>
      </c>
    </row>
    <row r="1068" spans="1:8" ht="27" customHeight="1" x14ac:dyDescent="0.2">
      <c r="A1068" s="31" t="s">
        <v>1944</v>
      </c>
      <c r="B1068" s="32" t="s">
        <v>1945</v>
      </c>
      <c r="C1068" s="32" t="s">
        <v>766</v>
      </c>
      <c r="D1068" s="32" t="s">
        <v>832</v>
      </c>
      <c r="E1068" s="33" t="s">
        <v>768</v>
      </c>
      <c r="F1068" s="34">
        <v>1512694</v>
      </c>
      <c r="G1068" s="34">
        <v>1470000</v>
      </c>
      <c r="H1068" s="35" t="s">
        <v>1946</v>
      </c>
    </row>
    <row r="1069" spans="1:8" ht="27" customHeight="1" x14ac:dyDescent="0.2">
      <c r="A1069" s="31" t="s">
        <v>1944</v>
      </c>
      <c r="B1069" s="32" t="s">
        <v>1945</v>
      </c>
      <c r="C1069" s="32" t="s">
        <v>770</v>
      </c>
      <c r="D1069" s="32" t="s">
        <v>820</v>
      </c>
      <c r="E1069" s="33" t="s">
        <v>772</v>
      </c>
      <c r="F1069" s="34">
        <v>1196230</v>
      </c>
      <c r="G1069" s="34">
        <v>1200000</v>
      </c>
      <c r="H1069" s="35" t="s">
        <v>829</v>
      </c>
    </row>
    <row r="1070" spans="1:8" ht="27" customHeight="1" x14ac:dyDescent="0.2">
      <c r="A1070" s="31" t="s">
        <v>1944</v>
      </c>
      <c r="B1070" s="32" t="s">
        <v>1945</v>
      </c>
      <c r="C1070" s="32" t="s">
        <v>796</v>
      </c>
      <c r="D1070" s="32" t="s">
        <v>1095</v>
      </c>
      <c r="E1070" s="33" t="s">
        <v>772</v>
      </c>
      <c r="F1070" s="34">
        <v>4081137</v>
      </c>
      <c r="G1070" s="34">
        <v>4100000</v>
      </c>
      <c r="H1070" s="35" t="s">
        <v>829</v>
      </c>
    </row>
    <row r="1071" spans="1:8" ht="27" customHeight="1" x14ac:dyDescent="0.2">
      <c r="A1071" s="31" t="s">
        <v>1944</v>
      </c>
      <c r="B1071" s="32" t="s">
        <v>1945</v>
      </c>
      <c r="C1071" s="32" t="s">
        <v>779</v>
      </c>
      <c r="D1071" s="32" t="s">
        <v>826</v>
      </c>
      <c r="E1071" s="33" t="s">
        <v>780</v>
      </c>
      <c r="F1071" s="34">
        <v>43766</v>
      </c>
      <c r="G1071" s="34">
        <v>45000</v>
      </c>
      <c r="H1071" s="35" t="s">
        <v>829</v>
      </c>
    </row>
    <row r="1072" spans="1:8" ht="27" customHeight="1" x14ac:dyDescent="0.2">
      <c r="A1072" s="31" t="s">
        <v>1944</v>
      </c>
      <c r="B1072" s="32" t="s">
        <v>1945</v>
      </c>
      <c r="C1072" s="32" t="s">
        <v>782</v>
      </c>
      <c r="D1072" s="32" t="s">
        <v>1887</v>
      </c>
      <c r="E1072" s="33" t="s">
        <v>784</v>
      </c>
      <c r="F1072" s="34">
        <v>507464</v>
      </c>
      <c r="G1072" s="34">
        <v>520000</v>
      </c>
      <c r="H1072" s="35" t="s">
        <v>829</v>
      </c>
    </row>
    <row r="1073" spans="1:8" ht="27" customHeight="1" x14ac:dyDescent="0.2">
      <c r="A1073" s="31" t="s">
        <v>1947</v>
      </c>
      <c r="B1073" s="32" t="s">
        <v>1948</v>
      </c>
      <c r="C1073" s="32" t="s">
        <v>763</v>
      </c>
      <c r="D1073" s="32" t="s">
        <v>763</v>
      </c>
      <c r="E1073" s="33" t="s">
        <v>764</v>
      </c>
      <c r="F1073" s="34">
        <v>2093228</v>
      </c>
      <c r="G1073" s="34">
        <v>2095094</v>
      </c>
      <c r="H1073" s="35" t="s">
        <v>1949</v>
      </c>
    </row>
    <row r="1074" spans="1:8" ht="27" customHeight="1" x14ac:dyDescent="0.2">
      <c r="A1074" s="31" t="s">
        <v>1947</v>
      </c>
      <c r="B1074" s="32" t="s">
        <v>1948</v>
      </c>
      <c r="C1074" s="32" t="s">
        <v>766</v>
      </c>
      <c r="D1074" s="32" t="s">
        <v>767</v>
      </c>
      <c r="E1074" s="33" t="s">
        <v>768</v>
      </c>
      <c r="F1074" s="34">
        <v>748657</v>
      </c>
      <c r="G1074" s="34">
        <v>422267</v>
      </c>
      <c r="H1074" s="35" t="s">
        <v>1950</v>
      </c>
    </row>
    <row r="1075" spans="1:8" ht="27" customHeight="1" x14ac:dyDescent="0.2">
      <c r="A1075" s="31" t="s">
        <v>1947</v>
      </c>
      <c r="B1075" s="32" t="s">
        <v>1948</v>
      </c>
      <c r="C1075" s="32" t="s">
        <v>770</v>
      </c>
      <c r="D1075" s="32" t="s">
        <v>794</v>
      </c>
      <c r="E1075" s="33" t="s">
        <v>772</v>
      </c>
      <c r="F1075" s="34">
        <v>435585</v>
      </c>
      <c r="G1075" s="34">
        <v>435974</v>
      </c>
      <c r="H1075" s="35" t="s">
        <v>1951</v>
      </c>
    </row>
    <row r="1076" spans="1:8" ht="27" customHeight="1" x14ac:dyDescent="0.2">
      <c r="A1076" s="31" t="s">
        <v>1947</v>
      </c>
      <c r="B1076" s="32" t="s">
        <v>1948</v>
      </c>
      <c r="C1076" s="32" t="s">
        <v>773</v>
      </c>
      <c r="D1076" s="32" t="s">
        <v>1952</v>
      </c>
      <c r="E1076" s="33" t="s">
        <v>775</v>
      </c>
      <c r="F1076" s="34">
        <v>31044</v>
      </c>
      <c r="G1076" s="34">
        <v>31048</v>
      </c>
      <c r="H1076" s="35" t="s">
        <v>1951</v>
      </c>
    </row>
    <row r="1077" spans="1:8" ht="27" customHeight="1" x14ac:dyDescent="0.2">
      <c r="A1077" s="31" t="s">
        <v>1947</v>
      </c>
      <c r="B1077" s="32" t="s">
        <v>1948</v>
      </c>
      <c r="C1077" s="32" t="s">
        <v>886</v>
      </c>
      <c r="D1077" s="32" t="s">
        <v>886</v>
      </c>
      <c r="E1077" s="33" t="s">
        <v>887</v>
      </c>
      <c r="F1077" s="34">
        <v>92924</v>
      </c>
      <c r="G1077" s="34">
        <v>92935</v>
      </c>
      <c r="H1077" s="35" t="s">
        <v>1951</v>
      </c>
    </row>
    <row r="1078" spans="1:8" ht="27" customHeight="1" x14ac:dyDescent="0.2">
      <c r="A1078" s="31" t="s">
        <v>1947</v>
      </c>
      <c r="B1078" s="32" t="s">
        <v>1948</v>
      </c>
      <c r="C1078" s="32" t="s">
        <v>860</v>
      </c>
      <c r="D1078" s="32" t="s">
        <v>860</v>
      </c>
      <c r="E1078" s="33" t="s">
        <v>861</v>
      </c>
      <c r="F1078" s="34">
        <v>1568830</v>
      </c>
      <c r="G1078" s="34">
        <v>1495229</v>
      </c>
      <c r="H1078" s="35" t="s">
        <v>1953</v>
      </c>
    </row>
    <row r="1079" spans="1:8" ht="27" customHeight="1" x14ac:dyDescent="0.2">
      <c r="A1079" s="31" t="s">
        <v>1947</v>
      </c>
      <c r="B1079" s="32" t="s">
        <v>1948</v>
      </c>
      <c r="C1079" s="32" t="s">
        <v>796</v>
      </c>
      <c r="D1079" s="32" t="s">
        <v>1050</v>
      </c>
      <c r="E1079" s="33" t="s">
        <v>772</v>
      </c>
      <c r="F1079" s="34">
        <v>493720</v>
      </c>
      <c r="G1079" s="34">
        <v>374160</v>
      </c>
      <c r="H1079" s="35" t="s">
        <v>1954</v>
      </c>
    </row>
    <row r="1080" spans="1:8" ht="27" customHeight="1" x14ac:dyDescent="0.2">
      <c r="A1080" s="31" t="s">
        <v>1947</v>
      </c>
      <c r="B1080" s="32" t="s">
        <v>1948</v>
      </c>
      <c r="C1080" s="32" t="s">
        <v>779</v>
      </c>
      <c r="D1080" s="32" t="s">
        <v>802</v>
      </c>
      <c r="E1080" s="33" t="s">
        <v>780</v>
      </c>
      <c r="F1080" s="34">
        <v>223339</v>
      </c>
      <c r="G1080" s="34">
        <v>223538</v>
      </c>
      <c r="H1080" s="35" t="s">
        <v>1951</v>
      </c>
    </row>
    <row r="1081" spans="1:8" ht="27" customHeight="1" x14ac:dyDescent="0.2">
      <c r="A1081" s="31" t="s">
        <v>1955</v>
      </c>
      <c r="B1081" s="32" t="s">
        <v>1956</v>
      </c>
      <c r="C1081" s="32" t="s">
        <v>763</v>
      </c>
      <c r="D1081" s="32" t="s">
        <v>1867</v>
      </c>
      <c r="E1081" s="33" t="s">
        <v>764</v>
      </c>
      <c r="F1081" s="34">
        <v>1500000</v>
      </c>
      <c r="G1081" s="34">
        <v>1500000</v>
      </c>
      <c r="H1081" s="35" t="s">
        <v>1957</v>
      </c>
    </row>
    <row r="1082" spans="1:8" ht="27" customHeight="1" x14ac:dyDescent="0.2">
      <c r="A1082" s="31" t="s">
        <v>1955</v>
      </c>
      <c r="B1082" s="32" t="s">
        <v>1956</v>
      </c>
      <c r="C1082" s="32" t="s">
        <v>766</v>
      </c>
      <c r="D1082" s="32" t="s">
        <v>818</v>
      </c>
      <c r="E1082" s="33" t="s">
        <v>768</v>
      </c>
      <c r="F1082" s="34">
        <v>2618140</v>
      </c>
      <c r="G1082" s="34">
        <v>2618140</v>
      </c>
      <c r="H1082" s="35" t="s">
        <v>1958</v>
      </c>
    </row>
    <row r="1083" spans="1:8" ht="27" customHeight="1" x14ac:dyDescent="0.2">
      <c r="A1083" s="31" t="s">
        <v>1955</v>
      </c>
      <c r="B1083" s="32" t="s">
        <v>1956</v>
      </c>
      <c r="C1083" s="32" t="s">
        <v>770</v>
      </c>
      <c r="D1083" s="32" t="s">
        <v>1121</v>
      </c>
      <c r="E1083" s="33" t="s">
        <v>772</v>
      </c>
      <c r="F1083" s="34">
        <v>1521377</v>
      </c>
      <c r="G1083" s="34">
        <v>1521377</v>
      </c>
      <c r="H1083" s="35" t="s">
        <v>1783</v>
      </c>
    </row>
    <row r="1084" spans="1:8" ht="27" customHeight="1" x14ac:dyDescent="0.2">
      <c r="A1084" s="31" t="s">
        <v>1955</v>
      </c>
      <c r="B1084" s="32" t="s">
        <v>1956</v>
      </c>
      <c r="C1084" s="32" t="s">
        <v>884</v>
      </c>
      <c r="D1084" s="32" t="s">
        <v>1365</v>
      </c>
      <c r="E1084" s="33" t="s">
        <v>885</v>
      </c>
      <c r="F1084" s="34">
        <v>0</v>
      </c>
      <c r="G1084" s="34">
        <v>0</v>
      </c>
      <c r="H1084" s="35" t="s">
        <v>829</v>
      </c>
    </row>
    <row r="1085" spans="1:8" ht="27" customHeight="1" x14ac:dyDescent="0.2">
      <c r="A1085" s="31" t="s">
        <v>1955</v>
      </c>
      <c r="B1085" s="32" t="s">
        <v>1956</v>
      </c>
      <c r="C1085" s="32" t="s">
        <v>844</v>
      </c>
      <c r="D1085" s="32" t="s">
        <v>844</v>
      </c>
      <c r="E1085" s="33" t="s">
        <v>846</v>
      </c>
      <c r="F1085" s="34">
        <v>0</v>
      </c>
      <c r="G1085" s="34">
        <v>0</v>
      </c>
      <c r="H1085" s="35" t="s">
        <v>829</v>
      </c>
    </row>
    <row r="1086" spans="1:8" ht="27" customHeight="1" x14ac:dyDescent="0.2">
      <c r="A1086" s="31" t="s">
        <v>1955</v>
      </c>
      <c r="B1086" s="32" t="s">
        <v>1956</v>
      </c>
      <c r="C1086" s="32" t="s">
        <v>773</v>
      </c>
      <c r="D1086" s="32" t="s">
        <v>773</v>
      </c>
      <c r="E1086" s="33" t="s">
        <v>775</v>
      </c>
      <c r="F1086" s="34">
        <v>0</v>
      </c>
      <c r="G1086" s="34">
        <v>0</v>
      </c>
      <c r="H1086" s="35" t="s">
        <v>829</v>
      </c>
    </row>
    <row r="1087" spans="1:8" ht="27" customHeight="1" x14ac:dyDescent="0.2">
      <c r="A1087" s="31" t="s">
        <v>1955</v>
      </c>
      <c r="B1087" s="32" t="s">
        <v>1956</v>
      </c>
      <c r="C1087" s="32" t="s">
        <v>831</v>
      </c>
      <c r="D1087" s="32" t="s">
        <v>1959</v>
      </c>
      <c r="E1087" s="33" t="s">
        <v>1960</v>
      </c>
      <c r="F1087" s="34">
        <v>246400</v>
      </c>
      <c r="G1087" s="34">
        <v>211200</v>
      </c>
      <c r="H1087" s="35" t="s">
        <v>1961</v>
      </c>
    </row>
    <row r="1088" spans="1:8" ht="27" customHeight="1" x14ac:dyDescent="0.2">
      <c r="A1088" s="31" t="s">
        <v>1955</v>
      </c>
      <c r="B1088" s="32" t="s">
        <v>1956</v>
      </c>
      <c r="C1088" s="32" t="s">
        <v>831</v>
      </c>
      <c r="D1088" s="32" t="s">
        <v>1962</v>
      </c>
      <c r="E1088" s="33" t="s">
        <v>1963</v>
      </c>
      <c r="F1088" s="34">
        <v>74480</v>
      </c>
      <c r="G1088" s="34">
        <v>63840</v>
      </c>
      <c r="H1088" s="35" t="s">
        <v>1964</v>
      </c>
    </row>
    <row r="1089" spans="1:8" ht="27" customHeight="1" x14ac:dyDescent="0.2">
      <c r="A1089" s="31" t="s">
        <v>1955</v>
      </c>
      <c r="B1089" s="32" t="s">
        <v>1956</v>
      </c>
      <c r="C1089" s="32" t="s">
        <v>886</v>
      </c>
      <c r="D1089" s="32" t="s">
        <v>886</v>
      </c>
      <c r="E1089" s="33" t="s">
        <v>887</v>
      </c>
      <c r="F1089" s="34">
        <v>0</v>
      </c>
      <c r="G1089" s="34">
        <v>0</v>
      </c>
      <c r="H1089" s="35" t="s">
        <v>829</v>
      </c>
    </row>
    <row r="1090" spans="1:8" ht="27" customHeight="1" x14ac:dyDescent="0.2">
      <c r="A1090" s="31" t="s">
        <v>1955</v>
      </c>
      <c r="B1090" s="32" t="s">
        <v>1956</v>
      </c>
      <c r="C1090" s="32" t="s">
        <v>860</v>
      </c>
      <c r="D1090" s="32" t="s">
        <v>860</v>
      </c>
      <c r="E1090" s="33" t="s">
        <v>861</v>
      </c>
      <c r="F1090" s="34">
        <v>0</v>
      </c>
      <c r="G1090" s="34">
        <v>0</v>
      </c>
      <c r="H1090" s="35" t="s">
        <v>829</v>
      </c>
    </row>
    <row r="1091" spans="1:8" ht="27" customHeight="1" x14ac:dyDescent="0.2">
      <c r="A1091" s="31" t="s">
        <v>1955</v>
      </c>
      <c r="B1091" s="32" t="s">
        <v>1956</v>
      </c>
      <c r="C1091" s="32" t="s">
        <v>796</v>
      </c>
      <c r="D1091" s="32" t="s">
        <v>796</v>
      </c>
      <c r="E1091" s="33" t="s">
        <v>772</v>
      </c>
      <c r="F1091" s="34">
        <v>0</v>
      </c>
      <c r="G1091" s="34">
        <v>0</v>
      </c>
      <c r="H1091" s="35" t="s">
        <v>829</v>
      </c>
    </row>
    <row r="1092" spans="1:8" ht="27" customHeight="1" x14ac:dyDescent="0.2">
      <c r="A1092" s="31" t="s">
        <v>1955</v>
      </c>
      <c r="B1092" s="32" t="s">
        <v>1956</v>
      </c>
      <c r="C1092" s="32" t="s">
        <v>776</v>
      </c>
      <c r="D1092" s="32" t="s">
        <v>914</v>
      </c>
      <c r="E1092" s="33" t="s">
        <v>777</v>
      </c>
      <c r="F1092" s="34">
        <v>373155</v>
      </c>
      <c r="G1092" s="34">
        <v>373155</v>
      </c>
      <c r="H1092" s="35" t="s">
        <v>1783</v>
      </c>
    </row>
    <row r="1093" spans="1:8" ht="27" customHeight="1" x14ac:dyDescent="0.2">
      <c r="A1093" s="31" t="s">
        <v>1955</v>
      </c>
      <c r="B1093" s="32" t="s">
        <v>1956</v>
      </c>
      <c r="C1093" s="32" t="s">
        <v>798</v>
      </c>
      <c r="D1093" s="32" t="s">
        <v>1014</v>
      </c>
      <c r="E1093" s="33" t="s">
        <v>800</v>
      </c>
      <c r="F1093" s="34">
        <v>1857268</v>
      </c>
      <c r="G1093" s="34">
        <v>1107268</v>
      </c>
      <c r="H1093" s="35" t="s">
        <v>1783</v>
      </c>
    </row>
    <row r="1094" spans="1:8" ht="27" customHeight="1" x14ac:dyDescent="0.2">
      <c r="A1094" s="31" t="s">
        <v>1955</v>
      </c>
      <c r="B1094" s="32" t="s">
        <v>1956</v>
      </c>
      <c r="C1094" s="32" t="s">
        <v>892</v>
      </c>
      <c r="D1094" s="32" t="s">
        <v>1226</v>
      </c>
      <c r="E1094" s="33" t="s">
        <v>893</v>
      </c>
      <c r="F1094" s="34">
        <v>0</v>
      </c>
      <c r="G1094" s="34">
        <v>0</v>
      </c>
      <c r="H1094" s="35" t="s">
        <v>829</v>
      </c>
    </row>
    <row r="1095" spans="1:8" ht="27" customHeight="1" x14ac:dyDescent="0.2">
      <c r="A1095" s="31" t="s">
        <v>1955</v>
      </c>
      <c r="B1095" s="32" t="s">
        <v>1956</v>
      </c>
      <c r="C1095" s="32" t="s">
        <v>779</v>
      </c>
      <c r="D1095" s="32" t="s">
        <v>927</v>
      </c>
      <c r="E1095" s="33" t="s">
        <v>780</v>
      </c>
      <c r="F1095" s="34">
        <v>917339</v>
      </c>
      <c r="G1095" s="34">
        <v>917339</v>
      </c>
      <c r="H1095" s="35" t="s">
        <v>1783</v>
      </c>
    </row>
    <row r="1096" spans="1:8" ht="27" customHeight="1" x14ac:dyDescent="0.2">
      <c r="A1096" s="31" t="s">
        <v>1955</v>
      </c>
      <c r="B1096" s="32" t="s">
        <v>1956</v>
      </c>
      <c r="C1096" s="32" t="s">
        <v>782</v>
      </c>
      <c r="D1096" s="32" t="s">
        <v>782</v>
      </c>
      <c r="E1096" s="33" t="s">
        <v>784</v>
      </c>
      <c r="F1096" s="34">
        <v>0</v>
      </c>
      <c r="G1096" s="34">
        <v>0</v>
      </c>
      <c r="H1096" s="35" t="s">
        <v>829</v>
      </c>
    </row>
    <row r="1097" spans="1:8" ht="27" customHeight="1" x14ac:dyDescent="0.2">
      <c r="A1097" s="31" t="s">
        <v>1965</v>
      </c>
      <c r="B1097" s="32" t="s">
        <v>1966</v>
      </c>
      <c r="C1097" s="32" t="s">
        <v>763</v>
      </c>
      <c r="D1097" s="32" t="s">
        <v>763</v>
      </c>
      <c r="E1097" s="33" t="s">
        <v>764</v>
      </c>
      <c r="F1097" s="34">
        <v>1750000</v>
      </c>
      <c r="G1097" s="34">
        <v>1750000</v>
      </c>
      <c r="H1097" s="35" t="s">
        <v>1049</v>
      </c>
    </row>
    <row r="1098" spans="1:8" ht="27" customHeight="1" x14ac:dyDescent="0.2">
      <c r="A1098" s="31" t="s">
        <v>1965</v>
      </c>
      <c r="B1098" s="32" t="s">
        <v>1966</v>
      </c>
      <c r="C1098" s="32" t="s">
        <v>770</v>
      </c>
      <c r="D1098" s="32" t="s">
        <v>794</v>
      </c>
      <c r="E1098" s="33" t="s">
        <v>772</v>
      </c>
      <c r="F1098" s="34">
        <v>350000</v>
      </c>
      <c r="G1098" s="34">
        <v>350000</v>
      </c>
      <c r="H1098" s="35" t="s">
        <v>1049</v>
      </c>
    </row>
    <row r="1099" spans="1:8" ht="27" customHeight="1" x14ac:dyDescent="0.2">
      <c r="A1099" s="31" t="s">
        <v>1965</v>
      </c>
      <c r="B1099" s="32" t="s">
        <v>1966</v>
      </c>
      <c r="C1099" s="32" t="s">
        <v>796</v>
      </c>
      <c r="D1099" s="32" t="s">
        <v>796</v>
      </c>
      <c r="E1099" s="33" t="s">
        <v>772</v>
      </c>
      <c r="F1099" s="34">
        <v>400000</v>
      </c>
      <c r="G1099" s="34">
        <v>400000</v>
      </c>
      <c r="H1099" s="35" t="s">
        <v>1049</v>
      </c>
    </row>
    <row r="1100" spans="1:8" ht="27" customHeight="1" x14ac:dyDescent="0.2">
      <c r="A1100" s="31" t="s">
        <v>1965</v>
      </c>
      <c r="B1100" s="32" t="s">
        <v>1966</v>
      </c>
      <c r="C1100" s="32" t="s">
        <v>776</v>
      </c>
      <c r="D1100" s="32" t="s">
        <v>776</v>
      </c>
      <c r="E1100" s="33" t="s">
        <v>777</v>
      </c>
      <c r="F1100" s="34">
        <v>100000</v>
      </c>
      <c r="G1100" s="34">
        <v>100000</v>
      </c>
      <c r="H1100" s="35" t="s">
        <v>1049</v>
      </c>
    </row>
    <row r="1101" spans="1:8" ht="27" customHeight="1" x14ac:dyDescent="0.2">
      <c r="A1101" s="31" t="s">
        <v>1965</v>
      </c>
      <c r="B1101" s="32" t="s">
        <v>1966</v>
      </c>
      <c r="C1101" s="32" t="s">
        <v>782</v>
      </c>
      <c r="D1101" s="32" t="s">
        <v>782</v>
      </c>
      <c r="E1101" s="33" t="s">
        <v>784</v>
      </c>
      <c r="F1101" s="34">
        <v>250000</v>
      </c>
      <c r="G1101" s="34">
        <v>250000</v>
      </c>
      <c r="H1101" s="35" t="s">
        <v>1049</v>
      </c>
    </row>
    <row r="1102" spans="1:8" ht="27" customHeight="1" x14ac:dyDescent="0.2">
      <c r="A1102" s="31" t="s">
        <v>1967</v>
      </c>
      <c r="B1102" s="32" t="s">
        <v>1968</v>
      </c>
      <c r="C1102" s="32" t="s">
        <v>763</v>
      </c>
      <c r="D1102" s="32" t="s">
        <v>816</v>
      </c>
      <c r="E1102" s="33" t="s">
        <v>764</v>
      </c>
      <c r="F1102" s="34">
        <v>5594948</v>
      </c>
      <c r="G1102" s="34">
        <v>7729158</v>
      </c>
      <c r="H1102" s="35" t="s">
        <v>1336</v>
      </c>
    </row>
    <row r="1103" spans="1:8" ht="27" customHeight="1" x14ac:dyDescent="0.2">
      <c r="A1103" s="31" t="s">
        <v>1967</v>
      </c>
      <c r="B1103" s="32" t="s">
        <v>1968</v>
      </c>
      <c r="C1103" s="32" t="s">
        <v>766</v>
      </c>
      <c r="D1103" s="32" t="s">
        <v>832</v>
      </c>
      <c r="E1103" s="33" t="s">
        <v>768</v>
      </c>
      <c r="F1103" s="34">
        <v>2566770</v>
      </c>
      <c r="G1103" s="34">
        <v>2066770</v>
      </c>
      <c r="H1103" s="35" t="s">
        <v>1969</v>
      </c>
    </row>
    <row r="1104" spans="1:8" ht="27" customHeight="1" x14ac:dyDescent="0.2">
      <c r="A1104" s="31" t="s">
        <v>1967</v>
      </c>
      <c r="B1104" s="32" t="s">
        <v>1968</v>
      </c>
      <c r="C1104" s="32" t="s">
        <v>770</v>
      </c>
      <c r="D1104" s="32" t="s">
        <v>1011</v>
      </c>
      <c r="E1104" s="33" t="s">
        <v>772</v>
      </c>
      <c r="F1104" s="34">
        <v>3964229</v>
      </c>
      <c r="G1104" s="34">
        <v>3664299</v>
      </c>
      <c r="H1104" s="35" t="s">
        <v>1970</v>
      </c>
    </row>
    <row r="1105" spans="1:8" ht="27" customHeight="1" x14ac:dyDescent="0.2">
      <c r="A1105" s="31" t="s">
        <v>1967</v>
      </c>
      <c r="B1105" s="32" t="s">
        <v>1968</v>
      </c>
      <c r="C1105" s="32" t="s">
        <v>844</v>
      </c>
      <c r="D1105" s="32" t="s">
        <v>1162</v>
      </c>
      <c r="E1105" s="33" t="s">
        <v>846</v>
      </c>
      <c r="F1105" s="34">
        <v>2005000</v>
      </c>
      <c r="G1105" s="34">
        <v>2005000</v>
      </c>
      <c r="H1105" s="35" t="s">
        <v>1336</v>
      </c>
    </row>
    <row r="1106" spans="1:8" ht="27" customHeight="1" x14ac:dyDescent="0.2">
      <c r="A1106" s="31" t="s">
        <v>1967</v>
      </c>
      <c r="B1106" s="32" t="s">
        <v>1968</v>
      </c>
      <c r="C1106" s="32" t="s">
        <v>831</v>
      </c>
      <c r="D1106" s="32" t="s">
        <v>908</v>
      </c>
      <c r="E1106" s="33" t="s">
        <v>1971</v>
      </c>
      <c r="F1106" s="34">
        <v>1535659</v>
      </c>
      <c r="G1106" s="34">
        <v>1535659</v>
      </c>
      <c r="H1106" s="35" t="s">
        <v>1972</v>
      </c>
    </row>
    <row r="1107" spans="1:8" ht="27" customHeight="1" x14ac:dyDescent="0.2">
      <c r="A1107" s="31" t="s">
        <v>1967</v>
      </c>
      <c r="B1107" s="32" t="s">
        <v>1968</v>
      </c>
      <c r="C1107" s="32" t="s">
        <v>860</v>
      </c>
      <c r="D1107" s="32" t="s">
        <v>1027</v>
      </c>
      <c r="E1107" s="33" t="s">
        <v>861</v>
      </c>
      <c r="F1107" s="34">
        <v>1474600</v>
      </c>
      <c r="G1107" s="34">
        <v>1475600</v>
      </c>
      <c r="H1107" s="35" t="s">
        <v>1336</v>
      </c>
    </row>
    <row r="1108" spans="1:8" ht="27" customHeight="1" x14ac:dyDescent="0.2">
      <c r="A1108" s="31" t="s">
        <v>1967</v>
      </c>
      <c r="B1108" s="32" t="s">
        <v>1968</v>
      </c>
      <c r="C1108" s="32" t="s">
        <v>796</v>
      </c>
      <c r="D1108" s="32" t="s">
        <v>1973</v>
      </c>
      <c r="E1108" s="33" t="s">
        <v>772</v>
      </c>
      <c r="F1108" s="34">
        <v>2896934</v>
      </c>
      <c r="G1108" s="34">
        <v>3516136</v>
      </c>
      <c r="H1108" s="35" t="s">
        <v>1336</v>
      </c>
    </row>
    <row r="1109" spans="1:8" ht="27" customHeight="1" x14ac:dyDescent="0.2">
      <c r="A1109" s="31" t="s">
        <v>1967</v>
      </c>
      <c r="B1109" s="32" t="s">
        <v>1968</v>
      </c>
      <c r="C1109" s="32" t="s">
        <v>776</v>
      </c>
      <c r="D1109" s="32" t="s">
        <v>812</v>
      </c>
      <c r="E1109" s="33" t="s">
        <v>777</v>
      </c>
      <c r="F1109" s="34">
        <v>1701658</v>
      </c>
      <c r="G1109" s="34">
        <v>1702658</v>
      </c>
      <c r="H1109" s="35" t="s">
        <v>1974</v>
      </c>
    </row>
    <row r="1110" spans="1:8" ht="27" customHeight="1" x14ac:dyDescent="0.2">
      <c r="A1110" s="31" t="s">
        <v>1967</v>
      </c>
      <c r="B1110" s="32" t="s">
        <v>1968</v>
      </c>
      <c r="C1110" s="32" t="s">
        <v>779</v>
      </c>
      <c r="D1110" s="32" t="s">
        <v>779</v>
      </c>
      <c r="E1110" s="33" t="s">
        <v>780</v>
      </c>
      <c r="F1110" s="34">
        <v>383063</v>
      </c>
      <c r="G1110" s="34">
        <v>384063</v>
      </c>
      <c r="H1110" s="35" t="s">
        <v>1336</v>
      </c>
    </row>
    <row r="1111" spans="1:8" ht="27" customHeight="1" x14ac:dyDescent="0.2">
      <c r="A1111" s="31" t="s">
        <v>1967</v>
      </c>
      <c r="B1111" s="32" t="s">
        <v>1968</v>
      </c>
      <c r="C1111" s="32" t="s">
        <v>782</v>
      </c>
      <c r="D1111" s="32" t="s">
        <v>1975</v>
      </c>
      <c r="E1111" s="33" t="s">
        <v>784</v>
      </c>
      <c r="F1111" s="34">
        <v>965786</v>
      </c>
      <c r="G1111" s="34">
        <v>966658</v>
      </c>
      <c r="H1111" s="35" t="s">
        <v>1976</v>
      </c>
    </row>
    <row r="1112" spans="1:8" ht="27" customHeight="1" x14ac:dyDescent="0.2">
      <c r="A1112" s="31" t="s">
        <v>1977</v>
      </c>
      <c r="B1112" s="32" t="s">
        <v>1978</v>
      </c>
      <c r="C1112" s="32" t="s">
        <v>763</v>
      </c>
      <c r="D1112" s="32" t="s">
        <v>1665</v>
      </c>
      <c r="E1112" s="33" t="s">
        <v>764</v>
      </c>
      <c r="F1112" s="34">
        <v>3389564</v>
      </c>
      <c r="G1112" s="34">
        <v>3396540</v>
      </c>
      <c r="H1112" s="35" t="s">
        <v>1979</v>
      </c>
    </row>
    <row r="1113" spans="1:8" ht="27" customHeight="1" x14ac:dyDescent="0.2">
      <c r="A1113" s="31" t="s">
        <v>1977</v>
      </c>
      <c r="B1113" s="32" t="s">
        <v>1978</v>
      </c>
      <c r="C1113" s="32" t="s">
        <v>770</v>
      </c>
      <c r="D1113" s="32" t="s">
        <v>1980</v>
      </c>
      <c r="E1113" s="33" t="s">
        <v>772</v>
      </c>
      <c r="F1113" s="34">
        <v>941401</v>
      </c>
      <c r="G1113" s="34">
        <v>2264007</v>
      </c>
      <c r="H1113" s="35" t="s">
        <v>1981</v>
      </c>
    </row>
    <row r="1114" spans="1:8" ht="27" customHeight="1" x14ac:dyDescent="0.2">
      <c r="A1114" s="31" t="s">
        <v>1977</v>
      </c>
      <c r="B1114" s="32" t="s">
        <v>1978</v>
      </c>
      <c r="C1114" s="32" t="s">
        <v>776</v>
      </c>
      <c r="D1114" s="32" t="s">
        <v>776</v>
      </c>
      <c r="E1114" s="33" t="s">
        <v>777</v>
      </c>
      <c r="F1114" s="34">
        <v>558841</v>
      </c>
      <c r="G1114" s="34">
        <v>588177</v>
      </c>
      <c r="H1114" s="35" t="s">
        <v>829</v>
      </c>
    </row>
    <row r="1115" spans="1:8" ht="27" customHeight="1" x14ac:dyDescent="0.2">
      <c r="A1115" s="31" t="s">
        <v>1977</v>
      </c>
      <c r="B1115" s="32" t="s">
        <v>1978</v>
      </c>
      <c r="C1115" s="32" t="s">
        <v>779</v>
      </c>
      <c r="D1115" s="32" t="s">
        <v>779</v>
      </c>
      <c r="E1115" s="33" t="s">
        <v>780</v>
      </c>
      <c r="F1115" s="34">
        <v>848250</v>
      </c>
      <c r="G1115" s="34">
        <v>848250</v>
      </c>
      <c r="H1115" s="35" t="s">
        <v>1946</v>
      </c>
    </row>
    <row r="1116" spans="1:8" ht="27" customHeight="1" x14ac:dyDescent="0.2">
      <c r="A1116" s="31" t="s">
        <v>1977</v>
      </c>
      <c r="B1116" s="32" t="s">
        <v>1978</v>
      </c>
      <c r="C1116" s="32" t="s">
        <v>782</v>
      </c>
      <c r="D1116" s="32" t="s">
        <v>783</v>
      </c>
      <c r="E1116" s="33" t="s">
        <v>784</v>
      </c>
      <c r="F1116" s="34">
        <v>3931317</v>
      </c>
      <c r="G1116" s="34">
        <v>4407551</v>
      </c>
      <c r="H1116" s="35" t="s">
        <v>1982</v>
      </c>
    </row>
    <row r="1117" spans="1:8" ht="27" customHeight="1" x14ac:dyDescent="0.2">
      <c r="A1117" s="31" t="s">
        <v>1983</v>
      </c>
      <c r="B1117" s="32" t="s">
        <v>1984</v>
      </c>
      <c r="C1117" s="32" t="s">
        <v>763</v>
      </c>
      <c r="D1117" s="32" t="s">
        <v>1935</v>
      </c>
      <c r="E1117" s="33" t="s">
        <v>764</v>
      </c>
      <c r="F1117" s="34">
        <v>908042</v>
      </c>
      <c r="G1117" s="34">
        <v>911270</v>
      </c>
      <c r="H1117" s="35" t="s">
        <v>859</v>
      </c>
    </row>
    <row r="1118" spans="1:8" ht="27" customHeight="1" x14ac:dyDescent="0.2">
      <c r="A1118" s="31" t="s">
        <v>1983</v>
      </c>
      <c r="B1118" s="32" t="s">
        <v>1984</v>
      </c>
      <c r="C1118" s="32" t="s">
        <v>763</v>
      </c>
      <c r="D1118" s="32" t="s">
        <v>1985</v>
      </c>
      <c r="E1118" s="33" t="s">
        <v>764</v>
      </c>
      <c r="F1118" s="34">
        <v>387660</v>
      </c>
      <c r="G1118" s="34">
        <v>358038</v>
      </c>
      <c r="H1118" s="35" t="s">
        <v>859</v>
      </c>
    </row>
    <row r="1119" spans="1:8" ht="27" customHeight="1" x14ac:dyDescent="0.2">
      <c r="A1119" s="31" t="s">
        <v>1983</v>
      </c>
      <c r="B1119" s="32" t="s">
        <v>1984</v>
      </c>
      <c r="C1119" s="32" t="s">
        <v>770</v>
      </c>
      <c r="D1119" s="32" t="s">
        <v>1986</v>
      </c>
      <c r="E1119" s="33" t="s">
        <v>772</v>
      </c>
      <c r="F1119" s="34">
        <v>303103</v>
      </c>
      <c r="G1119" s="34">
        <v>283500</v>
      </c>
      <c r="H1119" s="35" t="s">
        <v>1987</v>
      </c>
    </row>
    <row r="1120" spans="1:8" ht="27" customHeight="1" x14ac:dyDescent="0.2">
      <c r="A1120" s="31" t="s">
        <v>1983</v>
      </c>
      <c r="B1120" s="32" t="s">
        <v>1984</v>
      </c>
      <c r="C1120" s="32" t="s">
        <v>776</v>
      </c>
      <c r="D1120" s="32" t="s">
        <v>812</v>
      </c>
      <c r="E1120" s="33" t="s">
        <v>777</v>
      </c>
      <c r="F1120" s="34">
        <v>49359</v>
      </c>
      <c r="G1120" s="34">
        <v>99535</v>
      </c>
      <c r="H1120" s="35" t="s">
        <v>859</v>
      </c>
    </row>
    <row r="1121" spans="1:8" ht="27" customHeight="1" x14ac:dyDescent="0.2">
      <c r="A1121" s="31" t="s">
        <v>1983</v>
      </c>
      <c r="B1121" s="32" t="s">
        <v>1984</v>
      </c>
      <c r="C1121" s="32" t="s">
        <v>779</v>
      </c>
      <c r="D1121" s="32" t="s">
        <v>779</v>
      </c>
      <c r="E1121" s="33" t="s">
        <v>780</v>
      </c>
      <c r="F1121" s="34">
        <v>33687</v>
      </c>
      <c r="G1121" s="34">
        <v>33807</v>
      </c>
      <c r="H1121" s="35" t="s">
        <v>859</v>
      </c>
    </row>
    <row r="1122" spans="1:8" ht="27" customHeight="1" x14ac:dyDescent="0.2">
      <c r="A1122" s="31" t="s">
        <v>1988</v>
      </c>
      <c r="B1122" s="32" t="s">
        <v>1989</v>
      </c>
      <c r="C1122" s="32" t="s">
        <v>770</v>
      </c>
      <c r="D1122" s="32" t="s">
        <v>820</v>
      </c>
      <c r="E1122" s="33" t="s">
        <v>772</v>
      </c>
      <c r="F1122" s="34">
        <v>258047</v>
      </c>
      <c r="G1122" s="34">
        <v>258305</v>
      </c>
      <c r="H1122" s="35" t="s">
        <v>1990</v>
      </c>
    </row>
    <row r="1123" spans="1:8" ht="27" customHeight="1" x14ac:dyDescent="0.2">
      <c r="A1123" s="31" t="s">
        <v>1988</v>
      </c>
      <c r="B1123" s="32" t="s">
        <v>1989</v>
      </c>
      <c r="C1123" s="32" t="s">
        <v>860</v>
      </c>
      <c r="D1123" s="32" t="s">
        <v>911</v>
      </c>
      <c r="E1123" s="33" t="s">
        <v>861</v>
      </c>
      <c r="F1123" s="34">
        <v>502066</v>
      </c>
      <c r="G1123" s="34">
        <v>502569</v>
      </c>
      <c r="H1123" s="35" t="s">
        <v>1991</v>
      </c>
    </row>
    <row r="1124" spans="1:8" ht="27" customHeight="1" x14ac:dyDescent="0.2">
      <c r="A1124" s="31" t="s">
        <v>1988</v>
      </c>
      <c r="B1124" s="32" t="s">
        <v>1989</v>
      </c>
      <c r="C1124" s="32" t="s">
        <v>776</v>
      </c>
      <c r="D1124" s="32" t="s">
        <v>776</v>
      </c>
      <c r="E1124" s="33" t="s">
        <v>777</v>
      </c>
      <c r="F1124" s="34">
        <v>194055</v>
      </c>
      <c r="G1124" s="34">
        <v>90024</v>
      </c>
      <c r="H1124" s="35" t="s">
        <v>1992</v>
      </c>
    </row>
    <row r="1125" spans="1:8" ht="27" customHeight="1" x14ac:dyDescent="0.2">
      <c r="A1125" s="31" t="s">
        <v>1988</v>
      </c>
      <c r="B1125" s="32" t="s">
        <v>1989</v>
      </c>
      <c r="C1125" s="32" t="s">
        <v>779</v>
      </c>
      <c r="D1125" s="32" t="s">
        <v>826</v>
      </c>
      <c r="E1125" s="33" t="s">
        <v>780</v>
      </c>
      <c r="F1125" s="34">
        <v>52665</v>
      </c>
      <c r="G1125" s="34">
        <v>52718</v>
      </c>
      <c r="H1125" s="35" t="s">
        <v>1992</v>
      </c>
    </row>
    <row r="1126" spans="1:8" ht="27" customHeight="1" x14ac:dyDescent="0.2">
      <c r="A1126" s="31" t="s">
        <v>1993</v>
      </c>
      <c r="B1126" s="32" t="s">
        <v>1994</v>
      </c>
      <c r="C1126" s="32" t="s">
        <v>763</v>
      </c>
      <c r="D1126" s="32" t="s">
        <v>816</v>
      </c>
      <c r="E1126" s="33" t="s">
        <v>764</v>
      </c>
      <c r="F1126" s="34">
        <v>16193</v>
      </c>
      <c r="G1126" s="34">
        <v>16193</v>
      </c>
      <c r="H1126" s="35" t="s">
        <v>1995</v>
      </c>
    </row>
    <row r="1127" spans="1:8" ht="27" customHeight="1" x14ac:dyDescent="0.2">
      <c r="A1127" s="31" t="s">
        <v>1993</v>
      </c>
      <c r="B1127" s="32" t="s">
        <v>1994</v>
      </c>
      <c r="C1127" s="32" t="s">
        <v>770</v>
      </c>
      <c r="D1127" s="32" t="s">
        <v>830</v>
      </c>
      <c r="E1127" s="33" t="s">
        <v>772</v>
      </c>
      <c r="F1127" s="34">
        <v>615058</v>
      </c>
      <c r="G1127" s="34">
        <v>516137</v>
      </c>
      <c r="H1127" s="35" t="s">
        <v>1996</v>
      </c>
    </row>
    <row r="1128" spans="1:8" ht="27" customHeight="1" x14ac:dyDescent="0.2">
      <c r="A1128" s="31" t="s">
        <v>1993</v>
      </c>
      <c r="B1128" s="32" t="s">
        <v>1994</v>
      </c>
      <c r="C1128" s="32" t="s">
        <v>796</v>
      </c>
      <c r="D1128" s="32" t="s">
        <v>1095</v>
      </c>
      <c r="E1128" s="33" t="s">
        <v>772</v>
      </c>
      <c r="F1128" s="34">
        <v>147324</v>
      </c>
      <c r="G1128" s="34">
        <v>148175</v>
      </c>
      <c r="H1128" s="35" t="s">
        <v>1997</v>
      </c>
    </row>
    <row r="1129" spans="1:8" ht="27" customHeight="1" x14ac:dyDescent="0.2">
      <c r="A1129" s="31" t="s">
        <v>1993</v>
      </c>
      <c r="B1129" s="32" t="s">
        <v>1994</v>
      </c>
      <c r="C1129" s="32" t="s">
        <v>779</v>
      </c>
      <c r="D1129" s="32" t="s">
        <v>826</v>
      </c>
      <c r="E1129" s="33" t="s">
        <v>780</v>
      </c>
      <c r="F1129" s="34">
        <v>27557</v>
      </c>
      <c r="G1129" s="34">
        <v>26057</v>
      </c>
      <c r="H1129" s="35" t="s">
        <v>1998</v>
      </c>
    </row>
    <row r="1130" spans="1:8" ht="27" customHeight="1" x14ac:dyDescent="0.2">
      <c r="A1130" s="31" t="s">
        <v>1999</v>
      </c>
      <c r="B1130" s="32" t="s">
        <v>2000</v>
      </c>
      <c r="C1130" s="32" t="s">
        <v>766</v>
      </c>
      <c r="D1130" s="32" t="s">
        <v>2001</v>
      </c>
      <c r="E1130" s="33" t="s">
        <v>768</v>
      </c>
      <c r="F1130" s="34">
        <v>733479</v>
      </c>
      <c r="G1130" s="34">
        <v>733479</v>
      </c>
      <c r="H1130" s="35" t="s">
        <v>2002</v>
      </c>
    </row>
    <row r="1131" spans="1:8" ht="27" customHeight="1" x14ac:dyDescent="0.2">
      <c r="A1131" s="31" t="s">
        <v>1999</v>
      </c>
      <c r="B1131" s="32" t="s">
        <v>2000</v>
      </c>
      <c r="C1131" s="32" t="s">
        <v>770</v>
      </c>
      <c r="D1131" s="32" t="s">
        <v>2003</v>
      </c>
      <c r="E1131" s="33" t="s">
        <v>772</v>
      </c>
      <c r="F1131" s="34">
        <v>77110</v>
      </c>
      <c r="G1131" s="34">
        <v>50000</v>
      </c>
      <c r="H1131" s="35" t="s">
        <v>2004</v>
      </c>
    </row>
    <row r="1132" spans="1:8" ht="27" customHeight="1" x14ac:dyDescent="0.2">
      <c r="A1132" s="31" t="s">
        <v>1999</v>
      </c>
      <c r="B1132" s="32" t="s">
        <v>2000</v>
      </c>
      <c r="C1132" s="32" t="s">
        <v>886</v>
      </c>
      <c r="D1132" s="32" t="s">
        <v>1420</v>
      </c>
      <c r="E1132" s="33" t="s">
        <v>887</v>
      </c>
      <c r="F1132" s="34">
        <v>15272</v>
      </c>
      <c r="G1132" s="34">
        <v>15272</v>
      </c>
      <c r="H1132" s="35" t="s">
        <v>2005</v>
      </c>
    </row>
    <row r="1133" spans="1:8" ht="27" customHeight="1" x14ac:dyDescent="0.2">
      <c r="A1133" s="31" t="s">
        <v>1999</v>
      </c>
      <c r="B1133" s="32" t="s">
        <v>2000</v>
      </c>
      <c r="C1133" s="32" t="s">
        <v>796</v>
      </c>
      <c r="D1133" s="32" t="s">
        <v>2006</v>
      </c>
      <c r="E1133" s="33" t="s">
        <v>772</v>
      </c>
      <c r="F1133" s="34">
        <v>254534</v>
      </c>
      <c r="G1133" s="34">
        <v>250000</v>
      </c>
      <c r="H1133" s="35" t="s">
        <v>2007</v>
      </c>
    </row>
    <row r="1134" spans="1:8" ht="27" customHeight="1" x14ac:dyDescent="0.2">
      <c r="A1134" s="31" t="s">
        <v>1999</v>
      </c>
      <c r="B1134" s="32" t="s">
        <v>2000</v>
      </c>
      <c r="C1134" s="32" t="s">
        <v>779</v>
      </c>
      <c r="D1134" s="32" t="s">
        <v>876</v>
      </c>
      <c r="E1134" s="33" t="s">
        <v>780</v>
      </c>
      <c r="F1134" s="34">
        <v>101814</v>
      </c>
      <c r="G1134" s="34">
        <v>100000</v>
      </c>
      <c r="H1134" s="35" t="s">
        <v>2008</v>
      </c>
    </row>
    <row r="1135" spans="1:8" ht="27" customHeight="1" x14ac:dyDescent="0.2">
      <c r="A1135" s="31" t="s">
        <v>2009</v>
      </c>
      <c r="B1135" s="32" t="s">
        <v>2010</v>
      </c>
      <c r="C1135" s="32" t="s">
        <v>763</v>
      </c>
      <c r="D1135" s="32" t="s">
        <v>816</v>
      </c>
      <c r="E1135" s="33" t="s">
        <v>764</v>
      </c>
      <c r="F1135" s="34">
        <v>38651</v>
      </c>
      <c r="G1135" s="34">
        <v>38654</v>
      </c>
      <c r="H1135" s="35" t="s">
        <v>2011</v>
      </c>
    </row>
    <row r="1136" spans="1:8" ht="27" customHeight="1" x14ac:dyDescent="0.2">
      <c r="A1136" s="31" t="s">
        <v>2009</v>
      </c>
      <c r="B1136" s="32" t="s">
        <v>2010</v>
      </c>
      <c r="C1136" s="32" t="s">
        <v>766</v>
      </c>
      <c r="D1136" s="32" t="s">
        <v>870</v>
      </c>
      <c r="E1136" s="33" t="s">
        <v>768</v>
      </c>
      <c r="F1136" s="34">
        <v>150102</v>
      </c>
      <c r="G1136" s="34">
        <v>150110</v>
      </c>
      <c r="H1136" s="35" t="s">
        <v>2012</v>
      </c>
    </row>
    <row r="1137" spans="1:8" ht="27" customHeight="1" x14ac:dyDescent="0.2">
      <c r="A1137" s="31" t="s">
        <v>2009</v>
      </c>
      <c r="B1137" s="32" t="s">
        <v>2010</v>
      </c>
      <c r="C1137" s="32" t="s">
        <v>770</v>
      </c>
      <c r="D1137" s="32" t="s">
        <v>820</v>
      </c>
      <c r="E1137" s="33" t="s">
        <v>772</v>
      </c>
      <c r="F1137" s="34">
        <v>284468</v>
      </c>
      <c r="G1137" s="34">
        <v>284475</v>
      </c>
      <c r="H1137" s="35" t="s">
        <v>2013</v>
      </c>
    </row>
    <row r="1138" spans="1:8" ht="27" customHeight="1" x14ac:dyDescent="0.2">
      <c r="A1138" s="31" t="s">
        <v>2009</v>
      </c>
      <c r="B1138" s="32" t="s">
        <v>2010</v>
      </c>
      <c r="C1138" s="32" t="s">
        <v>860</v>
      </c>
      <c r="D1138" s="32" t="s">
        <v>911</v>
      </c>
      <c r="E1138" s="33" t="s">
        <v>861</v>
      </c>
      <c r="F1138" s="34">
        <v>67496</v>
      </c>
      <c r="G1138" s="34">
        <v>67499</v>
      </c>
      <c r="H1138" s="35" t="s">
        <v>2011</v>
      </c>
    </row>
    <row r="1139" spans="1:8" ht="27" customHeight="1" x14ac:dyDescent="0.2">
      <c r="A1139" s="31" t="s">
        <v>2009</v>
      </c>
      <c r="B1139" s="32" t="s">
        <v>2010</v>
      </c>
      <c r="C1139" s="32" t="s">
        <v>796</v>
      </c>
      <c r="D1139" s="32" t="s">
        <v>2014</v>
      </c>
      <c r="E1139" s="33" t="s">
        <v>772</v>
      </c>
      <c r="F1139" s="34">
        <v>236081</v>
      </c>
      <c r="G1139" s="34">
        <v>236091</v>
      </c>
      <c r="H1139" s="35" t="s">
        <v>2015</v>
      </c>
    </row>
    <row r="1140" spans="1:8" ht="27" customHeight="1" x14ac:dyDescent="0.2">
      <c r="A1140" s="31" t="s">
        <v>2009</v>
      </c>
      <c r="B1140" s="32" t="s">
        <v>2010</v>
      </c>
      <c r="C1140" s="32" t="s">
        <v>779</v>
      </c>
      <c r="D1140" s="32" t="s">
        <v>826</v>
      </c>
      <c r="E1140" s="33" t="s">
        <v>780</v>
      </c>
      <c r="F1140" s="34">
        <v>23663</v>
      </c>
      <c r="G1140" s="34">
        <v>23665</v>
      </c>
      <c r="H1140" s="35" t="s">
        <v>2011</v>
      </c>
    </row>
    <row r="1141" spans="1:8" ht="27" customHeight="1" x14ac:dyDescent="0.2">
      <c r="A1141" s="31" t="s">
        <v>2009</v>
      </c>
      <c r="B1141" s="32" t="s">
        <v>2010</v>
      </c>
      <c r="C1141" s="32" t="s">
        <v>782</v>
      </c>
      <c r="D1141" s="32" t="s">
        <v>964</v>
      </c>
      <c r="E1141" s="33" t="s">
        <v>784</v>
      </c>
      <c r="F1141" s="34">
        <v>25001</v>
      </c>
      <c r="G1141" s="34">
        <v>25003</v>
      </c>
      <c r="H1141" s="35" t="s">
        <v>2011</v>
      </c>
    </row>
    <row r="1142" spans="1:8" ht="27" customHeight="1" x14ac:dyDescent="0.2">
      <c r="A1142" s="31" t="s">
        <v>2016</v>
      </c>
      <c r="B1142" s="32" t="s">
        <v>2017</v>
      </c>
      <c r="C1142" s="32" t="s">
        <v>770</v>
      </c>
      <c r="D1142" s="32" t="s">
        <v>2018</v>
      </c>
      <c r="E1142" s="33" t="s">
        <v>772</v>
      </c>
      <c r="F1142" s="34">
        <v>1127768</v>
      </c>
      <c r="G1142" s="34">
        <v>1127768</v>
      </c>
      <c r="H1142" s="35" t="s">
        <v>2019</v>
      </c>
    </row>
    <row r="1143" spans="1:8" ht="27" customHeight="1" x14ac:dyDescent="0.2">
      <c r="A1143" s="31" t="s">
        <v>2016</v>
      </c>
      <c r="B1143" s="32" t="s">
        <v>2017</v>
      </c>
      <c r="C1143" s="32" t="s">
        <v>773</v>
      </c>
      <c r="D1143" s="32" t="s">
        <v>2020</v>
      </c>
      <c r="E1143" s="33" t="s">
        <v>775</v>
      </c>
      <c r="F1143" s="34">
        <v>561716</v>
      </c>
      <c r="G1143" s="34">
        <v>561716</v>
      </c>
      <c r="H1143" s="35" t="s">
        <v>2021</v>
      </c>
    </row>
    <row r="1144" spans="1:8" ht="27" customHeight="1" x14ac:dyDescent="0.2">
      <c r="A1144" s="31" t="s">
        <v>2016</v>
      </c>
      <c r="B1144" s="32" t="s">
        <v>2017</v>
      </c>
      <c r="C1144" s="32" t="s">
        <v>776</v>
      </c>
      <c r="D1144" s="32" t="s">
        <v>914</v>
      </c>
      <c r="E1144" s="33" t="s">
        <v>777</v>
      </c>
      <c r="F1144" s="34">
        <v>375000</v>
      </c>
      <c r="G1144" s="34">
        <v>375000</v>
      </c>
      <c r="H1144" s="35" t="s">
        <v>2022</v>
      </c>
    </row>
    <row r="1145" spans="1:8" ht="27" customHeight="1" x14ac:dyDescent="0.2">
      <c r="A1145" s="31" t="s">
        <v>2016</v>
      </c>
      <c r="B1145" s="32" t="s">
        <v>2017</v>
      </c>
      <c r="C1145" s="32" t="s">
        <v>779</v>
      </c>
      <c r="D1145" s="32" t="s">
        <v>2023</v>
      </c>
      <c r="E1145" s="33" t="s">
        <v>780</v>
      </c>
      <c r="F1145" s="34">
        <v>388620</v>
      </c>
      <c r="G1145" s="34">
        <v>388620</v>
      </c>
      <c r="H1145" s="35" t="s">
        <v>2024</v>
      </c>
    </row>
    <row r="1146" spans="1:8" ht="27" customHeight="1" x14ac:dyDescent="0.2">
      <c r="A1146" s="31" t="s">
        <v>2025</v>
      </c>
      <c r="B1146" s="32" t="s">
        <v>2026</v>
      </c>
      <c r="C1146" s="32" t="s">
        <v>770</v>
      </c>
      <c r="D1146" s="32" t="s">
        <v>820</v>
      </c>
      <c r="E1146" s="33" t="s">
        <v>772</v>
      </c>
      <c r="F1146" s="34">
        <v>666743</v>
      </c>
      <c r="G1146" s="34">
        <v>621720</v>
      </c>
      <c r="H1146" s="35" t="s">
        <v>2027</v>
      </c>
    </row>
    <row r="1147" spans="1:8" ht="27" customHeight="1" x14ac:dyDescent="0.2">
      <c r="A1147" s="31" t="s">
        <v>2025</v>
      </c>
      <c r="B1147" s="32" t="s">
        <v>2026</v>
      </c>
      <c r="C1147" s="32" t="s">
        <v>860</v>
      </c>
      <c r="D1147" s="32" t="s">
        <v>911</v>
      </c>
      <c r="E1147" s="33" t="s">
        <v>861</v>
      </c>
      <c r="F1147" s="34">
        <v>600956</v>
      </c>
      <c r="G1147" s="34">
        <v>560956</v>
      </c>
      <c r="H1147" s="35" t="s">
        <v>2028</v>
      </c>
    </row>
    <row r="1148" spans="1:8" ht="27" customHeight="1" x14ac:dyDescent="0.2">
      <c r="A1148" s="31" t="s">
        <v>2025</v>
      </c>
      <c r="B1148" s="32" t="s">
        <v>2026</v>
      </c>
      <c r="C1148" s="32" t="s">
        <v>776</v>
      </c>
      <c r="D1148" s="32" t="s">
        <v>812</v>
      </c>
      <c r="E1148" s="33" t="s">
        <v>777</v>
      </c>
      <c r="F1148" s="34">
        <v>88865</v>
      </c>
      <c r="G1148" s="34">
        <v>88876</v>
      </c>
      <c r="H1148" s="35" t="s">
        <v>2029</v>
      </c>
    </row>
    <row r="1149" spans="1:8" ht="27" customHeight="1" x14ac:dyDescent="0.2">
      <c r="A1149" s="31" t="s">
        <v>2025</v>
      </c>
      <c r="B1149" s="32" t="s">
        <v>2026</v>
      </c>
      <c r="C1149" s="32" t="s">
        <v>779</v>
      </c>
      <c r="D1149" s="32" t="s">
        <v>2030</v>
      </c>
      <c r="E1149" s="33" t="s">
        <v>780</v>
      </c>
      <c r="F1149" s="34">
        <v>100279</v>
      </c>
      <c r="G1149" s="34">
        <v>100291</v>
      </c>
      <c r="H1149" s="35" t="s">
        <v>2031</v>
      </c>
    </row>
    <row r="1150" spans="1:8" ht="27" customHeight="1" x14ac:dyDescent="0.2">
      <c r="A1150" s="31" t="s">
        <v>2032</v>
      </c>
      <c r="B1150" s="32" t="s">
        <v>2033</v>
      </c>
      <c r="C1150" s="32" t="s">
        <v>763</v>
      </c>
      <c r="D1150" s="32" t="s">
        <v>765</v>
      </c>
      <c r="E1150" s="33" t="s">
        <v>764</v>
      </c>
      <c r="F1150" s="34">
        <v>0</v>
      </c>
      <c r="G1150" s="34">
        <v>0</v>
      </c>
      <c r="H1150" s="35" t="s">
        <v>765</v>
      </c>
    </row>
    <row r="1151" spans="1:8" ht="27" customHeight="1" x14ac:dyDescent="0.2">
      <c r="A1151" s="31" t="s">
        <v>2032</v>
      </c>
      <c r="B1151" s="32" t="s">
        <v>2033</v>
      </c>
      <c r="C1151" s="32" t="s">
        <v>766</v>
      </c>
      <c r="D1151" s="32" t="s">
        <v>2034</v>
      </c>
      <c r="E1151" s="33" t="s">
        <v>768</v>
      </c>
      <c r="F1151" s="34">
        <v>32194</v>
      </c>
      <c r="G1151" s="34">
        <v>32202</v>
      </c>
      <c r="H1151" s="35" t="s">
        <v>2035</v>
      </c>
    </row>
    <row r="1152" spans="1:8" ht="27" customHeight="1" x14ac:dyDescent="0.2">
      <c r="A1152" s="31" t="s">
        <v>2032</v>
      </c>
      <c r="B1152" s="32" t="s">
        <v>2033</v>
      </c>
      <c r="C1152" s="32" t="s">
        <v>770</v>
      </c>
      <c r="D1152" s="32" t="s">
        <v>765</v>
      </c>
      <c r="E1152" s="33" t="s">
        <v>772</v>
      </c>
      <c r="F1152" s="34">
        <v>0</v>
      </c>
      <c r="G1152" s="34">
        <v>0</v>
      </c>
      <c r="H1152" s="35" t="s">
        <v>765</v>
      </c>
    </row>
    <row r="1153" spans="1:8" ht="27" customHeight="1" x14ac:dyDescent="0.2">
      <c r="A1153" s="31" t="s">
        <v>2032</v>
      </c>
      <c r="B1153" s="32" t="s">
        <v>2033</v>
      </c>
      <c r="C1153" s="32" t="s">
        <v>884</v>
      </c>
      <c r="D1153" s="32" t="s">
        <v>765</v>
      </c>
      <c r="E1153" s="33" t="s">
        <v>885</v>
      </c>
      <c r="F1153" s="34">
        <v>0</v>
      </c>
      <c r="G1153" s="34">
        <v>0</v>
      </c>
      <c r="H1153" s="35" t="s">
        <v>765</v>
      </c>
    </row>
    <row r="1154" spans="1:8" ht="27" customHeight="1" x14ac:dyDescent="0.2">
      <c r="A1154" s="31" t="s">
        <v>2032</v>
      </c>
      <c r="B1154" s="32" t="s">
        <v>2033</v>
      </c>
      <c r="C1154" s="32" t="s">
        <v>844</v>
      </c>
      <c r="D1154" s="32" t="s">
        <v>765</v>
      </c>
      <c r="E1154" s="33" t="s">
        <v>846</v>
      </c>
      <c r="F1154" s="34">
        <v>0</v>
      </c>
      <c r="G1154" s="34">
        <v>0</v>
      </c>
      <c r="H1154" s="35" t="s">
        <v>765</v>
      </c>
    </row>
    <row r="1155" spans="1:8" ht="27" customHeight="1" x14ac:dyDescent="0.2">
      <c r="A1155" s="31" t="s">
        <v>2032</v>
      </c>
      <c r="B1155" s="32" t="s">
        <v>2033</v>
      </c>
      <c r="C1155" s="32" t="s">
        <v>773</v>
      </c>
      <c r="D1155" s="32" t="s">
        <v>765</v>
      </c>
      <c r="E1155" s="33" t="s">
        <v>775</v>
      </c>
      <c r="F1155" s="34">
        <v>0</v>
      </c>
      <c r="G1155" s="34">
        <v>0</v>
      </c>
      <c r="H1155" s="35" t="s">
        <v>765</v>
      </c>
    </row>
    <row r="1156" spans="1:8" ht="27" customHeight="1" x14ac:dyDescent="0.2">
      <c r="A1156" s="31" t="s">
        <v>2032</v>
      </c>
      <c r="B1156" s="32" t="s">
        <v>2033</v>
      </c>
      <c r="C1156" s="32" t="s">
        <v>831</v>
      </c>
      <c r="D1156" s="32" t="s">
        <v>2036</v>
      </c>
      <c r="E1156" s="33" t="s">
        <v>2037</v>
      </c>
      <c r="F1156" s="34">
        <v>3265</v>
      </c>
      <c r="G1156" s="34">
        <v>3265</v>
      </c>
      <c r="H1156" s="35" t="s">
        <v>2038</v>
      </c>
    </row>
    <row r="1157" spans="1:8" ht="27" customHeight="1" x14ac:dyDescent="0.2">
      <c r="A1157" s="31" t="s">
        <v>2032</v>
      </c>
      <c r="B1157" s="32" t="s">
        <v>2033</v>
      </c>
      <c r="C1157" s="32" t="s">
        <v>886</v>
      </c>
      <c r="D1157" s="32" t="s">
        <v>765</v>
      </c>
      <c r="E1157" s="33" t="s">
        <v>887</v>
      </c>
      <c r="F1157" s="34">
        <v>0</v>
      </c>
      <c r="G1157" s="34">
        <v>0</v>
      </c>
      <c r="H1157" s="35" t="s">
        <v>765</v>
      </c>
    </row>
    <row r="1158" spans="1:8" ht="27" customHeight="1" x14ac:dyDescent="0.2">
      <c r="A1158" s="31" t="s">
        <v>2032</v>
      </c>
      <c r="B1158" s="32" t="s">
        <v>2033</v>
      </c>
      <c r="C1158" s="32" t="s">
        <v>860</v>
      </c>
      <c r="D1158" s="32" t="s">
        <v>765</v>
      </c>
      <c r="E1158" s="33" t="s">
        <v>861</v>
      </c>
      <c r="F1158" s="34">
        <v>0</v>
      </c>
      <c r="G1158" s="34">
        <v>0</v>
      </c>
      <c r="H1158" s="35" t="s">
        <v>765</v>
      </c>
    </row>
    <row r="1159" spans="1:8" ht="27" customHeight="1" x14ac:dyDescent="0.2">
      <c r="A1159" s="31" t="s">
        <v>2032</v>
      </c>
      <c r="B1159" s="32" t="s">
        <v>2033</v>
      </c>
      <c r="C1159" s="32" t="s">
        <v>796</v>
      </c>
      <c r="D1159" s="32" t="s">
        <v>765</v>
      </c>
      <c r="E1159" s="33" t="s">
        <v>823</v>
      </c>
      <c r="F1159" s="34">
        <v>0</v>
      </c>
      <c r="G1159" s="34">
        <v>0</v>
      </c>
      <c r="H1159" s="35" t="s">
        <v>765</v>
      </c>
    </row>
    <row r="1160" spans="1:8" ht="27" customHeight="1" x14ac:dyDescent="0.2">
      <c r="A1160" s="31" t="s">
        <v>2032</v>
      </c>
      <c r="B1160" s="32" t="s">
        <v>2033</v>
      </c>
      <c r="C1160" s="32" t="s">
        <v>776</v>
      </c>
      <c r="D1160" s="32" t="s">
        <v>765</v>
      </c>
      <c r="E1160" s="33" t="s">
        <v>777</v>
      </c>
      <c r="F1160" s="34">
        <v>0</v>
      </c>
      <c r="G1160" s="34">
        <v>0</v>
      </c>
      <c r="H1160" s="35" t="s">
        <v>765</v>
      </c>
    </row>
    <row r="1161" spans="1:8" ht="27" customHeight="1" x14ac:dyDescent="0.2">
      <c r="A1161" s="31" t="s">
        <v>2032</v>
      </c>
      <c r="B1161" s="32" t="s">
        <v>2033</v>
      </c>
      <c r="C1161" s="32" t="s">
        <v>798</v>
      </c>
      <c r="D1161" s="32" t="s">
        <v>765</v>
      </c>
      <c r="E1161" s="33" t="s">
        <v>800</v>
      </c>
      <c r="F1161" s="34">
        <v>0</v>
      </c>
      <c r="G1161" s="34">
        <v>0</v>
      </c>
      <c r="H1161" s="35" t="s">
        <v>765</v>
      </c>
    </row>
    <row r="1162" spans="1:8" ht="27" customHeight="1" x14ac:dyDescent="0.2">
      <c r="A1162" s="31" t="s">
        <v>2032</v>
      </c>
      <c r="B1162" s="32" t="s">
        <v>2033</v>
      </c>
      <c r="C1162" s="32" t="s">
        <v>892</v>
      </c>
      <c r="D1162" s="32" t="s">
        <v>765</v>
      </c>
      <c r="E1162" s="33" t="s">
        <v>893</v>
      </c>
      <c r="F1162" s="34">
        <v>0</v>
      </c>
      <c r="G1162" s="34">
        <v>0</v>
      </c>
      <c r="H1162" s="35" t="s">
        <v>765</v>
      </c>
    </row>
    <row r="1163" spans="1:8" ht="27" customHeight="1" x14ac:dyDescent="0.2">
      <c r="A1163" s="31" t="s">
        <v>2032</v>
      </c>
      <c r="B1163" s="32" t="s">
        <v>2033</v>
      </c>
      <c r="C1163" s="32" t="s">
        <v>779</v>
      </c>
      <c r="D1163" s="32" t="s">
        <v>927</v>
      </c>
      <c r="E1163" s="33" t="s">
        <v>780</v>
      </c>
      <c r="F1163" s="34">
        <v>10000</v>
      </c>
      <c r="G1163" s="34">
        <v>10000</v>
      </c>
      <c r="H1163" s="35" t="s">
        <v>2039</v>
      </c>
    </row>
    <row r="1164" spans="1:8" ht="27" customHeight="1" x14ac:dyDescent="0.2">
      <c r="A1164" s="31" t="s">
        <v>2032</v>
      </c>
      <c r="B1164" s="32" t="s">
        <v>2033</v>
      </c>
      <c r="C1164" s="32" t="s">
        <v>782</v>
      </c>
      <c r="D1164" s="32" t="s">
        <v>765</v>
      </c>
      <c r="E1164" s="33" t="s">
        <v>784</v>
      </c>
      <c r="F1164" s="34">
        <v>0</v>
      </c>
      <c r="G1164" s="34">
        <v>0</v>
      </c>
      <c r="H1164" s="35" t="s">
        <v>765</v>
      </c>
    </row>
    <row r="1165" spans="1:8" ht="27" customHeight="1" x14ac:dyDescent="0.2">
      <c r="A1165" s="31" t="s">
        <v>2040</v>
      </c>
      <c r="B1165" s="32" t="s">
        <v>2041</v>
      </c>
      <c r="C1165" s="32" t="s">
        <v>763</v>
      </c>
      <c r="D1165" s="32" t="s">
        <v>2042</v>
      </c>
      <c r="E1165" s="33" t="s">
        <v>764</v>
      </c>
      <c r="F1165" s="34">
        <v>0</v>
      </c>
      <c r="G1165" s="34">
        <v>74860</v>
      </c>
      <c r="H1165" s="35" t="s">
        <v>2043</v>
      </c>
    </row>
    <row r="1166" spans="1:8" ht="27" customHeight="1" x14ac:dyDescent="0.2">
      <c r="A1166" s="31" t="s">
        <v>2040</v>
      </c>
      <c r="B1166" s="32" t="s">
        <v>2041</v>
      </c>
      <c r="C1166" s="32" t="s">
        <v>763</v>
      </c>
      <c r="D1166" s="32" t="s">
        <v>1019</v>
      </c>
      <c r="E1166" s="33" t="s">
        <v>764</v>
      </c>
      <c r="F1166" s="34">
        <v>74589</v>
      </c>
      <c r="G1166" s="34">
        <v>0</v>
      </c>
      <c r="H1166" s="35" t="s">
        <v>859</v>
      </c>
    </row>
    <row r="1167" spans="1:8" ht="27" customHeight="1" x14ac:dyDescent="0.2">
      <c r="A1167" s="31" t="s">
        <v>2040</v>
      </c>
      <c r="B1167" s="32" t="s">
        <v>2041</v>
      </c>
      <c r="C1167" s="32" t="s">
        <v>763</v>
      </c>
      <c r="D1167" s="32" t="s">
        <v>1266</v>
      </c>
      <c r="E1167" s="33" t="s">
        <v>764</v>
      </c>
      <c r="F1167" s="34">
        <v>817604</v>
      </c>
      <c r="G1167" s="34">
        <v>820578</v>
      </c>
      <c r="H1167" s="35" t="s">
        <v>859</v>
      </c>
    </row>
    <row r="1168" spans="1:8" ht="27" customHeight="1" x14ac:dyDescent="0.2">
      <c r="A1168" s="31" t="s">
        <v>2040</v>
      </c>
      <c r="B1168" s="32" t="s">
        <v>2041</v>
      </c>
      <c r="C1168" s="32" t="s">
        <v>770</v>
      </c>
      <c r="D1168" s="32" t="s">
        <v>770</v>
      </c>
      <c r="E1168" s="33" t="s">
        <v>772</v>
      </c>
      <c r="F1168" s="34">
        <v>284913</v>
      </c>
      <c r="G1168" s="34">
        <v>285949</v>
      </c>
      <c r="H1168" s="35" t="s">
        <v>2044</v>
      </c>
    </row>
    <row r="1169" spans="1:8" ht="27" customHeight="1" x14ac:dyDescent="0.2">
      <c r="A1169" s="31" t="s">
        <v>2040</v>
      </c>
      <c r="B1169" s="32" t="s">
        <v>2041</v>
      </c>
      <c r="C1169" s="32" t="s">
        <v>844</v>
      </c>
      <c r="D1169" s="32" t="s">
        <v>972</v>
      </c>
      <c r="E1169" s="33" t="s">
        <v>846</v>
      </c>
      <c r="F1169" s="34">
        <v>25345</v>
      </c>
      <c r="G1169" s="34">
        <v>25436</v>
      </c>
      <c r="H1169" s="35" t="s">
        <v>859</v>
      </c>
    </row>
    <row r="1170" spans="1:8" ht="27" customHeight="1" x14ac:dyDescent="0.2">
      <c r="A1170" s="31" t="s">
        <v>2040</v>
      </c>
      <c r="B1170" s="32" t="s">
        <v>2041</v>
      </c>
      <c r="C1170" s="32" t="s">
        <v>776</v>
      </c>
      <c r="D1170" s="32" t="s">
        <v>914</v>
      </c>
      <c r="E1170" s="33" t="s">
        <v>777</v>
      </c>
      <c r="F1170" s="34">
        <v>5548</v>
      </c>
      <c r="G1170" s="34">
        <v>11068</v>
      </c>
      <c r="H1170" s="35" t="s">
        <v>2045</v>
      </c>
    </row>
    <row r="1171" spans="1:8" ht="27" customHeight="1" x14ac:dyDescent="0.2">
      <c r="A1171" s="31" t="s">
        <v>2040</v>
      </c>
      <c r="B1171" s="32" t="s">
        <v>2041</v>
      </c>
      <c r="C1171" s="32" t="s">
        <v>779</v>
      </c>
      <c r="D1171" s="32" t="s">
        <v>779</v>
      </c>
      <c r="E1171" s="33" t="s">
        <v>780</v>
      </c>
      <c r="F1171" s="34">
        <v>25327</v>
      </c>
      <c r="G1171" s="34">
        <v>25389</v>
      </c>
      <c r="H1171" s="35" t="s">
        <v>859</v>
      </c>
    </row>
    <row r="1172" spans="1:8" ht="27" customHeight="1" x14ac:dyDescent="0.2">
      <c r="A1172" s="31" t="s">
        <v>2046</v>
      </c>
      <c r="B1172" s="32" t="s">
        <v>2047</v>
      </c>
      <c r="C1172" s="32" t="s">
        <v>763</v>
      </c>
      <c r="D1172" s="32" t="s">
        <v>2048</v>
      </c>
      <c r="E1172" s="33" t="s">
        <v>764</v>
      </c>
      <c r="F1172" s="34">
        <v>477421</v>
      </c>
      <c r="G1172" s="34">
        <v>477600</v>
      </c>
      <c r="H1172" s="35" t="s">
        <v>2049</v>
      </c>
    </row>
    <row r="1173" spans="1:8" ht="27" customHeight="1" x14ac:dyDescent="0.2">
      <c r="A1173" s="31" t="s">
        <v>2046</v>
      </c>
      <c r="B1173" s="32" t="s">
        <v>2047</v>
      </c>
      <c r="C1173" s="32" t="s">
        <v>766</v>
      </c>
      <c r="D1173" s="32" t="s">
        <v>767</v>
      </c>
      <c r="E1173" s="33" t="s">
        <v>768</v>
      </c>
      <c r="F1173" s="34">
        <v>214748</v>
      </c>
      <c r="G1173" s="34">
        <v>214829</v>
      </c>
      <c r="H1173" s="35" t="s">
        <v>2050</v>
      </c>
    </row>
    <row r="1174" spans="1:8" ht="27" customHeight="1" x14ac:dyDescent="0.2">
      <c r="A1174" s="31" t="s">
        <v>2046</v>
      </c>
      <c r="B1174" s="32" t="s">
        <v>2047</v>
      </c>
      <c r="C1174" s="32" t="s">
        <v>770</v>
      </c>
      <c r="D1174" s="32" t="s">
        <v>794</v>
      </c>
      <c r="E1174" s="33" t="s">
        <v>772</v>
      </c>
      <c r="F1174" s="34">
        <v>587130</v>
      </c>
      <c r="G1174" s="34">
        <v>587351</v>
      </c>
      <c r="H1174" s="35" t="s">
        <v>2051</v>
      </c>
    </row>
    <row r="1175" spans="1:8" ht="27" customHeight="1" x14ac:dyDescent="0.2">
      <c r="A1175" s="31" t="s">
        <v>2046</v>
      </c>
      <c r="B1175" s="32" t="s">
        <v>2047</v>
      </c>
      <c r="C1175" s="32" t="s">
        <v>796</v>
      </c>
      <c r="D1175" s="32" t="s">
        <v>796</v>
      </c>
      <c r="E1175" s="33" t="s">
        <v>823</v>
      </c>
      <c r="F1175" s="34">
        <v>123951</v>
      </c>
      <c r="G1175" s="34">
        <v>123982</v>
      </c>
      <c r="H1175" s="35" t="s">
        <v>2052</v>
      </c>
    </row>
    <row r="1176" spans="1:8" ht="27" customHeight="1" x14ac:dyDescent="0.2">
      <c r="A1176" s="31" t="s">
        <v>2046</v>
      </c>
      <c r="B1176" s="32" t="s">
        <v>2047</v>
      </c>
      <c r="C1176" s="32" t="s">
        <v>776</v>
      </c>
      <c r="D1176" s="32" t="s">
        <v>776</v>
      </c>
      <c r="E1176" s="33" t="s">
        <v>777</v>
      </c>
      <c r="F1176" s="34">
        <v>28727</v>
      </c>
      <c r="G1176" s="34">
        <v>28738</v>
      </c>
      <c r="H1176" s="35" t="s">
        <v>2053</v>
      </c>
    </row>
    <row r="1177" spans="1:8" ht="27" customHeight="1" x14ac:dyDescent="0.2">
      <c r="A1177" s="31" t="s">
        <v>2046</v>
      </c>
      <c r="B1177" s="32" t="s">
        <v>2047</v>
      </c>
      <c r="C1177" s="32" t="s">
        <v>779</v>
      </c>
      <c r="D1177" s="32" t="s">
        <v>779</v>
      </c>
      <c r="E1177" s="33" t="s">
        <v>780</v>
      </c>
      <c r="F1177" s="34">
        <v>18302</v>
      </c>
      <c r="G1177" s="34">
        <v>16890</v>
      </c>
      <c r="H1177" s="35" t="s">
        <v>2054</v>
      </c>
    </row>
    <row r="1178" spans="1:8" ht="27" customHeight="1" x14ac:dyDescent="0.2">
      <c r="A1178" s="31" t="s">
        <v>2055</v>
      </c>
      <c r="B1178" s="32" t="s">
        <v>2056</v>
      </c>
      <c r="C1178" s="32" t="s">
        <v>770</v>
      </c>
      <c r="D1178" s="32" t="s">
        <v>771</v>
      </c>
      <c r="E1178" s="33" t="s">
        <v>772</v>
      </c>
      <c r="F1178" s="34">
        <v>467675</v>
      </c>
      <c r="G1178" s="34">
        <v>427000</v>
      </c>
      <c r="H1178" s="35" t="s">
        <v>2057</v>
      </c>
    </row>
    <row r="1179" spans="1:8" ht="27" customHeight="1" x14ac:dyDescent="0.2">
      <c r="A1179" s="31" t="s">
        <v>2055</v>
      </c>
      <c r="B1179" s="32" t="s">
        <v>2056</v>
      </c>
      <c r="C1179" s="32" t="s">
        <v>779</v>
      </c>
      <c r="D1179" s="32" t="s">
        <v>779</v>
      </c>
      <c r="E1179" s="33" t="s">
        <v>780</v>
      </c>
      <c r="F1179" s="34">
        <v>2893</v>
      </c>
      <c r="G1179" s="34">
        <v>2893</v>
      </c>
      <c r="H1179" s="35" t="s">
        <v>2058</v>
      </c>
    </row>
    <row r="1180" spans="1:8" ht="27" customHeight="1" x14ac:dyDescent="0.2">
      <c r="A1180" s="31" t="s">
        <v>2059</v>
      </c>
      <c r="B1180" s="32" t="s">
        <v>193</v>
      </c>
      <c r="C1180" s="32" t="s">
        <v>766</v>
      </c>
      <c r="D1180" s="32" t="s">
        <v>767</v>
      </c>
      <c r="E1180" s="33" t="s">
        <v>768</v>
      </c>
      <c r="F1180" s="34">
        <v>30462</v>
      </c>
      <c r="G1180" s="34">
        <v>30462</v>
      </c>
      <c r="H1180" s="35" t="s">
        <v>765</v>
      </c>
    </row>
    <row r="1181" spans="1:8" ht="27" customHeight="1" x14ac:dyDescent="0.2">
      <c r="A1181" s="31" t="s">
        <v>2059</v>
      </c>
      <c r="B1181" s="32" t="s">
        <v>193</v>
      </c>
      <c r="C1181" s="32" t="s">
        <v>770</v>
      </c>
      <c r="D1181" s="32" t="s">
        <v>2060</v>
      </c>
      <c r="E1181" s="33" t="s">
        <v>772</v>
      </c>
      <c r="F1181" s="34">
        <v>118602</v>
      </c>
      <c r="G1181" s="34">
        <v>118605</v>
      </c>
      <c r="H1181" s="35" t="s">
        <v>2061</v>
      </c>
    </row>
    <row r="1182" spans="1:8" ht="27" customHeight="1" x14ac:dyDescent="0.2">
      <c r="A1182" s="31" t="s">
        <v>2059</v>
      </c>
      <c r="B1182" s="32" t="s">
        <v>193</v>
      </c>
      <c r="C1182" s="32" t="s">
        <v>860</v>
      </c>
      <c r="D1182" s="32" t="s">
        <v>911</v>
      </c>
      <c r="E1182" s="33" t="s">
        <v>861</v>
      </c>
      <c r="F1182" s="34">
        <v>20145</v>
      </c>
      <c r="G1182" s="34">
        <v>20146</v>
      </c>
      <c r="H1182" s="35" t="s">
        <v>765</v>
      </c>
    </row>
    <row r="1183" spans="1:8" ht="27" customHeight="1" x14ac:dyDescent="0.2">
      <c r="A1183" s="31" t="s">
        <v>2059</v>
      </c>
      <c r="B1183" s="32" t="s">
        <v>193</v>
      </c>
      <c r="C1183" s="32" t="s">
        <v>796</v>
      </c>
      <c r="D1183" s="32" t="s">
        <v>1463</v>
      </c>
      <c r="E1183" s="33" t="s">
        <v>823</v>
      </c>
      <c r="F1183" s="34">
        <v>65841</v>
      </c>
      <c r="G1183" s="34">
        <v>65843</v>
      </c>
      <c r="H1183" s="35" t="s">
        <v>2062</v>
      </c>
    </row>
    <row r="1184" spans="1:8" ht="27" customHeight="1" x14ac:dyDescent="0.2">
      <c r="A1184" s="31" t="s">
        <v>2059</v>
      </c>
      <c r="B1184" s="32" t="s">
        <v>193</v>
      </c>
      <c r="C1184" s="32" t="s">
        <v>779</v>
      </c>
      <c r="D1184" s="32" t="s">
        <v>2063</v>
      </c>
      <c r="E1184" s="33" t="s">
        <v>780</v>
      </c>
      <c r="F1184" s="34">
        <v>17139</v>
      </c>
      <c r="G1184" s="34">
        <v>16724</v>
      </c>
      <c r="H1184" s="35" t="s">
        <v>2064</v>
      </c>
    </row>
    <row r="1185" spans="1:8" ht="27" customHeight="1" x14ac:dyDescent="0.2">
      <c r="A1185" s="31" t="s">
        <v>2065</v>
      </c>
      <c r="B1185" s="32" t="s">
        <v>2066</v>
      </c>
      <c r="C1185" s="32" t="s">
        <v>770</v>
      </c>
      <c r="D1185" s="32" t="s">
        <v>2067</v>
      </c>
      <c r="E1185" s="33" t="s">
        <v>772</v>
      </c>
      <c r="F1185" s="34">
        <v>761516</v>
      </c>
      <c r="G1185" s="34">
        <v>770000</v>
      </c>
      <c r="H1185" s="35" t="s">
        <v>2068</v>
      </c>
    </row>
    <row r="1186" spans="1:8" ht="27" customHeight="1" x14ac:dyDescent="0.2">
      <c r="A1186" s="31" t="s">
        <v>2065</v>
      </c>
      <c r="B1186" s="32" t="s">
        <v>2066</v>
      </c>
      <c r="C1186" s="32" t="s">
        <v>782</v>
      </c>
      <c r="D1186" s="32" t="s">
        <v>1391</v>
      </c>
      <c r="E1186" s="33" t="s">
        <v>784</v>
      </c>
      <c r="F1186" s="34">
        <v>45738</v>
      </c>
      <c r="G1186" s="34">
        <v>47000</v>
      </c>
      <c r="H1186" s="35" t="s">
        <v>2069</v>
      </c>
    </row>
    <row r="1187" spans="1:8" ht="27" customHeight="1" x14ac:dyDescent="0.2">
      <c r="A1187" s="31" t="s">
        <v>2070</v>
      </c>
      <c r="B1187" s="32" t="s">
        <v>2071</v>
      </c>
      <c r="C1187" s="32" t="s">
        <v>763</v>
      </c>
      <c r="D1187" s="32" t="s">
        <v>2072</v>
      </c>
      <c r="E1187" s="33" t="s">
        <v>764</v>
      </c>
      <c r="F1187" s="34">
        <v>60000</v>
      </c>
      <c r="G1187" s="34">
        <v>95000</v>
      </c>
      <c r="H1187" s="35" t="s">
        <v>859</v>
      </c>
    </row>
    <row r="1188" spans="1:8" ht="27" customHeight="1" x14ac:dyDescent="0.2">
      <c r="A1188" s="31" t="s">
        <v>2070</v>
      </c>
      <c r="B1188" s="32" t="s">
        <v>2071</v>
      </c>
      <c r="C1188" s="32" t="s">
        <v>763</v>
      </c>
      <c r="D1188" s="32" t="s">
        <v>2073</v>
      </c>
      <c r="E1188" s="33" t="s">
        <v>764</v>
      </c>
      <c r="F1188" s="34">
        <v>120000</v>
      </c>
      <c r="G1188" s="34">
        <v>200000</v>
      </c>
      <c r="H1188" s="35" t="s">
        <v>859</v>
      </c>
    </row>
    <row r="1189" spans="1:8" ht="27" customHeight="1" x14ac:dyDescent="0.2">
      <c r="A1189" s="31" t="s">
        <v>2070</v>
      </c>
      <c r="B1189" s="32" t="s">
        <v>2071</v>
      </c>
      <c r="C1189" s="32" t="s">
        <v>886</v>
      </c>
      <c r="D1189" s="32" t="s">
        <v>1420</v>
      </c>
      <c r="E1189" s="33" t="s">
        <v>887</v>
      </c>
      <c r="F1189" s="34">
        <v>19000</v>
      </c>
      <c r="G1189" s="34">
        <v>20000</v>
      </c>
      <c r="H1189" s="35" t="s">
        <v>859</v>
      </c>
    </row>
    <row r="1190" spans="1:8" ht="27" customHeight="1" x14ac:dyDescent="0.2">
      <c r="A1190" s="31" t="s">
        <v>2070</v>
      </c>
      <c r="B1190" s="32" t="s">
        <v>2071</v>
      </c>
      <c r="C1190" s="32" t="s">
        <v>776</v>
      </c>
      <c r="D1190" s="32" t="s">
        <v>2074</v>
      </c>
      <c r="E1190" s="33" t="s">
        <v>777</v>
      </c>
      <c r="F1190" s="34">
        <v>99915</v>
      </c>
      <c r="G1190" s="34">
        <v>80000</v>
      </c>
      <c r="H1190" s="35" t="s">
        <v>859</v>
      </c>
    </row>
    <row r="1191" spans="1:8" ht="27" customHeight="1" x14ac:dyDescent="0.2">
      <c r="A1191" s="31" t="s">
        <v>2070</v>
      </c>
      <c r="B1191" s="32" t="s">
        <v>2071</v>
      </c>
      <c r="C1191" s="32" t="s">
        <v>779</v>
      </c>
      <c r="D1191" s="32" t="s">
        <v>1179</v>
      </c>
      <c r="E1191" s="33" t="s">
        <v>780</v>
      </c>
      <c r="F1191" s="34">
        <v>14426</v>
      </c>
      <c r="G1191" s="34">
        <v>15000</v>
      </c>
      <c r="H1191" s="35" t="s">
        <v>859</v>
      </c>
    </row>
    <row r="1192" spans="1:8" ht="27" customHeight="1" x14ac:dyDescent="0.2">
      <c r="A1192" s="31" t="s">
        <v>2070</v>
      </c>
      <c r="B1192" s="32" t="s">
        <v>2071</v>
      </c>
      <c r="C1192" s="32" t="s">
        <v>782</v>
      </c>
      <c r="D1192" s="32" t="s">
        <v>2075</v>
      </c>
      <c r="E1192" s="33" t="s">
        <v>784</v>
      </c>
      <c r="F1192" s="34">
        <v>50000</v>
      </c>
      <c r="G1192" s="34">
        <v>50000</v>
      </c>
      <c r="H1192" s="35" t="s">
        <v>859</v>
      </c>
    </row>
    <row r="1193" spans="1:8" ht="27" customHeight="1" x14ac:dyDescent="0.2">
      <c r="A1193" s="31" t="s">
        <v>2076</v>
      </c>
      <c r="B1193" s="32" t="s">
        <v>2077</v>
      </c>
      <c r="C1193" s="32" t="s">
        <v>770</v>
      </c>
      <c r="D1193" s="32" t="s">
        <v>2078</v>
      </c>
      <c r="E1193" s="33" t="s">
        <v>772</v>
      </c>
      <c r="F1193" s="34">
        <v>2695701</v>
      </c>
      <c r="G1193" s="34">
        <v>2800000</v>
      </c>
      <c r="H1193" s="35" t="s">
        <v>2079</v>
      </c>
    </row>
    <row r="1194" spans="1:8" ht="27" customHeight="1" x14ac:dyDescent="0.2">
      <c r="A1194" s="31" t="s">
        <v>2076</v>
      </c>
      <c r="B1194" s="32" t="s">
        <v>2077</v>
      </c>
      <c r="C1194" s="32" t="s">
        <v>796</v>
      </c>
      <c r="D1194" s="32" t="s">
        <v>1694</v>
      </c>
      <c r="E1194" s="33" t="s">
        <v>823</v>
      </c>
      <c r="F1194" s="34">
        <v>650000</v>
      </c>
      <c r="G1194" s="34">
        <v>675000</v>
      </c>
      <c r="H1194" s="35" t="s">
        <v>2080</v>
      </c>
    </row>
    <row r="1195" spans="1:8" ht="27" customHeight="1" x14ac:dyDescent="0.2">
      <c r="A1195" s="31" t="s">
        <v>2076</v>
      </c>
      <c r="B1195" s="32" t="s">
        <v>2077</v>
      </c>
      <c r="C1195" s="32" t="s">
        <v>776</v>
      </c>
      <c r="D1195" s="32" t="s">
        <v>914</v>
      </c>
      <c r="E1195" s="33" t="s">
        <v>777</v>
      </c>
      <c r="F1195" s="34">
        <v>265000</v>
      </c>
      <c r="G1195" s="34">
        <v>265000</v>
      </c>
      <c r="H1195" s="35" t="s">
        <v>2081</v>
      </c>
    </row>
    <row r="1196" spans="1:8" ht="27" customHeight="1" x14ac:dyDescent="0.2">
      <c r="A1196" s="31" t="s">
        <v>2076</v>
      </c>
      <c r="B1196" s="32" t="s">
        <v>2077</v>
      </c>
      <c r="C1196" s="32" t="s">
        <v>779</v>
      </c>
      <c r="D1196" s="32" t="s">
        <v>876</v>
      </c>
      <c r="E1196" s="33" t="s">
        <v>780</v>
      </c>
      <c r="F1196" s="34">
        <v>150000</v>
      </c>
      <c r="G1196" s="34">
        <v>165000</v>
      </c>
      <c r="H1196" s="35" t="s">
        <v>2082</v>
      </c>
    </row>
    <row r="1197" spans="1:8" ht="27" customHeight="1" x14ac:dyDescent="0.2">
      <c r="A1197" s="31" t="s">
        <v>2083</v>
      </c>
      <c r="B1197" s="32" t="s">
        <v>2084</v>
      </c>
      <c r="C1197" s="32" t="s">
        <v>763</v>
      </c>
      <c r="D1197" s="32" t="s">
        <v>816</v>
      </c>
      <c r="E1197" s="33" t="s">
        <v>764</v>
      </c>
      <c r="F1197" s="34">
        <v>1477731</v>
      </c>
      <c r="G1197" s="34">
        <v>1328489</v>
      </c>
      <c r="H1197" s="35" t="s">
        <v>2085</v>
      </c>
    </row>
    <row r="1198" spans="1:8" ht="27" customHeight="1" x14ac:dyDescent="0.2">
      <c r="A1198" s="31" t="s">
        <v>2083</v>
      </c>
      <c r="B1198" s="32" t="s">
        <v>2084</v>
      </c>
      <c r="C1198" s="32" t="s">
        <v>766</v>
      </c>
      <c r="D1198" s="32" t="s">
        <v>870</v>
      </c>
      <c r="E1198" s="33" t="s">
        <v>768</v>
      </c>
      <c r="F1198" s="34">
        <v>893869</v>
      </c>
      <c r="G1198" s="34">
        <v>893869</v>
      </c>
      <c r="H1198" s="35" t="s">
        <v>2086</v>
      </c>
    </row>
    <row r="1199" spans="1:8" ht="27" customHeight="1" x14ac:dyDescent="0.2">
      <c r="A1199" s="31" t="s">
        <v>2083</v>
      </c>
      <c r="B1199" s="32" t="s">
        <v>2084</v>
      </c>
      <c r="C1199" s="32" t="s">
        <v>770</v>
      </c>
      <c r="D1199" s="32" t="s">
        <v>770</v>
      </c>
      <c r="E1199" s="33" t="s">
        <v>772</v>
      </c>
      <c r="F1199" s="34">
        <v>387481</v>
      </c>
      <c r="G1199" s="34">
        <v>330400</v>
      </c>
      <c r="H1199" s="35" t="s">
        <v>2087</v>
      </c>
    </row>
    <row r="1200" spans="1:8" ht="27" customHeight="1" x14ac:dyDescent="0.2">
      <c r="A1200" s="31" t="s">
        <v>2083</v>
      </c>
      <c r="B1200" s="32" t="s">
        <v>2084</v>
      </c>
      <c r="C1200" s="32" t="s">
        <v>796</v>
      </c>
      <c r="D1200" s="32" t="s">
        <v>2088</v>
      </c>
      <c r="E1200" s="33" t="s">
        <v>823</v>
      </c>
      <c r="F1200" s="34">
        <v>139150</v>
      </c>
      <c r="G1200" s="34">
        <v>139150</v>
      </c>
      <c r="H1200" s="35" t="s">
        <v>2089</v>
      </c>
    </row>
    <row r="1201" spans="1:8" ht="27" customHeight="1" x14ac:dyDescent="0.2">
      <c r="A1201" s="31" t="s">
        <v>2083</v>
      </c>
      <c r="B1201" s="32" t="s">
        <v>2084</v>
      </c>
      <c r="C1201" s="32" t="s">
        <v>779</v>
      </c>
      <c r="D1201" s="32" t="s">
        <v>779</v>
      </c>
      <c r="E1201" s="33" t="s">
        <v>780</v>
      </c>
      <c r="F1201" s="34">
        <v>97971</v>
      </c>
      <c r="G1201" s="34">
        <v>80928</v>
      </c>
      <c r="H1201" s="35" t="s">
        <v>2090</v>
      </c>
    </row>
    <row r="1202" spans="1:8" ht="27" customHeight="1" x14ac:dyDescent="0.2">
      <c r="A1202" s="31" t="s">
        <v>2091</v>
      </c>
      <c r="B1202" s="32" t="s">
        <v>2092</v>
      </c>
      <c r="C1202" s="32" t="s">
        <v>763</v>
      </c>
      <c r="D1202" s="32" t="s">
        <v>2093</v>
      </c>
      <c r="E1202" s="33" t="s">
        <v>764</v>
      </c>
      <c r="F1202" s="34">
        <v>1655102</v>
      </c>
      <c r="G1202" s="34">
        <v>1332048</v>
      </c>
      <c r="H1202" s="35" t="s">
        <v>2094</v>
      </c>
    </row>
    <row r="1203" spans="1:8" ht="27" customHeight="1" x14ac:dyDescent="0.2">
      <c r="A1203" s="31" t="s">
        <v>2091</v>
      </c>
      <c r="B1203" s="32" t="s">
        <v>2092</v>
      </c>
      <c r="C1203" s="32" t="s">
        <v>770</v>
      </c>
      <c r="D1203" s="32" t="s">
        <v>770</v>
      </c>
      <c r="E1203" s="33" t="s">
        <v>772</v>
      </c>
      <c r="F1203" s="34">
        <v>127474</v>
      </c>
      <c r="G1203" s="34">
        <v>127474</v>
      </c>
      <c r="H1203" s="35" t="s">
        <v>2095</v>
      </c>
    </row>
    <row r="1204" spans="1:8" ht="27" customHeight="1" x14ac:dyDescent="0.2">
      <c r="A1204" s="31" t="s">
        <v>2091</v>
      </c>
      <c r="B1204" s="32" t="s">
        <v>2092</v>
      </c>
      <c r="C1204" s="32" t="s">
        <v>776</v>
      </c>
      <c r="D1204" s="32" t="s">
        <v>776</v>
      </c>
      <c r="E1204" s="33" t="s">
        <v>777</v>
      </c>
      <c r="F1204" s="34">
        <v>126366</v>
      </c>
      <c r="G1204" s="34">
        <v>126366</v>
      </c>
      <c r="H1204" s="35" t="s">
        <v>776</v>
      </c>
    </row>
    <row r="1205" spans="1:8" ht="27" customHeight="1" x14ac:dyDescent="0.2">
      <c r="A1205" s="31" t="s">
        <v>2096</v>
      </c>
      <c r="B1205" s="32" t="s">
        <v>2097</v>
      </c>
      <c r="C1205" s="32" t="s">
        <v>763</v>
      </c>
      <c r="D1205" s="32" t="s">
        <v>2098</v>
      </c>
      <c r="E1205" s="33" t="s">
        <v>764</v>
      </c>
      <c r="F1205" s="34">
        <v>250000</v>
      </c>
      <c r="G1205" s="34">
        <v>250000</v>
      </c>
      <c r="H1205" s="35" t="s">
        <v>2099</v>
      </c>
    </row>
    <row r="1206" spans="1:8" ht="27" customHeight="1" x14ac:dyDescent="0.2">
      <c r="A1206" s="31" t="s">
        <v>2096</v>
      </c>
      <c r="B1206" s="32" t="s">
        <v>2097</v>
      </c>
      <c r="C1206" s="32" t="s">
        <v>770</v>
      </c>
      <c r="D1206" s="32" t="s">
        <v>1121</v>
      </c>
      <c r="E1206" s="33" t="s">
        <v>772</v>
      </c>
      <c r="F1206" s="34">
        <v>139334</v>
      </c>
      <c r="G1206" s="34">
        <v>139334</v>
      </c>
      <c r="H1206" s="35" t="s">
        <v>2100</v>
      </c>
    </row>
    <row r="1207" spans="1:8" ht="27" customHeight="1" x14ac:dyDescent="0.2">
      <c r="A1207" s="31" t="s">
        <v>2096</v>
      </c>
      <c r="B1207" s="32" t="s">
        <v>2097</v>
      </c>
      <c r="C1207" s="32" t="s">
        <v>796</v>
      </c>
      <c r="D1207" s="32" t="s">
        <v>1422</v>
      </c>
      <c r="E1207" s="33" t="s">
        <v>823</v>
      </c>
      <c r="F1207" s="34">
        <v>20000</v>
      </c>
      <c r="G1207" s="34">
        <v>0</v>
      </c>
      <c r="H1207" s="35" t="s">
        <v>2101</v>
      </c>
    </row>
    <row r="1208" spans="1:8" ht="27" customHeight="1" x14ac:dyDescent="0.2">
      <c r="A1208" s="31" t="s">
        <v>2102</v>
      </c>
      <c r="B1208" s="32" t="s">
        <v>2103</v>
      </c>
      <c r="C1208" s="32" t="s">
        <v>884</v>
      </c>
      <c r="D1208" s="32" t="s">
        <v>972</v>
      </c>
      <c r="E1208" s="33" t="s">
        <v>885</v>
      </c>
      <c r="F1208" s="34">
        <v>500989</v>
      </c>
      <c r="G1208" s="34">
        <v>501010</v>
      </c>
      <c r="H1208" s="35" t="s">
        <v>2104</v>
      </c>
    </row>
    <row r="1209" spans="1:8" ht="27" customHeight="1" x14ac:dyDescent="0.2">
      <c r="A1209" s="31" t="s">
        <v>2102</v>
      </c>
      <c r="B1209" s="32" t="s">
        <v>2103</v>
      </c>
      <c r="C1209" s="32" t="s">
        <v>796</v>
      </c>
      <c r="D1209" s="32" t="s">
        <v>835</v>
      </c>
      <c r="E1209" s="33" t="s">
        <v>823</v>
      </c>
      <c r="F1209" s="34">
        <v>250381</v>
      </c>
      <c r="G1209" s="34">
        <v>500000</v>
      </c>
      <c r="H1209" s="35" t="s">
        <v>2105</v>
      </c>
    </row>
    <row r="1210" spans="1:8" ht="27" customHeight="1" x14ac:dyDescent="0.2">
      <c r="A1210" s="31" t="s">
        <v>2102</v>
      </c>
      <c r="B1210" s="32" t="s">
        <v>2103</v>
      </c>
      <c r="C1210" s="32" t="s">
        <v>776</v>
      </c>
      <c r="D1210" s="32" t="s">
        <v>1755</v>
      </c>
      <c r="E1210" s="33" t="s">
        <v>777</v>
      </c>
      <c r="F1210" s="34">
        <v>167000</v>
      </c>
      <c r="G1210" s="34">
        <v>0</v>
      </c>
      <c r="H1210" s="35" t="s">
        <v>2106</v>
      </c>
    </row>
    <row r="1211" spans="1:8" ht="27" customHeight="1" x14ac:dyDescent="0.2">
      <c r="A1211" s="31" t="s">
        <v>2107</v>
      </c>
      <c r="B1211" s="32" t="s">
        <v>2108</v>
      </c>
      <c r="C1211" s="32" t="s">
        <v>763</v>
      </c>
      <c r="D1211" s="32" t="s">
        <v>2109</v>
      </c>
      <c r="E1211" s="33" t="s">
        <v>764</v>
      </c>
      <c r="F1211" s="34">
        <v>85000</v>
      </c>
      <c r="G1211" s="34">
        <v>85000</v>
      </c>
      <c r="H1211" s="35" t="s">
        <v>829</v>
      </c>
    </row>
    <row r="1212" spans="1:8" ht="27" customHeight="1" x14ac:dyDescent="0.2">
      <c r="A1212" s="31" t="s">
        <v>2107</v>
      </c>
      <c r="B1212" s="32" t="s">
        <v>2108</v>
      </c>
      <c r="C1212" s="32" t="s">
        <v>763</v>
      </c>
      <c r="D1212" s="32" t="s">
        <v>2110</v>
      </c>
      <c r="E1212" s="33" t="s">
        <v>764</v>
      </c>
      <c r="F1212" s="34">
        <v>666417</v>
      </c>
      <c r="G1212" s="34">
        <v>666417</v>
      </c>
      <c r="H1212" s="35" t="s">
        <v>829</v>
      </c>
    </row>
    <row r="1213" spans="1:8" ht="27" customHeight="1" x14ac:dyDescent="0.2">
      <c r="A1213" s="31" t="s">
        <v>2107</v>
      </c>
      <c r="B1213" s="32" t="s">
        <v>2108</v>
      </c>
      <c r="C1213" s="32" t="s">
        <v>766</v>
      </c>
      <c r="D1213" s="32" t="s">
        <v>1301</v>
      </c>
      <c r="E1213" s="33" t="s">
        <v>768</v>
      </c>
      <c r="F1213" s="34">
        <v>2000000</v>
      </c>
      <c r="G1213" s="34">
        <v>2000000</v>
      </c>
      <c r="H1213" s="35" t="s">
        <v>829</v>
      </c>
    </row>
    <row r="1214" spans="1:8" ht="27" customHeight="1" x14ac:dyDescent="0.2">
      <c r="A1214" s="31" t="s">
        <v>2107</v>
      </c>
      <c r="B1214" s="32" t="s">
        <v>2108</v>
      </c>
      <c r="C1214" s="32" t="s">
        <v>770</v>
      </c>
      <c r="D1214" s="32" t="s">
        <v>2111</v>
      </c>
      <c r="E1214" s="33" t="s">
        <v>772</v>
      </c>
      <c r="F1214" s="34">
        <v>174573</v>
      </c>
      <c r="G1214" s="34">
        <v>174573</v>
      </c>
      <c r="H1214" s="35" t="s">
        <v>829</v>
      </c>
    </row>
    <row r="1215" spans="1:8" ht="27" customHeight="1" x14ac:dyDescent="0.2">
      <c r="A1215" s="31" t="s">
        <v>2107</v>
      </c>
      <c r="B1215" s="32" t="s">
        <v>2108</v>
      </c>
      <c r="C1215" s="32" t="s">
        <v>773</v>
      </c>
      <c r="D1215" s="32" t="s">
        <v>1025</v>
      </c>
      <c r="E1215" s="33" t="s">
        <v>775</v>
      </c>
      <c r="F1215" s="34">
        <v>25000</v>
      </c>
      <c r="G1215" s="34">
        <v>25000</v>
      </c>
      <c r="H1215" s="35" t="s">
        <v>829</v>
      </c>
    </row>
    <row r="1216" spans="1:8" ht="27" customHeight="1" x14ac:dyDescent="0.2">
      <c r="A1216" s="31" t="s">
        <v>2107</v>
      </c>
      <c r="B1216" s="32" t="s">
        <v>2108</v>
      </c>
      <c r="C1216" s="32" t="s">
        <v>886</v>
      </c>
      <c r="D1216" s="32" t="s">
        <v>951</v>
      </c>
      <c r="E1216" s="33" t="s">
        <v>887</v>
      </c>
      <c r="F1216" s="34">
        <v>494209</v>
      </c>
      <c r="G1216" s="34">
        <v>494209</v>
      </c>
      <c r="H1216" s="35" t="s">
        <v>829</v>
      </c>
    </row>
    <row r="1217" spans="1:8" ht="27" customHeight="1" x14ac:dyDescent="0.2">
      <c r="A1217" s="31" t="s">
        <v>2107</v>
      </c>
      <c r="B1217" s="32" t="s">
        <v>2108</v>
      </c>
      <c r="C1217" s="32" t="s">
        <v>796</v>
      </c>
      <c r="D1217" s="32" t="s">
        <v>961</v>
      </c>
      <c r="E1217" s="33" t="s">
        <v>823</v>
      </c>
      <c r="F1217" s="34">
        <v>1000000</v>
      </c>
      <c r="G1217" s="34">
        <v>900000</v>
      </c>
      <c r="H1217" s="35" t="s">
        <v>1916</v>
      </c>
    </row>
    <row r="1218" spans="1:8" ht="27" customHeight="1" x14ac:dyDescent="0.2">
      <c r="A1218" s="31" t="s">
        <v>2107</v>
      </c>
      <c r="B1218" s="32" t="s">
        <v>2108</v>
      </c>
      <c r="C1218" s="32" t="s">
        <v>776</v>
      </c>
      <c r="D1218" s="32" t="s">
        <v>914</v>
      </c>
      <c r="E1218" s="33" t="s">
        <v>777</v>
      </c>
      <c r="F1218" s="34">
        <v>63364</v>
      </c>
      <c r="G1218" s="34">
        <v>63364</v>
      </c>
      <c r="H1218" s="35" t="s">
        <v>829</v>
      </c>
    </row>
    <row r="1219" spans="1:8" ht="27" customHeight="1" x14ac:dyDescent="0.2">
      <c r="A1219" s="31" t="s">
        <v>2107</v>
      </c>
      <c r="B1219" s="32" t="s">
        <v>2108</v>
      </c>
      <c r="C1219" s="32" t="s">
        <v>798</v>
      </c>
      <c r="D1219" s="32" t="s">
        <v>1014</v>
      </c>
      <c r="E1219" s="33" t="s">
        <v>800</v>
      </c>
      <c r="F1219" s="34">
        <v>1000000</v>
      </c>
      <c r="G1219" s="34">
        <v>150000</v>
      </c>
      <c r="H1219" s="35" t="s">
        <v>1915</v>
      </c>
    </row>
    <row r="1220" spans="1:8" ht="27" customHeight="1" x14ac:dyDescent="0.2">
      <c r="A1220" s="31" t="s">
        <v>2107</v>
      </c>
      <c r="B1220" s="32" t="s">
        <v>2108</v>
      </c>
      <c r="C1220" s="32" t="s">
        <v>782</v>
      </c>
      <c r="D1220" s="32" t="s">
        <v>964</v>
      </c>
      <c r="E1220" s="33" t="s">
        <v>784</v>
      </c>
      <c r="F1220" s="34">
        <v>558000</v>
      </c>
      <c r="G1220" s="34">
        <v>502200</v>
      </c>
      <c r="H1220" s="35" t="s">
        <v>2112</v>
      </c>
    </row>
    <row r="1221" spans="1:8" ht="27" customHeight="1" x14ac:dyDescent="0.2">
      <c r="A1221" s="31" t="s">
        <v>2113</v>
      </c>
      <c r="B1221" s="32" t="s">
        <v>2114</v>
      </c>
      <c r="C1221" s="32" t="s">
        <v>763</v>
      </c>
      <c r="D1221" s="32" t="s">
        <v>763</v>
      </c>
      <c r="E1221" s="33" t="s">
        <v>764</v>
      </c>
      <c r="F1221" s="34">
        <v>1390854</v>
      </c>
      <c r="G1221" s="34">
        <v>1397808</v>
      </c>
      <c r="H1221" s="35" t="s">
        <v>2115</v>
      </c>
    </row>
    <row r="1222" spans="1:8" ht="27" customHeight="1" x14ac:dyDescent="0.2">
      <c r="A1222" s="31" t="s">
        <v>2113</v>
      </c>
      <c r="B1222" s="32" t="s">
        <v>2114</v>
      </c>
      <c r="C1222" s="32" t="s">
        <v>770</v>
      </c>
      <c r="D1222" s="32" t="s">
        <v>2116</v>
      </c>
      <c r="E1222" s="33" t="s">
        <v>772</v>
      </c>
      <c r="F1222" s="34">
        <v>401528</v>
      </c>
      <c r="G1222" s="34">
        <v>403536</v>
      </c>
      <c r="H1222" s="35" t="s">
        <v>2117</v>
      </c>
    </row>
    <row r="1223" spans="1:8" ht="27" customHeight="1" x14ac:dyDescent="0.2">
      <c r="A1223" s="31" t="s">
        <v>2113</v>
      </c>
      <c r="B1223" s="32" t="s">
        <v>2114</v>
      </c>
      <c r="C1223" s="32" t="s">
        <v>844</v>
      </c>
      <c r="D1223" s="32" t="s">
        <v>844</v>
      </c>
      <c r="E1223" s="33" t="s">
        <v>846</v>
      </c>
      <c r="F1223" s="34">
        <v>40000</v>
      </c>
      <c r="G1223" s="34">
        <v>40000</v>
      </c>
      <c r="H1223" s="35" t="s">
        <v>2118</v>
      </c>
    </row>
    <row r="1224" spans="1:8" ht="27" customHeight="1" x14ac:dyDescent="0.2">
      <c r="A1224" s="31" t="s">
        <v>2113</v>
      </c>
      <c r="B1224" s="32" t="s">
        <v>2114</v>
      </c>
      <c r="C1224" s="32" t="s">
        <v>860</v>
      </c>
      <c r="D1224" s="32" t="s">
        <v>860</v>
      </c>
      <c r="E1224" s="33" t="s">
        <v>861</v>
      </c>
      <c r="F1224" s="34">
        <v>265000</v>
      </c>
      <c r="G1224" s="34">
        <v>266325</v>
      </c>
      <c r="H1224" s="35" t="s">
        <v>2119</v>
      </c>
    </row>
    <row r="1225" spans="1:8" ht="27" customHeight="1" x14ac:dyDescent="0.2">
      <c r="A1225" s="31" t="s">
        <v>2113</v>
      </c>
      <c r="B1225" s="32" t="s">
        <v>2114</v>
      </c>
      <c r="C1225" s="32" t="s">
        <v>796</v>
      </c>
      <c r="D1225" s="32" t="s">
        <v>796</v>
      </c>
      <c r="E1225" s="33" t="s">
        <v>772</v>
      </c>
      <c r="F1225" s="34">
        <v>991382</v>
      </c>
      <c r="G1225" s="34">
        <v>776339</v>
      </c>
      <c r="H1225" s="35" t="s">
        <v>2120</v>
      </c>
    </row>
    <row r="1226" spans="1:8" ht="27" customHeight="1" x14ac:dyDescent="0.2">
      <c r="A1226" s="31" t="s">
        <v>2113</v>
      </c>
      <c r="B1226" s="32" t="s">
        <v>2114</v>
      </c>
      <c r="C1226" s="32" t="s">
        <v>798</v>
      </c>
      <c r="D1226" s="32" t="s">
        <v>799</v>
      </c>
      <c r="E1226" s="33" t="s">
        <v>800</v>
      </c>
      <c r="F1226" s="34">
        <v>0</v>
      </c>
      <c r="G1226" s="34">
        <v>0</v>
      </c>
      <c r="H1226" s="35" t="s">
        <v>859</v>
      </c>
    </row>
    <row r="1227" spans="1:8" ht="27" customHeight="1" x14ac:dyDescent="0.2">
      <c r="A1227" s="31" t="s">
        <v>2113</v>
      </c>
      <c r="B1227" s="32" t="s">
        <v>2114</v>
      </c>
      <c r="C1227" s="32" t="s">
        <v>779</v>
      </c>
      <c r="D1227" s="32" t="s">
        <v>779</v>
      </c>
      <c r="E1227" s="33" t="s">
        <v>780</v>
      </c>
      <c r="F1227" s="34">
        <v>107420</v>
      </c>
      <c r="G1227" s="34">
        <v>107957</v>
      </c>
      <c r="H1227" s="35" t="s">
        <v>1612</v>
      </c>
    </row>
    <row r="1228" spans="1:8" ht="27" customHeight="1" x14ac:dyDescent="0.2">
      <c r="A1228" s="31" t="s">
        <v>2113</v>
      </c>
      <c r="B1228" s="32" t="s">
        <v>2114</v>
      </c>
      <c r="C1228" s="32" t="s">
        <v>782</v>
      </c>
      <c r="D1228" s="32" t="s">
        <v>783</v>
      </c>
      <c r="E1228" s="33" t="s">
        <v>784</v>
      </c>
      <c r="F1228" s="34">
        <v>96556</v>
      </c>
      <c r="G1228" s="34">
        <v>77039</v>
      </c>
      <c r="H1228" s="35" t="s">
        <v>2121</v>
      </c>
    </row>
    <row r="1229" spans="1:8" ht="27" customHeight="1" x14ac:dyDescent="0.2">
      <c r="A1229" s="31" t="s">
        <v>2122</v>
      </c>
      <c r="B1229" s="32" t="s">
        <v>517</v>
      </c>
      <c r="C1229" s="32" t="s">
        <v>860</v>
      </c>
      <c r="D1229" s="32" t="s">
        <v>911</v>
      </c>
      <c r="E1229" s="33" t="s">
        <v>861</v>
      </c>
      <c r="F1229" s="34">
        <v>1464</v>
      </c>
      <c r="G1229" s="34">
        <v>1464</v>
      </c>
      <c r="H1229" s="35" t="s">
        <v>2123</v>
      </c>
    </row>
    <row r="1230" spans="1:8" ht="27" customHeight="1" x14ac:dyDescent="0.2">
      <c r="A1230" s="31" t="s">
        <v>2122</v>
      </c>
      <c r="B1230" s="32" t="s">
        <v>517</v>
      </c>
      <c r="C1230" s="32" t="s">
        <v>796</v>
      </c>
      <c r="D1230" s="32" t="s">
        <v>811</v>
      </c>
      <c r="E1230" s="33" t="s">
        <v>823</v>
      </c>
      <c r="F1230" s="34">
        <v>4908040</v>
      </c>
      <c r="G1230" s="34">
        <v>5258040</v>
      </c>
      <c r="H1230" s="35" t="s">
        <v>2124</v>
      </c>
    </row>
    <row r="1231" spans="1:8" ht="27" customHeight="1" x14ac:dyDescent="0.2">
      <c r="A1231" s="31" t="s">
        <v>2122</v>
      </c>
      <c r="B1231" s="32" t="s">
        <v>517</v>
      </c>
      <c r="C1231" s="32" t="s">
        <v>779</v>
      </c>
      <c r="D1231" s="32" t="s">
        <v>826</v>
      </c>
      <c r="E1231" s="33" t="s">
        <v>780</v>
      </c>
      <c r="F1231" s="34">
        <v>47973</v>
      </c>
      <c r="G1231" s="34">
        <v>47973</v>
      </c>
      <c r="H1231" s="35" t="s">
        <v>2125</v>
      </c>
    </row>
    <row r="1232" spans="1:8" ht="27" customHeight="1" x14ac:dyDescent="0.2">
      <c r="A1232" s="31" t="s">
        <v>2126</v>
      </c>
      <c r="B1232" s="32" t="s">
        <v>2127</v>
      </c>
      <c r="C1232" s="32" t="s">
        <v>766</v>
      </c>
      <c r="D1232" s="32" t="s">
        <v>832</v>
      </c>
      <c r="E1232" s="33" t="s">
        <v>768</v>
      </c>
      <c r="F1232" s="34">
        <v>375405</v>
      </c>
      <c r="G1232" s="34">
        <v>292475</v>
      </c>
      <c r="H1232" s="35" t="s">
        <v>2128</v>
      </c>
    </row>
    <row r="1233" spans="1:8" ht="27" customHeight="1" x14ac:dyDescent="0.2">
      <c r="A1233" s="31" t="s">
        <v>2126</v>
      </c>
      <c r="B1233" s="32" t="s">
        <v>2127</v>
      </c>
      <c r="C1233" s="32" t="s">
        <v>770</v>
      </c>
      <c r="D1233" s="32" t="s">
        <v>1011</v>
      </c>
      <c r="E1233" s="33" t="s">
        <v>772</v>
      </c>
      <c r="F1233" s="34">
        <v>120741</v>
      </c>
      <c r="G1233" s="34">
        <v>121407</v>
      </c>
      <c r="H1233" s="35" t="s">
        <v>2129</v>
      </c>
    </row>
    <row r="1234" spans="1:8" ht="27" customHeight="1" x14ac:dyDescent="0.2">
      <c r="A1234" s="31" t="s">
        <v>2126</v>
      </c>
      <c r="B1234" s="32" t="s">
        <v>2127</v>
      </c>
      <c r="C1234" s="32" t="s">
        <v>796</v>
      </c>
      <c r="D1234" s="32" t="s">
        <v>2130</v>
      </c>
      <c r="E1234" s="33" t="s">
        <v>823</v>
      </c>
      <c r="F1234" s="34">
        <v>603773</v>
      </c>
      <c r="G1234" s="34">
        <v>607102</v>
      </c>
      <c r="H1234" s="35" t="s">
        <v>2131</v>
      </c>
    </row>
    <row r="1235" spans="1:8" ht="27" customHeight="1" x14ac:dyDescent="0.2">
      <c r="A1235" s="31" t="s">
        <v>2126</v>
      </c>
      <c r="B1235" s="32" t="s">
        <v>2127</v>
      </c>
      <c r="C1235" s="32" t="s">
        <v>779</v>
      </c>
      <c r="D1235" s="32" t="s">
        <v>826</v>
      </c>
      <c r="E1235" s="33" t="s">
        <v>780</v>
      </c>
      <c r="F1235" s="34">
        <v>42712</v>
      </c>
      <c r="G1235" s="34">
        <v>42948</v>
      </c>
      <c r="H1235" s="35" t="s">
        <v>2132</v>
      </c>
    </row>
    <row r="1236" spans="1:8" ht="27" customHeight="1" x14ac:dyDescent="0.2">
      <c r="A1236" s="31" t="s">
        <v>2133</v>
      </c>
      <c r="B1236" s="32" t="s">
        <v>2134</v>
      </c>
      <c r="C1236" s="32" t="s">
        <v>763</v>
      </c>
      <c r="D1236" s="32" t="s">
        <v>2135</v>
      </c>
      <c r="E1236" s="33" t="s">
        <v>764</v>
      </c>
      <c r="F1236" s="34">
        <v>1550000</v>
      </c>
      <c r="G1236" s="34">
        <v>1650000</v>
      </c>
      <c r="H1236" s="35" t="s">
        <v>2136</v>
      </c>
    </row>
    <row r="1237" spans="1:8" ht="27" customHeight="1" x14ac:dyDescent="0.2">
      <c r="A1237" s="31" t="s">
        <v>2133</v>
      </c>
      <c r="B1237" s="32" t="s">
        <v>2134</v>
      </c>
      <c r="C1237" s="32" t="s">
        <v>766</v>
      </c>
      <c r="D1237" s="32" t="s">
        <v>2137</v>
      </c>
      <c r="E1237" s="33" t="s">
        <v>768</v>
      </c>
      <c r="F1237" s="34">
        <v>278370</v>
      </c>
      <c r="G1237" s="34">
        <v>3370</v>
      </c>
      <c r="H1237" s="35" t="s">
        <v>2138</v>
      </c>
    </row>
    <row r="1238" spans="1:8" ht="27" customHeight="1" x14ac:dyDescent="0.2">
      <c r="A1238" s="31" t="s">
        <v>2133</v>
      </c>
      <c r="B1238" s="32" t="s">
        <v>2134</v>
      </c>
      <c r="C1238" s="32" t="s">
        <v>770</v>
      </c>
      <c r="D1238" s="32" t="s">
        <v>1136</v>
      </c>
      <c r="E1238" s="33" t="s">
        <v>772</v>
      </c>
      <c r="F1238" s="34">
        <v>497550</v>
      </c>
      <c r="G1238" s="34">
        <v>497550</v>
      </c>
      <c r="H1238" s="35" t="s">
        <v>2139</v>
      </c>
    </row>
    <row r="1239" spans="1:8" ht="27" customHeight="1" x14ac:dyDescent="0.2">
      <c r="A1239" s="31" t="s">
        <v>2133</v>
      </c>
      <c r="B1239" s="32" t="s">
        <v>2134</v>
      </c>
      <c r="C1239" s="32" t="s">
        <v>860</v>
      </c>
      <c r="D1239" s="32" t="s">
        <v>1017</v>
      </c>
      <c r="E1239" s="33" t="s">
        <v>861</v>
      </c>
      <c r="F1239" s="34">
        <v>25276</v>
      </c>
      <c r="G1239" s="34">
        <v>25276</v>
      </c>
      <c r="H1239" s="35" t="s">
        <v>2140</v>
      </c>
    </row>
    <row r="1240" spans="1:8" ht="27" customHeight="1" x14ac:dyDescent="0.2">
      <c r="A1240" s="31" t="s">
        <v>2133</v>
      </c>
      <c r="B1240" s="32" t="s">
        <v>2134</v>
      </c>
      <c r="C1240" s="32" t="s">
        <v>796</v>
      </c>
      <c r="D1240" s="32" t="s">
        <v>862</v>
      </c>
      <c r="E1240" s="33" t="s">
        <v>772</v>
      </c>
      <c r="F1240" s="34">
        <v>110000</v>
      </c>
      <c r="G1240" s="34">
        <v>110000</v>
      </c>
      <c r="H1240" s="35" t="s">
        <v>2141</v>
      </c>
    </row>
    <row r="1241" spans="1:8" ht="27" customHeight="1" x14ac:dyDescent="0.2">
      <c r="A1241" s="31" t="s">
        <v>2133</v>
      </c>
      <c r="B1241" s="32" t="s">
        <v>2134</v>
      </c>
      <c r="C1241" s="32" t="s">
        <v>779</v>
      </c>
      <c r="D1241" s="32" t="s">
        <v>826</v>
      </c>
      <c r="E1241" s="33" t="s">
        <v>780</v>
      </c>
      <c r="F1241" s="34">
        <v>60000</v>
      </c>
      <c r="G1241" s="34">
        <v>52000</v>
      </c>
      <c r="H1241" s="35" t="s">
        <v>2142</v>
      </c>
    </row>
    <row r="1242" spans="1:8" ht="27" customHeight="1" x14ac:dyDescent="0.2">
      <c r="A1242" s="31" t="s">
        <v>2133</v>
      </c>
      <c r="B1242" s="32" t="s">
        <v>2134</v>
      </c>
      <c r="C1242" s="32" t="s">
        <v>782</v>
      </c>
      <c r="D1242" s="32" t="s">
        <v>839</v>
      </c>
      <c r="E1242" s="33" t="s">
        <v>784</v>
      </c>
      <c r="F1242" s="34">
        <v>400000</v>
      </c>
      <c r="G1242" s="34">
        <v>400000</v>
      </c>
      <c r="H1242" s="35" t="s">
        <v>2143</v>
      </c>
    </row>
    <row r="1243" spans="1:8" ht="27" customHeight="1" x14ac:dyDescent="0.2">
      <c r="A1243" s="31" t="s">
        <v>2144</v>
      </c>
      <c r="B1243" s="32" t="s">
        <v>2145</v>
      </c>
      <c r="C1243" s="32" t="s">
        <v>763</v>
      </c>
      <c r="D1243" s="32" t="s">
        <v>897</v>
      </c>
      <c r="E1243" s="33" t="s">
        <v>764</v>
      </c>
      <c r="F1243" s="34">
        <v>650338</v>
      </c>
      <c r="G1243" s="34">
        <v>650450</v>
      </c>
      <c r="H1243" s="35" t="s">
        <v>2146</v>
      </c>
    </row>
    <row r="1244" spans="1:8" ht="27" customHeight="1" x14ac:dyDescent="0.2">
      <c r="A1244" s="31" t="s">
        <v>2144</v>
      </c>
      <c r="B1244" s="32" t="s">
        <v>2145</v>
      </c>
      <c r="C1244" s="32" t="s">
        <v>770</v>
      </c>
      <c r="D1244" s="32" t="s">
        <v>1937</v>
      </c>
      <c r="E1244" s="33" t="s">
        <v>772</v>
      </c>
      <c r="F1244" s="34">
        <v>4143721</v>
      </c>
      <c r="G1244" s="34">
        <v>4144440</v>
      </c>
      <c r="H1244" s="35" t="s">
        <v>2147</v>
      </c>
    </row>
    <row r="1245" spans="1:8" ht="27" customHeight="1" x14ac:dyDescent="0.2">
      <c r="A1245" s="31" t="s">
        <v>2144</v>
      </c>
      <c r="B1245" s="32" t="s">
        <v>2145</v>
      </c>
      <c r="C1245" s="32" t="s">
        <v>860</v>
      </c>
      <c r="D1245" s="32" t="s">
        <v>911</v>
      </c>
      <c r="E1245" s="33" t="s">
        <v>861</v>
      </c>
      <c r="F1245" s="34">
        <v>72239</v>
      </c>
      <c r="G1245" s="34">
        <v>72250</v>
      </c>
      <c r="H1245" s="35" t="s">
        <v>2148</v>
      </c>
    </row>
    <row r="1246" spans="1:8" ht="27" customHeight="1" x14ac:dyDescent="0.2">
      <c r="A1246" s="31" t="s">
        <v>2144</v>
      </c>
      <c r="B1246" s="32" t="s">
        <v>2145</v>
      </c>
      <c r="C1246" s="32" t="s">
        <v>796</v>
      </c>
      <c r="D1246" s="32" t="s">
        <v>2149</v>
      </c>
      <c r="E1246" s="33" t="s">
        <v>772</v>
      </c>
      <c r="F1246" s="34">
        <v>2847247</v>
      </c>
      <c r="G1246" s="34">
        <v>2186650</v>
      </c>
      <c r="H1246" s="35" t="s">
        <v>2150</v>
      </c>
    </row>
    <row r="1247" spans="1:8" ht="27" customHeight="1" x14ac:dyDescent="0.2">
      <c r="A1247" s="31" t="s">
        <v>2144</v>
      </c>
      <c r="B1247" s="32" t="s">
        <v>2145</v>
      </c>
      <c r="C1247" s="32" t="s">
        <v>779</v>
      </c>
      <c r="D1247" s="32" t="s">
        <v>876</v>
      </c>
      <c r="E1247" s="33" t="s">
        <v>780</v>
      </c>
      <c r="F1247" s="34">
        <v>333652</v>
      </c>
      <c r="G1247" s="34">
        <v>330000</v>
      </c>
      <c r="H1247" s="35" t="s">
        <v>2151</v>
      </c>
    </row>
    <row r="1248" spans="1:8" ht="27" customHeight="1" x14ac:dyDescent="0.2">
      <c r="A1248" s="31" t="s">
        <v>2152</v>
      </c>
      <c r="B1248" s="32" t="s">
        <v>2153</v>
      </c>
      <c r="C1248" s="32" t="s">
        <v>763</v>
      </c>
      <c r="D1248" s="32" t="s">
        <v>816</v>
      </c>
      <c r="E1248" s="33" t="s">
        <v>764</v>
      </c>
      <c r="F1248" s="34">
        <v>51401</v>
      </c>
      <c r="G1248" s="34">
        <v>51401</v>
      </c>
      <c r="H1248" s="35" t="s">
        <v>859</v>
      </c>
    </row>
    <row r="1249" spans="1:8" ht="27" customHeight="1" x14ac:dyDescent="0.2">
      <c r="A1249" s="31" t="s">
        <v>2152</v>
      </c>
      <c r="B1249" s="32" t="s">
        <v>2153</v>
      </c>
      <c r="C1249" s="32" t="s">
        <v>766</v>
      </c>
      <c r="D1249" s="32" t="s">
        <v>1301</v>
      </c>
      <c r="E1249" s="33" t="s">
        <v>768</v>
      </c>
      <c r="F1249" s="34">
        <v>23991</v>
      </c>
      <c r="G1249" s="34">
        <v>23991</v>
      </c>
      <c r="H1249" s="35" t="s">
        <v>859</v>
      </c>
    </row>
    <row r="1250" spans="1:8" ht="27" customHeight="1" x14ac:dyDescent="0.2">
      <c r="A1250" s="31" t="s">
        <v>2152</v>
      </c>
      <c r="B1250" s="32" t="s">
        <v>2153</v>
      </c>
      <c r="C1250" s="32" t="s">
        <v>770</v>
      </c>
      <c r="D1250" s="32" t="s">
        <v>2154</v>
      </c>
      <c r="E1250" s="33" t="s">
        <v>772</v>
      </c>
      <c r="F1250" s="34">
        <v>1481987</v>
      </c>
      <c r="G1250" s="34">
        <v>1399607</v>
      </c>
      <c r="H1250" s="35" t="s">
        <v>2155</v>
      </c>
    </row>
    <row r="1251" spans="1:8" ht="27" customHeight="1" x14ac:dyDescent="0.2">
      <c r="A1251" s="31" t="s">
        <v>2152</v>
      </c>
      <c r="B1251" s="32" t="s">
        <v>2153</v>
      </c>
      <c r="C1251" s="32" t="s">
        <v>884</v>
      </c>
      <c r="D1251" s="32" t="s">
        <v>2156</v>
      </c>
      <c r="E1251" s="33" t="s">
        <v>885</v>
      </c>
      <c r="F1251" s="34">
        <v>2836</v>
      </c>
      <c r="G1251" s="34">
        <v>2836</v>
      </c>
      <c r="H1251" s="35" t="s">
        <v>859</v>
      </c>
    </row>
    <row r="1252" spans="1:8" ht="27" customHeight="1" x14ac:dyDescent="0.2">
      <c r="A1252" s="31" t="s">
        <v>2152</v>
      </c>
      <c r="B1252" s="32" t="s">
        <v>2153</v>
      </c>
      <c r="C1252" s="32" t="s">
        <v>773</v>
      </c>
      <c r="D1252" s="32" t="s">
        <v>1025</v>
      </c>
      <c r="E1252" s="33" t="s">
        <v>775</v>
      </c>
      <c r="F1252" s="34">
        <v>5730</v>
      </c>
      <c r="G1252" s="34">
        <v>5730</v>
      </c>
      <c r="H1252" s="35" t="s">
        <v>859</v>
      </c>
    </row>
    <row r="1253" spans="1:8" ht="27" customHeight="1" x14ac:dyDescent="0.2">
      <c r="A1253" s="31" t="s">
        <v>2152</v>
      </c>
      <c r="B1253" s="32" t="s">
        <v>2153</v>
      </c>
      <c r="C1253" s="32" t="s">
        <v>796</v>
      </c>
      <c r="D1253" s="32" t="s">
        <v>2157</v>
      </c>
      <c r="E1253" s="33" t="s">
        <v>823</v>
      </c>
      <c r="F1253" s="34">
        <v>301426</v>
      </c>
      <c r="G1253" s="34">
        <v>301426</v>
      </c>
      <c r="H1253" s="35" t="s">
        <v>859</v>
      </c>
    </row>
    <row r="1254" spans="1:8" ht="27" customHeight="1" x14ac:dyDescent="0.2">
      <c r="A1254" s="31" t="s">
        <v>2152</v>
      </c>
      <c r="B1254" s="32" t="s">
        <v>2153</v>
      </c>
      <c r="C1254" s="32" t="s">
        <v>776</v>
      </c>
      <c r="D1254" s="32" t="s">
        <v>914</v>
      </c>
      <c r="E1254" s="33" t="s">
        <v>777</v>
      </c>
      <c r="F1254" s="34">
        <v>150336</v>
      </c>
      <c r="G1254" s="34">
        <v>150336</v>
      </c>
      <c r="H1254" s="35" t="s">
        <v>2158</v>
      </c>
    </row>
    <row r="1255" spans="1:8" ht="27" customHeight="1" x14ac:dyDescent="0.2">
      <c r="A1255" s="31" t="s">
        <v>2152</v>
      </c>
      <c r="B1255" s="32" t="s">
        <v>2153</v>
      </c>
      <c r="C1255" s="32" t="s">
        <v>779</v>
      </c>
      <c r="D1255" s="32" t="s">
        <v>876</v>
      </c>
      <c r="E1255" s="33" t="s">
        <v>780</v>
      </c>
      <c r="F1255" s="34">
        <v>92654</v>
      </c>
      <c r="G1255" s="34">
        <v>92654</v>
      </c>
      <c r="H1255" s="35" t="s">
        <v>2159</v>
      </c>
    </row>
    <row r="1256" spans="1:8" ht="27" customHeight="1" x14ac:dyDescent="0.2">
      <c r="A1256" s="31" t="s">
        <v>2152</v>
      </c>
      <c r="B1256" s="32" t="s">
        <v>2153</v>
      </c>
      <c r="C1256" s="32" t="s">
        <v>782</v>
      </c>
      <c r="D1256" s="32" t="s">
        <v>813</v>
      </c>
      <c r="E1256" s="33" t="s">
        <v>784</v>
      </c>
      <c r="F1256" s="34">
        <v>75091</v>
      </c>
      <c r="G1256" s="34">
        <v>75091</v>
      </c>
      <c r="H1256" s="35" t="s">
        <v>859</v>
      </c>
    </row>
    <row r="1257" spans="1:8" ht="27" customHeight="1" x14ac:dyDescent="0.2">
      <c r="A1257" s="31" t="s">
        <v>2160</v>
      </c>
      <c r="B1257" s="32" t="s">
        <v>2161</v>
      </c>
      <c r="C1257" s="32" t="s">
        <v>763</v>
      </c>
      <c r="D1257" s="32" t="s">
        <v>1849</v>
      </c>
      <c r="E1257" s="33" t="s">
        <v>764</v>
      </c>
      <c r="F1257" s="34">
        <v>435720</v>
      </c>
      <c r="G1257" s="34">
        <v>326527</v>
      </c>
      <c r="H1257" s="35" t="s">
        <v>2162</v>
      </c>
    </row>
    <row r="1258" spans="1:8" ht="27" customHeight="1" x14ac:dyDescent="0.2">
      <c r="A1258" s="31" t="s">
        <v>2160</v>
      </c>
      <c r="B1258" s="32" t="s">
        <v>2161</v>
      </c>
      <c r="C1258" s="32" t="s">
        <v>763</v>
      </c>
      <c r="D1258" s="32" t="s">
        <v>2163</v>
      </c>
      <c r="E1258" s="33" t="s">
        <v>764</v>
      </c>
      <c r="F1258" s="34">
        <v>403906</v>
      </c>
      <c r="G1258" s="34">
        <v>303906</v>
      </c>
      <c r="H1258" s="35" t="s">
        <v>2163</v>
      </c>
    </row>
    <row r="1259" spans="1:8" ht="27" customHeight="1" x14ac:dyDescent="0.2">
      <c r="A1259" s="31" t="s">
        <v>2160</v>
      </c>
      <c r="B1259" s="32" t="s">
        <v>2161</v>
      </c>
      <c r="C1259" s="32" t="s">
        <v>763</v>
      </c>
      <c r="D1259" s="32" t="s">
        <v>2164</v>
      </c>
      <c r="E1259" s="33" t="s">
        <v>764</v>
      </c>
      <c r="F1259" s="34">
        <v>850497</v>
      </c>
      <c r="G1259" s="34">
        <v>850497</v>
      </c>
      <c r="H1259" s="35" t="s">
        <v>2165</v>
      </c>
    </row>
    <row r="1260" spans="1:8" ht="27" customHeight="1" x14ac:dyDescent="0.2">
      <c r="A1260" s="31" t="s">
        <v>2160</v>
      </c>
      <c r="B1260" s="32" t="s">
        <v>2161</v>
      </c>
      <c r="C1260" s="32" t="s">
        <v>770</v>
      </c>
      <c r="D1260" s="32" t="s">
        <v>820</v>
      </c>
      <c r="E1260" s="33" t="s">
        <v>772</v>
      </c>
      <c r="F1260" s="34">
        <v>339461</v>
      </c>
      <c r="G1260" s="34">
        <v>319461</v>
      </c>
      <c r="H1260" s="35" t="s">
        <v>2166</v>
      </c>
    </row>
    <row r="1261" spans="1:8" ht="27" customHeight="1" x14ac:dyDescent="0.2">
      <c r="A1261" s="31" t="s">
        <v>2160</v>
      </c>
      <c r="B1261" s="32" t="s">
        <v>2161</v>
      </c>
      <c r="C1261" s="32" t="s">
        <v>796</v>
      </c>
      <c r="D1261" s="32" t="s">
        <v>811</v>
      </c>
      <c r="E1261" s="33" t="s">
        <v>823</v>
      </c>
      <c r="F1261" s="34">
        <v>643337</v>
      </c>
      <c r="G1261" s="34">
        <v>503337</v>
      </c>
      <c r="H1261" s="35" t="s">
        <v>2167</v>
      </c>
    </row>
    <row r="1262" spans="1:8" ht="27" customHeight="1" x14ac:dyDescent="0.2">
      <c r="A1262" s="31" t="s">
        <v>2160</v>
      </c>
      <c r="B1262" s="32" t="s">
        <v>2161</v>
      </c>
      <c r="C1262" s="32" t="s">
        <v>779</v>
      </c>
      <c r="D1262" s="32" t="s">
        <v>876</v>
      </c>
      <c r="E1262" s="33" t="s">
        <v>780</v>
      </c>
      <c r="F1262" s="34">
        <v>736465</v>
      </c>
      <c r="G1262" s="34">
        <v>716465</v>
      </c>
      <c r="H1262" s="35" t="s">
        <v>2168</v>
      </c>
    </row>
    <row r="1263" spans="1:8" ht="27" customHeight="1" x14ac:dyDescent="0.2">
      <c r="A1263" s="31" t="s">
        <v>2160</v>
      </c>
      <c r="B1263" s="32" t="s">
        <v>2161</v>
      </c>
      <c r="C1263" s="32" t="s">
        <v>782</v>
      </c>
      <c r="D1263" s="32" t="s">
        <v>813</v>
      </c>
      <c r="E1263" s="33" t="s">
        <v>784</v>
      </c>
      <c r="F1263" s="34">
        <v>677208</v>
      </c>
      <c r="G1263" s="34">
        <v>629908</v>
      </c>
      <c r="H1263" s="35" t="s">
        <v>2169</v>
      </c>
    </row>
    <row r="1264" spans="1:8" ht="27" customHeight="1" x14ac:dyDescent="0.2">
      <c r="A1264" s="31" t="s">
        <v>2170</v>
      </c>
      <c r="B1264" s="32" t="s">
        <v>2171</v>
      </c>
      <c r="C1264" s="32" t="s">
        <v>770</v>
      </c>
      <c r="D1264" s="32" t="s">
        <v>2172</v>
      </c>
      <c r="E1264" s="33" t="s">
        <v>772</v>
      </c>
      <c r="F1264" s="34">
        <v>739891</v>
      </c>
      <c r="G1264" s="34">
        <v>725000</v>
      </c>
      <c r="H1264" s="35" t="s">
        <v>2173</v>
      </c>
    </row>
    <row r="1265" spans="1:8" ht="27" customHeight="1" x14ac:dyDescent="0.2">
      <c r="A1265" s="31" t="s">
        <v>2170</v>
      </c>
      <c r="B1265" s="32" t="s">
        <v>2171</v>
      </c>
      <c r="C1265" s="32" t="s">
        <v>796</v>
      </c>
      <c r="D1265" s="32" t="s">
        <v>1576</v>
      </c>
      <c r="E1265" s="33" t="s">
        <v>823</v>
      </c>
      <c r="F1265" s="34">
        <v>130772</v>
      </c>
      <c r="G1265" s="34">
        <v>130772</v>
      </c>
      <c r="H1265" s="35" t="s">
        <v>2174</v>
      </c>
    </row>
    <row r="1266" spans="1:8" ht="27" customHeight="1" x14ac:dyDescent="0.2">
      <c r="A1266" s="31" t="s">
        <v>2170</v>
      </c>
      <c r="B1266" s="32" t="s">
        <v>2171</v>
      </c>
      <c r="C1266" s="32" t="s">
        <v>779</v>
      </c>
      <c r="D1266" s="32" t="s">
        <v>826</v>
      </c>
      <c r="E1266" s="33" t="s">
        <v>780</v>
      </c>
      <c r="F1266" s="34">
        <v>665915</v>
      </c>
      <c r="G1266" s="34">
        <v>645915</v>
      </c>
      <c r="H1266" s="35" t="s">
        <v>2175</v>
      </c>
    </row>
    <row r="1267" spans="1:8" ht="27" customHeight="1" x14ac:dyDescent="0.2">
      <c r="A1267" s="31" t="s">
        <v>2176</v>
      </c>
      <c r="B1267" s="32" t="s">
        <v>2177</v>
      </c>
      <c r="C1267" s="32" t="s">
        <v>763</v>
      </c>
      <c r="D1267" s="32" t="s">
        <v>816</v>
      </c>
      <c r="E1267" s="33" t="s">
        <v>764</v>
      </c>
      <c r="F1267" s="34">
        <v>935323</v>
      </c>
      <c r="G1267" s="34">
        <v>1250000</v>
      </c>
      <c r="H1267" s="35" t="s">
        <v>1739</v>
      </c>
    </row>
    <row r="1268" spans="1:8" ht="27" customHeight="1" x14ac:dyDescent="0.2">
      <c r="A1268" s="31" t="s">
        <v>2176</v>
      </c>
      <c r="B1268" s="32" t="s">
        <v>2177</v>
      </c>
      <c r="C1268" s="32" t="s">
        <v>766</v>
      </c>
      <c r="D1268" s="32" t="s">
        <v>1876</v>
      </c>
      <c r="E1268" s="33" t="s">
        <v>768</v>
      </c>
      <c r="F1268" s="34">
        <v>474259</v>
      </c>
      <c r="G1268" s="34">
        <v>500000</v>
      </c>
      <c r="H1268" s="35" t="s">
        <v>2178</v>
      </c>
    </row>
    <row r="1269" spans="1:8" ht="27" customHeight="1" x14ac:dyDescent="0.2">
      <c r="A1269" s="31" t="s">
        <v>2176</v>
      </c>
      <c r="B1269" s="32" t="s">
        <v>2177</v>
      </c>
      <c r="C1269" s="32" t="s">
        <v>770</v>
      </c>
      <c r="D1269" s="32" t="s">
        <v>794</v>
      </c>
      <c r="E1269" s="33" t="s">
        <v>772</v>
      </c>
      <c r="F1269" s="34">
        <v>895325</v>
      </c>
      <c r="G1269" s="34">
        <v>750000</v>
      </c>
      <c r="H1269" s="35" t="s">
        <v>1739</v>
      </c>
    </row>
    <row r="1270" spans="1:8" ht="27" customHeight="1" x14ac:dyDescent="0.2">
      <c r="A1270" s="31" t="s">
        <v>2176</v>
      </c>
      <c r="B1270" s="32" t="s">
        <v>2177</v>
      </c>
      <c r="C1270" s="32" t="s">
        <v>796</v>
      </c>
      <c r="D1270" s="32" t="s">
        <v>822</v>
      </c>
      <c r="E1270" s="33" t="s">
        <v>823</v>
      </c>
      <c r="F1270" s="34">
        <v>1790273</v>
      </c>
      <c r="G1270" s="34">
        <v>1650000</v>
      </c>
      <c r="H1270" s="35" t="s">
        <v>1739</v>
      </c>
    </row>
    <row r="1271" spans="1:8" ht="27" customHeight="1" x14ac:dyDescent="0.2">
      <c r="A1271" s="31" t="s">
        <v>2176</v>
      </c>
      <c r="B1271" s="32" t="s">
        <v>2177</v>
      </c>
      <c r="C1271" s="32" t="s">
        <v>779</v>
      </c>
      <c r="D1271" s="32" t="s">
        <v>802</v>
      </c>
      <c r="E1271" s="33" t="s">
        <v>780</v>
      </c>
      <c r="F1271" s="34">
        <v>141214</v>
      </c>
      <c r="G1271" s="34">
        <v>142000</v>
      </c>
      <c r="H1271" s="35" t="s">
        <v>2179</v>
      </c>
    </row>
    <row r="1272" spans="1:8" ht="27" customHeight="1" x14ac:dyDescent="0.2">
      <c r="A1272" s="31" t="s">
        <v>2180</v>
      </c>
      <c r="B1272" s="32" t="s">
        <v>2181</v>
      </c>
      <c r="C1272" s="32" t="s">
        <v>763</v>
      </c>
      <c r="D1272" s="32" t="s">
        <v>816</v>
      </c>
      <c r="E1272" s="33" t="s">
        <v>764</v>
      </c>
      <c r="F1272" s="34">
        <v>507939</v>
      </c>
      <c r="G1272" s="34">
        <v>507939</v>
      </c>
      <c r="H1272" s="35" t="s">
        <v>2182</v>
      </c>
    </row>
    <row r="1273" spans="1:8" ht="27" customHeight="1" x14ac:dyDescent="0.2">
      <c r="A1273" s="31" t="s">
        <v>2180</v>
      </c>
      <c r="B1273" s="32" t="s">
        <v>2181</v>
      </c>
      <c r="C1273" s="32" t="s">
        <v>766</v>
      </c>
      <c r="D1273" s="32" t="s">
        <v>818</v>
      </c>
      <c r="E1273" s="33" t="s">
        <v>768</v>
      </c>
      <c r="F1273" s="34">
        <v>181099</v>
      </c>
      <c r="G1273" s="34">
        <v>0</v>
      </c>
      <c r="H1273" s="35" t="s">
        <v>765</v>
      </c>
    </row>
    <row r="1274" spans="1:8" ht="27" customHeight="1" x14ac:dyDescent="0.2">
      <c r="A1274" s="31" t="s">
        <v>2180</v>
      </c>
      <c r="B1274" s="32" t="s">
        <v>2181</v>
      </c>
      <c r="C1274" s="32" t="s">
        <v>770</v>
      </c>
      <c r="D1274" s="32" t="s">
        <v>1720</v>
      </c>
      <c r="E1274" s="33" t="s">
        <v>772</v>
      </c>
      <c r="F1274" s="34">
        <v>3045203</v>
      </c>
      <c r="G1274" s="34">
        <v>3045203</v>
      </c>
      <c r="H1274" s="35" t="s">
        <v>2183</v>
      </c>
    </row>
    <row r="1275" spans="1:8" ht="27" customHeight="1" x14ac:dyDescent="0.2">
      <c r="A1275" s="31" t="s">
        <v>2180</v>
      </c>
      <c r="B1275" s="32" t="s">
        <v>2181</v>
      </c>
      <c r="C1275" s="32" t="s">
        <v>796</v>
      </c>
      <c r="D1275" s="32" t="s">
        <v>961</v>
      </c>
      <c r="E1275" s="33" t="s">
        <v>823</v>
      </c>
      <c r="F1275" s="34">
        <v>1145174</v>
      </c>
      <c r="G1275" s="34">
        <v>1147174</v>
      </c>
      <c r="H1275" s="35" t="s">
        <v>2184</v>
      </c>
    </row>
    <row r="1276" spans="1:8" ht="27" customHeight="1" x14ac:dyDescent="0.2">
      <c r="A1276" s="31" t="s">
        <v>2180</v>
      </c>
      <c r="B1276" s="32" t="s">
        <v>2181</v>
      </c>
      <c r="C1276" s="32" t="s">
        <v>779</v>
      </c>
      <c r="D1276" s="32" t="s">
        <v>826</v>
      </c>
      <c r="E1276" s="33" t="s">
        <v>780</v>
      </c>
      <c r="F1276" s="34">
        <v>914400</v>
      </c>
      <c r="G1276" s="34">
        <v>914400</v>
      </c>
      <c r="H1276" s="35" t="s">
        <v>2185</v>
      </c>
    </row>
    <row r="1277" spans="1:8" ht="27" customHeight="1" x14ac:dyDescent="0.2">
      <c r="A1277" s="31" t="s">
        <v>2180</v>
      </c>
      <c r="B1277" s="32" t="s">
        <v>2181</v>
      </c>
      <c r="C1277" s="32" t="s">
        <v>782</v>
      </c>
      <c r="D1277" s="32" t="s">
        <v>2186</v>
      </c>
      <c r="E1277" s="33" t="s">
        <v>784</v>
      </c>
      <c r="F1277" s="34">
        <v>348259</v>
      </c>
      <c r="G1277" s="34">
        <v>348259</v>
      </c>
      <c r="H1277" s="35" t="s">
        <v>2187</v>
      </c>
    </row>
    <row r="1278" spans="1:8" ht="27" customHeight="1" x14ac:dyDescent="0.2">
      <c r="A1278" s="31" t="s">
        <v>2188</v>
      </c>
      <c r="B1278" s="32" t="s">
        <v>2189</v>
      </c>
      <c r="C1278" s="32" t="s">
        <v>763</v>
      </c>
      <c r="D1278" s="32" t="s">
        <v>816</v>
      </c>
      <c r="E1278" s="33" t="s">
        <v>764</v>
      </c>
      <c r="F1278" s="34">
        <v>3004951</v>
      </c>
      <c r="G1278" s="34">
        <v>4696444</v>
      </c>
      <c r="H1278" s="35" t="s">
        <v>1547</v>
      </c>
    </row>
    <row r="1279" spans="1:8" ht="27" customHeight="1" x14ac:dyDescent="0.2">
      <c r="A1279" s="31" t="s">
        <v>2188</v>
      </c>
      <c r="B1279" s="32" t="s">
        <v>2189</v>
      </c>
      <c r="C1279" s="32" t="s">
        <v>770</v>
      </c>
      <c r="D1279" s="32" t="s">
        <v>810</v>
      </c>
      <c r="E1279" s="33" t="s">
        <v>772</v>
      </c>
      <c r="F1279" s="34">
        <v>2403592</v>
      </c>
      <c r="G1279" s="34">
        <v>2330749</v>
      </c>
      <c r="H1279" s="35" t="s">
        <v>1547</v>
      </c>
    </row>
    <row r="1280" spans="1:8" ht="27" customHeight="1" x14ac:dyDescent="0.2">
      <c r="A1280" s="31" t="s">
        <v>2188</v>
      </c>
      <c r="B1280" s="32" t="s">
        <v>2189</v>
      </c>
      <c r="C1280" s="32" t="s">
        <v>796</v>
      </c>
      <c r="D1280" s="32" t="s">
        <v>2190</v>
      </c>
      <c r="E1280" s="33" t="s">
        <v>823</v>
      </c>
      <c r="F1280" s="34">
        <v>595148</v>
      </c>
      <c r="G1280" s="34">
        <v>595681</v>
      </c>
      <c r="H1280" s="35" t="s">
        <v>2191</v>
      </c>
    </row>
    <row r="1281" spans="1:8" ht="27" customHeight="1" x14ac:dyDescent="0.2">
      <c r="A1281" s="31" t="s">
        <v>2188</v>
      </c>
      <c r="B1281" s="32" t="s">
        <v>2189</v>
      </c>
      <c r="C1281" s="32" t="s">
        <v>779</v>
      </c>
      <c r="D1281" s="32" t="s">
        <v>1126</v>
      </c>
      <c r="E1281" s="33" t="s">
        <v>780</v>
      </c>
      <c r="F1281" s="34">
        <v>59603</v>
      </c>
      <c r="G1281" s="34">
        <v>59656</v>
      </c>
      <c r="H1281" s="35" t="s">
        <v>1547</v>
      </c>
    </row>
    <row r="1282" spans="1:8" ht="27" customHeight="1" x14ac:dyDescent="0.2">
      <c r="A1282" s="31" t="s">
        <v>2188</v>
      </c>
      <c r="B1282" s="32" t="s">
        <v>2189</v>
      </c>
      <c r="C1282" s="32" t="s">
        <v>782</v>
      </c>
      <c r="D1282" s="32" t="s">
        <v>964</v>
      </c>
      <c r="E1282" s="33" t="s">
        <v>784</v>
      </c>
      <c r="F1282" s="34">
        <v>503936</v>
      </c>
      <c r="G1282" s="34">
        <v>504389</v>
      </c>
      <c r="H1282" s="35" t="s">
        <v>2192</v>
      </c>
    </row>
    <row r="1283" spans="1:8" ht="27" customHeight="1" x14ac:dyDescent="0.2">
      <c r="A1283" s="31" t="s">
        <v>2193</v>
      </c>
      <c r="B1283" s="32" t="s">
        <v>2194</v>
      </c>
      <c r="C1283" s="32" t="s">
        <v>763</v>
      </c>
      <c r="D1283" s="32" t="s">
        <v>931</v>
      </c>
      <c r="E1283" s="33" t="s">
        <v>764</v>
      </c>
      <c r="F1283" s="34">
        <v>500000</v>
      </c>
      <c r="G1283" s="34">
        <v>500000</v>
      </c>
      <c r="H1283" s="35" t="s">
        <v>859</v>
      </c>
    </row>
    <row r="1284" spans="1:8" ht="27" customHeight="1" x14ac:dyDescent="0.2">
      <c r="A1284" s="31" t="s">
        <v>2193</v>
      </c>
      <c r="B1284" s="32" t="s">
        <v>2194</v>
      </c>
      <c r="C1284" s="32" t="s">
        <v>770</v>
      </c>
      <c r="D1284" s="32" t="s">
        <v>794</v>
      </c>
      <c r="E1284" s="33" t="s">
        <v>772</v>
      </c>
      <c r="F1284" s="34">
        <v>169006</v>
      </c>
      <c r="G1284" s="34">
        <v>169006</v>
      </c>
      <c r="H1284" s="35" t="s">
        <v>859</v>
      </c>
    </row>
    <row r="1285" spans="1:8" ht="27" customHeight="1" x14ac:dyDescent="0.2">
      <c r="A1285" s="31" t="s">
        <v>2193</v>
      </c>
      <c r="B1285" s="32" t="s">
        <v>2194</v>
      </c>
      <c r="C1285" s="32" t="s">
        <v>844</v>
      </c>
      <c r="D1285" s="32" t="s">
        <v>844</v>
      </c>
      <c r="E1285" s="33" t="s">
        <v>846</v>
      </c>
      <c r="F1285" s="34">
        <v>262360</v>
      </c>
      <c r="G1285" s="34">
        <v>262360</v>
      </c>
      <c r="H1285" s="35" t="s">
        <v>859</v>
      </c>
    </row>
    <row r="1286" spans="1:8" ht="27" customHeight="1" x14ac:dyDescent="0.2">
      <c r="A1286" s="31" t="s">
        <v>2193</v>
      </c>
      <c r="B1286" s="32" t="s">
        <v>2194</v>
      </c>
      <c r="C1286" s="32" t="s">
        <v>796</v>
      </c>
      <c r="D1286" s="32" t="s">
        <v>796</v>
      </c>
      <c r="E1286" s="33" t="s">
        <v>823</v>
      </c>
      <c r="F1286" s="34">
        <v>2379942</v>
      </c>
      <c r="G1286" s="34">
        <v>2229742</v>
      </c>
      <c r="H1286" s="35" t="s">
        <v>2195</v>
      </c>
    </row>
    <row r="1287" spans="1:8" ht="27" customHeight="1" x14ac:dyDescent="0.2">
      <c r="A1287" s="31" t="s">
        <v>2193</v>
      </c>
      <c r="B1287" s="32" t="s">
        <v>2194</v>
      </c>
      <c r="C1287" s="32" t="s">
        <v>776</v>
      </c>
      <c r="D1287" s="32" t="s">
        <v>776</v>
      </c>
      <c r="E1287" s="33" t="s">
        <v>777</v>
      </c>
      <c r="F1287" s="34">
        <v>47162</v>
      </c>
      <c r="G1287" s="34">
        <v>47162</v>
      </c>
      <c r="H1287" s="35" t="s">
        <v>2196</v>
      </c>
    </row>
    <row r="1288" spans="1:8" ht="27" customHeight="1" x14ac:dyDescent="0.2">
      <c r="A1288" s="31" t="s">
        <v>2193</v>
      </c>
      <c r="B1288" s="32" t="s">
        <v>2194</v>
      </c>
      <c r="C1288" s="32" t="s">
        <v>779</v>
      </c>
      <c r="D1288" s="32" t="s">
        <v>779</v>
      </c>
      <c r="E1288" s="33" t="s">
        <v>780</v>
      </c>
      <c r="F1288" s="34">
        <v>407256</v>
      </c>
      <c r="G1288" s="34">
        <v>407256</v>
      </c>
      <c r="H1288" s="35" t="s">
        <v>859</v>
      </c>
    </row>
    <row r="1289" spans="1:8" ht="27" customHeight="1" x14ac:dyDescent="0.2">
      <c r="A1289" s="31" t="s">
        <v>2193</v>
      </c>
      <c r="B1289" s="32" t="s">
        <v>2194</v>
      </c>
      <c r="C1289" s="32" t="s">
        <v>782</v>
      </c>
      <c r="D1289" s="32" t="s">
        <v>782</v>
      </c>
      <c r="E1289" s="33" t="s">
        <v>784</v>
      </c>
      <c r="F1289" s="34">
        <v>303829</v>
      </c>
      <c r="G1289" s="34">
        <v>303829</v>
      </c>
      <c r="H1289" s="35" t="s">
        <v>859</v>
      </c>
    </row>
    <row r="1290" spans="1:8" ht="27" customHeight="1" x14ac:dyDescent="0.2">
      <c r="A1290" s="31" t="s">
        <v>2197</v>
      </c>
      <c r="B1290" s="32" t="s">
        <v>2198</v>
      </c>
      <c r="C1290" s="32" t="s">
        <v>770</v>
      </c>
      <c r="D1290" s="32" t="s">
        <v>1260</v>
      </c>
      <c r="E1290" s="33" t="s">
        <v>772</v>
      </c>
      <c r="F1290" s="34">
        <v>741696</v>
      </c>
      <c r="G1290" s="34">
        <v>710861</v>
      </c>
      <c r="H1290" s="35" t="s">
        <v>2199</v>
      </c>
    </row>
    <row r="1291" spans="1:8" ht="27" customHeight="1" x14ac:dyDescent="0.2">
      <c r="A1291" s="31" t="s">
        <v>2197</v>
      </c>
      <c r="B1291" s="32" t="s">
        <v>2198</v>
      </c>
      <c r="C1291" s="32" t="s">
        <v>773</v>
      </c>
      <c r="D1291" s="32" t="s">
        <v>2200</v>
      </c>
      <c r="E1291" s="33" t="s">
        <v>775</v>
      </c>
      <c r="F1291" s="34">
        <v>147356</v>
      </c>
      <c r="G1291" s="34">
        <v>147449</v>
      </c>
      <c r="H1291" s="35" t="s">
        <v>2201</v>
      </c>
    </row>
    <row r="1292" spans="1:8" ht="27" customHeight="1" x14ac:dyDescent="0.2">
      <c r="A1292" s="31" t="s">
        <v>2197</v>
      </c>
      <c r="B1292" s="32" t="s">
        <v>2198</v>
      </c>
      <c r="C1292" s="32" t="s">
        <v>860</v>
      </c>
      <c r="D1292" s="32" t="s">
        <v>911</v>
      </c>
      <c r="E1292" s="33" t="s">
        <v>861</v>
      </c>
      <c r="F1292" s="34">
        <v>235643</v>
      </c>
      <c r="G1292" s="34">
        <v>235792</v>
      </c>
      <c r="H1292" s="35" t="s">
        <v>2202</v>
      </c>
    </row>
    <row r="1293" spans="1:8" ht="27" customHeight="1" x14ac:dyDescent="0.2">
      <c r="A1293" s="31" t="s">
        <v>2197</v>
      </c>
      <c r="B1293" s="32" t="s">
        <v>2198</v>
      </c>
      <c r="C1293" s="32" t="s">
        <v>796</v>
      </c>
      <c r="D1293" s="32" t="s">
        <v>1095</v>
      </c>
      <c r="E1293" s="33" t="s">
        <v>772</v>
      </c>
      <c r="F1293" s="34">
        <v>1171350</v>
      </c>
      <c r="G1293" s="34">
        <v>1159592</v>
      </c>
      <c r="H1293" s="35" t="s">
        <v>2203</v>
      </c>
    </row>
    <row r="1294" spans="1:8" ht="27" customHeight="1" x14ac:dyDescent="0.2">
      <c r="A1294" s="31" t="s">
        <v>2197</v>
      </c>
      <c r="B1294" s="32" t="s">
        <v>2198</v>
      </c>
      <c r="C1294" s="32" t="s">
        <v>776</v>
      </c>
      <c r="D1294" s="32" t="s">
        <v>812</v>
      </c>
      <c r="E1294" s="33" t="s">
        <v>777</v>
      </c>
      <c r="F1294" s="34">
        <v>497791</v>
      </c>
      <c r="G1294" s="34">
        <v>498107</v>
      </c>
      <c r="H1294" s="35" t="s">
        <v>2204</v>
      </c>
    </row>
    <row r="1295" spans="1:8" ht="27" customHeight="1" x14ac:dyDescent="0.2">
      <c r="A1295" s="31" t="s">
        <v>2197</v>
      </c>
      <c r="B1295" s="32" t="s">
        <v>2198</v>
      </c>
      <c r="C1295" s="32" t="s">
        <v>779</v>
      </c>
      <c r="D1295" s="32" t="s">
        <v>2205</v>
      </c>
      <c r="E1295" s="33" t="s">
        <v>780</v>
      </c>
      <c r="F1295" s="34">
        <v>610810</v>
      </c>
      <c r="G1295" s="34">
        <v>611197</v>
      </c>
      <c r="H1295" s="35" t="s">
        <v>2201</v>
      </c>
    </row>
    <row r="1296" spans="1:8" ht="27" customHeight="1" x14ac:dyDescent="0.2">
      <c r="A1296" s="31" t="s">
        <v>2197</v>
      </c>
      <c r="B1296" s="32" t="s">
        <v>2198</v>
      </c>
      <c r="C1296" s="32" t="s">
        <v>782</v>
      </c>
      <c r="D1296" s="32" t="s">
        <v>2206</v>
      </c>
      <c r="E1296" s="33" t="s">
        <v>784</v>
      </c>
      <c r="F1296" s="34">
        <v>134187</v>
      </c>
      <c r="G1296" s="34">
        <v>174272</v>
      </c>
      <c r="H1296" s="35" t="s">
        <v>2207</v>
      </c>
    </row>
    <row r="1297" spans="1:8" ht="27" customHeight="1" x14ac:dyDescent="0.2">
      <c r="A1297" s="31" t="s">
        <v>2208</v>
      </c>
      <c r="B1297" s="32" t="s">
        <v>2209</v>
      </c>
      <c r="C1297" s="32" t="s">
        <v>763</v>
      </c>
      <c r="D1297" s="32" t="s">
        <v>2210</v>
      </c>
      <c r="E1297" s="33" t="s">
        <v>764</v>
      </c>
      <c r="F1297" s="34">
        <v>50304</v>
      </c>
      <c r="G1297" s="34">
        <v>50304</v>
      </c>
      <c r="H1297" s="35" t="s">
        <v>859</v>
      </c>
    </row>
    <row r="1298" spans="1:8" ht="27" customHeight="1" x14ac:dyDescent="0.2">
      <c r="A1298" s="31" t="s">
        <v>2208</v>
      </c>
      <c r="B1298" s="32" t="s">
        <v>2209</v>
      </c>
      <c r="C1298" s="32" t="s">
        <v>770</v>
      </c>
      <c r="D1298" s="32" t="s">
        <v>1136</v>
      </c>
      <c r="E1298" s="33" t="s">
        <v>772</v>
      </c>
      <c r="F1298" s="34">
        <v>1269568</v>
      </c>
      <c r="G1298" s="34">
        <v>1300000</v>
      </c>
      <c r="H1298" s="35" t="s">
        <v>2211</v>
      </c>
    </row>
    <row r="1299" spans="1:8" ht="27" customHeight="1" x14ac:dyDescent="0.2">
      <c r="A1299" s="31" t="s">
        <v>2208</v>
      </c>
      <c r="B1299" s="32" t="s">
        <v>2209</v>
      </c>
      <c r="C1299" s="32" t="s">
        <v>796</v>
      </c>
      <c r="D1299" s="32" t="s">
        <v>822</v>
      </c>
      <c r="E1299" s="33" t="s">
        <v>772</v>
      </c>
      <c r="F1299" s="34">
        <v>505540</v>
      </c>
      <c r="G1299" s="34">
        <v>505540</v>
      </c>
      <c r="H1299" s="35" t="s">
        <v>2212</v>
      </c>
    </row>
    <row r="1300" spans="1:8" ht="27" customHeight="1" x14ac:dyDescent="0.2">
      <c r="A1300" s="31" t="s">
        <v>2208</v>
      </c>
      <c r="B1300" s="32" t="s">
        <v>2209</v>
      </c>
      <c r="C1300" s="32" t="s">
        <v>776</v>
      </c>
      <c r="D1300" s="32" t="s">
        <v>776</v>
      </c>
      <c r="E1300" s="33" t="s">
        <v>777</v>
      </c>
      <c r="F1300" s="34">
        <v>124772</v>
      </c>
      <c r="G1300" s="34">
        <v>150000</v>
      </c>
      <c r="H1300" s="35" t="s">
        <v>2213</v>
      </c>
    </row>
    <row r="1301" spans="1:8" ht="27" customHeight="1" x14ac:dyDescent="0.2">
      <c r="A1301" s="31" t="s">
        <v>2208</v>
      </c>
      <c r="B1301" s="32" t="s">
        <v>2209</v>
      </c>
      <c r="C1301" s="32" t="s">
        <v>779</v>
      </c>
      <c r="D1301" s="32" t="s">
        <v>802</v>
      </c>
      <c r="E1301" s="33" t="s">
        <v>780</v>
      </c>
      <c r="F1301" s="34">
        <v>198949</v>
      </c>
      <c r="G1301" s="34">
        <v>100000</v>
      </c>
      <c r="H1301" s="35" t="s">
        <v>2214</v>
      </c>
    </row>
    <row r="1302" spans="1:8" ht="27" customHeight="1" x14ac:dyDescent="0.2">
      <c r="A1302" s="31" t="s">
        <v>2208</v>
      </c>
      <c r="B1302" s="32" t="s">
        <v>2209</v>
      </c>
      <c r="C1302" s="32" t="s">
        <v>782</v>
      </c>
      <c r="D1302" s="32" t="s">
        <v>783</v>
      </c>
      <c r="E1302" s="33" t="s">
        <v>784</v>
      </c>
      <c r="F1302" s="34">
        <v>135833</v>
      </c>
      <c r="G1302" s="34">
        <v>235000</v>
      </c>
      <c r="H1302" s="35" t="s">
        <v>2215</v>
      </c>
    </row>
    <row r="1303" spans="1:8" ht="27" customHeight="1" x14ac:dyDescent="0.2">
      <c r="A1303" s="31" t="s">
        <v>2216</v>
      </c>
      <c r="B1303" s="32" t="s">
        <v>331</v>
      </c>
      <c r="C1303" s="32" t="s">
        <v>763</v>
      </c>
      <c r="D1303" s="32" t="s">
        <v>816</v>
      </c>
      <c r="E1303" s="33" t="s">
        <v>764</v>
      </c>
      <c r="F1303" s="34">
        <v>183710</v>
      </c>
      <c r="G1303" s="34">
        <v>183797</v>
      </c>
      <c r="H1303" s="35" t="s">
        <v>2217</v>
      </c>
    </row>
    <row r="1304" spans="1:8" ht="27" customHeight="1" x14ac:dyDescent="0.2">
      <c r="A1304" s="31" t="s">
        <v>2216</v>
      </c>
      <c r="B1304" s="32" t="s">
        <v>331</v>
      </c>
      <c r="C1304" s="32" t="s">
        <v>766</v>
      </c>
      <c r="D1304" s="32" t="s">
        <v>767</v>
      </c>
      <c r="E1304" s="33" t="s">
        <v>768</v>
      </c>
      <c r="F1304" s="34">
        <v>126314</v>
      </c>
      <c r="G1304" s="34">
        <v>126314</v>
      </c>
      <c r="H1304" s="35" t="s">
        <v>2217</v>
      </c>
    </row>
    <row r="1305" spans="1:8" ht="27" customHeight="1" x14ac:dyDescent="0.2">
      <c r="A1305" s="31" t="s">
        <v>2216</v>
      </c>
      <c r="B1305" s="32" t="s">
        <v>331</v>
      </c>
      <c r="C1305" s="32" t="s">
        <v>770</v>
      </c>
      <c r="D1305" s="32" t="s">
        <v>830</v>
      </c>
      <c r="E1305" s="33" t="s">
        <v>772</v>
      </c>
      <c r="F1305" s="34">
        <v>191822</v>
      </c>
      <c r="G1305" s="34">
        <v>191822</v>
      </c>
      <c r="H1305" s="35" t="s">
        <v>2217</v>
      </c>
    </row>
    <row r="1306" spans="1:8" ht="27" customHeight="1" x14ac:dyDescent="0.2">
      <c r="A1306" s="31" t="s">
        <v>2216</v>
      </c>
      <c r="B1306" s="32" t="s">
        <v>331</v>
      </c>
      <c r="C1306" s="32" t="s">
        <v>796</v>
      </c>
      <c r="D1306" s="32" t="s">
        <v>1973</v>
      </c>
      <c r="E1306" s="33" t="s">
        <v>772</v>
      </c>
      <c r="F1306" s="34">
        <v>387532</v>
      </c>
      <c r="G1306" s="34">
        <v>387712</v>
      </c>
      <c r="H1306" s="35" t="s">
        <v>2217</v>
      </c>
    </row>
    <row r="1307" spans="1:8" ht="27" customHeight="1" x14ac:dyDescent="0.2">
      <c r="A1307" s="31" t="s">
        <v>2216</v>
      </c>
      <c r="B1307" s="32" t="s">
        <v>331</v>
      </c>
      <c r="C1307" s="32" t="s">
        <v>779</v>
      </c>
      <c r="D1307" s="32" t="s">
        <v>876</v>
      </c>
      <c r="E1307" s="33" t="s">
        <v>780</v>
      </c>
      <c r="F1307" s="34">
        <v>187394</v>
      </c>
      <c r="G1307" s="34">
        <v>187481</v>
      </c>
      <c r="H1307" s="35" t="s">
        <v>2217</v>
      </c>
    </row>
    <row r="1308" spans="1:8" ht="27" customHeight="1" x14ac:dyDescent="0.2">
      <c r="A1308" s="31" t="s">
        <v>2216</v>
      </c>
      <c r="B1308" s="32" t="s">
        <v>331</v>
      </c>
      <c r="C1308" s="32" t="s">
        <v>782</v>
      </c>
      <c r="D1308" s="32" t="s">
        <v>964</v>
      </c>
      <c r="E1308" s="33" t="s">
        <v>784</v>
      </c>
      <c r="F1308" s="34">
        <v>80774</v>
      </c>
      <c r="G1308" s="34">
        <v>80810</v>
      </c>
      <c r="H1308" s="35" t="s">
        <v>2217</v>
      </c>
    </row>
    <row r="1309" spans="1:8" ht="27" customHeight="1" x14ac:dyDescent="0.2">
      <c r="A1309" s="31" t="s">
        <v>2218</v>
      </c>
      <c r="B1309" s="32" t="s">
        <v>2219</v>
      </c>
      <c r="C1309" s="32" t="s">
        <v>763</v>
      </c>
      <c r="D1309" s="32" t="s">
        <v>763</v>
      </c>
      <c r="E1309" s="33" t="s">
        <v>764</v>
      </c>
      <c r="F1309" s="34">
        <v>83</v>
      </c>
      <c r="G1309" s="34">
        <v>83</v>
      </c>
      <c r="H1309" s="35" t="s">
        <v>2220</v>
      </c>
    </row>
    <row r="1310" spans="1:8" ht="27" customHeight="1" x14ac:dyDescent="0.2">
      <c r="A1310" s="31" t="s">
        <v>2218</v>
      </c>
      <c r="B1310" s="32" t="s">
        <v>2219</v>
      </c>
      <c r="C1310" s="32" t="s">
        <v>770</v>
      </c>
      <c r="D1310" s="32" t="s">
        <v>770</v>
      </c>
      <c r="E1310" s="33" t="s">
        <v>772</v>
      </c>
      <c r="F1310" s="34">
        <v>135539</v>
      </c>
      <c r="G1310" s="34">
        <v>135624</v>
      </c>
      <c r="H1310" s="35" t="s">
        <v>2220</v>
      </c>
    </row>
    <row r="1311" spans="1:8" ht="27" customHeight="1" x14ac:dyDescent="0.2">
      <c r="A1311" s="31" t="s">
        <v>2218</v>
      </c>
      <c r="B1311" s="32" t="s">
        <v>2219</v>
      </c>
      <c r="C1311" s="32" t="s">
        <v>773</v>
      </c>
      <c r="D1311" s="32" t="s">
        <v>773</v>
      </c>
      <c r="E1311" s="33" t="s">
        <v>775</v>
      </c>
      <c r="F1311" s="34">
        <v>26412</v>
      </c>
      <c r="G1311" s="34">
        <v>26428</v>
      </c>
      <c r="H1311" s="35" t="s">
        <v>2220</v>
      </c>
    </row>
    <row r="1312" spans="1:8" ht="27" customHeight="1" x14ac:dyDescent="0.2">
      <c r="A1312" s="31" t="s">
        <v>2218</v>
      </c>
      <c r="B1312" s="32" t="s">
        <v>2219</v>
      </c>
      <c r="C1312" s="32" t="s">
        <v>886</v>
      </c>
      <c r="D1312" s="32" t="s">
        <v>886</v>
      </c>
      <c r="E1312" s="33" t="s">
        <v>887</v>
      </c>
      <c r="F1312" s="34">
        <v>26412</v>
      </c>
      <c r="G1312" s="34">
        <v>26428</v>
      </c>
      <c r="H1312" s="35" t="s">
        <v>2220</v>
      </c>
    </row>
    <row r="1313" spans="1:8" ht="27" customHeight="1" x14ac:dyDescent="0.2">
      <c r="A1313" s="31" t="s">
        <v>2218</v>
      </c>
      <c r="B1313" s="32" t="s">
        <v>2219</v>
      </c>
      <c r="C1313" s="32" t="s">
        <v>796</v>
      </c>
      <c r="D1313" s="32" t="s">
        <v>796</v>
      </c>
      <c r="E1313" s="33" t="s">
        <v>823</v>
      </c>
      <c r="F1313" s="34">
        <v>1027612</v>
      </c>
      <c r="G1313" s="34">
        <v>1028254</v>
      </c>
      <c r="H1313" s="35" t="s">
        <v>2220</v>
      </c>
    </row>
    <row r="1314" spans="1:8" ht="27" customHeight="1" x14ac:dyDescent="0.2">
      <c r="A1314" s="31" t="s">
        <v>2218</v>
      </c>
      <c r="B1314" s="32" t="s">
        <v>2219</v>
      </c>
      <c r="C1314" s="32" t="s">
        <v>779</v>
      </c>
      <c r="D1314" s="32" t="s">
        <v>779</v>
      </c>
      <c r="E1314" s="33" t="s">
        <v>780</v>
      </c>
      <c r="F1314" s="34">
        <v>416529</v>
      </c>
      <c r="G1314" s="34">
        <v>416789</v>
      </c>
      <c r="H1314" s="35" t="s">
        <v>2220</v>
      </c>
    </row>
    <row r="1315" spans="1:8" ht="27" customHeight="1" x14ac:dyDescent="0.2">
      <c r="A1315" s="31" t="s">
        <v>2221</v>
      </c>
      <c r="B1315" s="32" t="s">
        <v>2222</v>
      </c>
      <c r="C1315" s="32" t="s">
        <v>763</v>
      </c>
      <c r="D1315" s="32" t="s">
        <v>933</v>
      </c>
      <c r="E1315" s="33" t="s">
        <v>764</v>
      </c>
      <c r="F1315" s="34">
        <v>153922</v>
      </c>
      <c r="G1315" s="34">
        <v>153997</v>
      </c>
      <c r="H1315" s="35" t="s">
        <v>2223</v>
      </c>
    </row>
    <row r="1316" spans="1:8" ht="27" customHeight="1" x14ac:dyDescent="0.2">
      <c r="A1316" s="31" t="s">
        <v>2221</v>
      </c>
      <c r="B1316" s="32" t="s">
        <v>2222</v>
      </c>
      <c r="C1316" s="32" t="s">
        <v>766</v>
      </c>
      <c r="D1316" s="32" t="s">
        <v>832</v>
      </c>
      <c r="E1316" s="33" t="s">
        <v>768</v>
      </c>
      <c r="F1316" s="34">
        <v>831444</v>
      </c>
      <c r="G1316" s="34">
        <v>831854</v>
      </c>
      <c r="H1316" s="35" t="s">
        <v>2224</v>
      </c>
    </row>
    <row r="1317" spans="1:8" ht="27" customHeight="1" x14ac:dyDescent="0.2">
      <c r="A1317" s="31" t="s">
        <v>2221</v>
      </c>
      <c r="B1317" s="32" t="s">
        <v>2222</v>
      </c>
      <c r="C1317" s="32" t="s">
        <v>770</v>
      </c>
      <c r="D1317" s="32" t="s">
        <v>2225</v>
      </c>
      <c r="E1317" s="33" t="s">
        <v>772</v>
      </c>
      <c r="F1317" s="34">
        <v>386745</v>
      </c>
      <c r="G1317" s="34">
        <v>351925</v>
      </c>
      <c r="H1317" s="35" t="s">
        <v>2226</v>
      </c>
    </row>
    <row r="1318" spans="1:8" ht="27" customHeight="1" x14ac:dyDescent="0.2">
      <c r="A1318" s="31" t="s">
        <v>2221</v>
      </c>
      <c r="B1318" s="32" t="s">
        <v>2222</v>
      </c>
      <c r="C1318" s="32" t="s">
        <v>884</v>
      </c>
      <c r="D1318" s="32" t="s">
        <v>859</v>
      </c>
      <c r="E1318" s="33" t="s">
        <v>885</v>
      </c>
      <c r="F1318" s="34">
        <v>0</v>
      </c>
      <c r="G1318" s="34">
        <v>0</v>
      </c>
      <c r="H1318" s="35" t="s">
        <v>1091</v>
      </c>
    </row>
    <row r="1319" spans="1:8" ht="27" customHeight="1" x14ac:dyDescent="0.2">
      <c r="A1319" s="31" t="s">
        <v>2221</v>
      </c>
      <c r="B1319" s="32" t="s">
        <v>2222</v>
      </c>
      <c r="C1319" s="32" t="s">
        <v>844</v>
      </c>
      <c r="D1319" s="32" t="s">
        <v>2227</v>
      </c>
      <c r="E1319" s="33" t="s">
        <v>846</v>
      </c>
      <c r="F1319" s="34">
        <v>252344</v>
      </c>
      <c r="G1319" s="34">
        <v>252468</v>
      </c>
      <c r="H1319" s="35" t="s">
        <v>2228</v>
      </c>
    </row>
    <row r="1320" spans="1:8" ht="27" customHeight="1" x14ac:dyDescent="0.2">
      <c r="A1320" s="31" t="s">
        <v>2221</v>
      </c>
      <c r="B1320" s="32" t="s">
        <v>2222</v>
      </c>
      <c r="C1320" s="32" t="s">
        <v>773</v>
      </c>
      <c r="D1320" s="32" t="s">
        <v>859</v>
      </c>
      <c r="E1320" s="33" t="s">
        <v>775</v>
      </c>
      <c r="F1320" s="34">
        <v>0</v>
      </c>
      <c r="G1320" s="34">
        <v>0</v>
      </c>
      <c r="H1320" s="35" t="s">
        <v>1091</v>
      </c>
    </row>
    <row r="1321" spans="1:8" ht="27" customHeight="1" x14ac:dyDescent="0.2">
      <c r="A1321" s="31" t="s">
        <v>2221</v>
      </c>
      <c r="B1321" s="32" t="s">
        <v>2222</v>
      </c>
      <c r="C1321" s="32" t="s">
        <v>831</v>
      </c>
      <c r="D1321" s="32" t="s">
        <v>859</v>
      </c>
      <c r="E1321" s="33" t="s">
        <v>2229</v>
      </c>
      <c r="F1321" s="34">
        <v>0</v>
      </c>
      <c r="G1321" s="34">
        <v>0</v>
      </c>
      <c r="H1321" s="35" t="s">
        <v>1091</v>
      </c>
    </row>
    <row r="1322" spans="1:8" ht="27" customHeight="1" x14ac:dyDescent="0.2">
      <c r="A1322" s="31" t="s">
        <v>2221</v>
      </c>
      <c r="B1322" s="32" t="s">
        <v>2222</v>
      </c>
      <c r="C1322" s="32" t="s">
        <v>886</v>
      </c>
      <c r="D1322" s="32" t="s">
        <v>859</v>
      </c>
      <c r="E1322" s="33" t="s">
        <v>887</v>
      </c>
      <c r="F1322" s="34">
        <v>0</v>
      </c>
      <c r="G1322" s="34">
        <v>0</v>
      </c>
      <c r="H1322" s="35" t="s">
        <v>1091</v>
      </c>
    </row>
    <row r="1323" spans="1:8" ht="27" customHeight="1" x14ac:dyDescent="0.2">
      <c r="A1323" s="31" t="s">
        <v>2221</v>
      </c>
      <c r="B1323" s="32" t="s">
        <v>2222</v>
      </c>
      <c r="C1323" s="32" t="s">
        <v>860</v>
      </c>
      <c r="D1323" s="32" t="s">
        <v>2230</v>
      </c>
      <c r="E1323" s="33" t="s">
        <v>861</v>
      </c>
      <c r="F1323" s="34">
        <v>126576</v>
      </c>
      <c r="G1323" s="34">
        <v>126638</v>
      </c>
      <c r="H1323" s="35" t="s">
        <v>2231</v>
      </c>
    </row>
    <row r="1324" spans="1:8" ht="27" customHeight="1" x14ac:dyDescent="0.2">
      <c r="A1324" s="31" t="s">
        <v>2221</v>
      </c>
      <c r="B1324" s="32" t="s">
        <v>2222</v>
      </c>
      <c r="C1324" s="32" t="s">
        <v>796</v>
      </c>
      <c r="D1324" s="32" t="s">
        <v>859</v>
      </c>
      <c r="E1324" s="33" t="s">
        <v>823</v>
      </c>
      <c r="F1324" s="34">
        <v>0</v>
      </c>
      <c r="G1324" s="34">
        <v>0</v>
      </c>
      <c r="H1324" s="35" t="s">
        <v>1091</v>
      </c>
    </row>
    <row r="1325" spans="1:8" ht="27" customHeight="1" x14ac:dyDescent="0.2">
      <c r="A1325" s="31" t="s">
        <v>2221</v>
      </c>
      <c r="B1325" s="32" t="s">
        <v>2222</v>
      </c>
      <c r="C1325" s="32" t="s">
        <v>776</v>
      </c>
      <c r="D1325" s="32" t="s">
        <v>859</v>
      </c>
      <c r="E1325" s="33" t="s">
        <v>777</v>
      </c>
      <c r="F1325" s="34">
        <v>0</v>
      </c>
      <c r="G1325" s="34">
        <v>0</v>
      </c>
      <c r="H1325" s="35" t="s">
        <v>1091</v>
      </c>
    </row>
    <row r="1326" spans="1:8" ht="27" customHeight="1" x14ac:dyDescent="0.2">
      <c r="A1326" s="31" t="s">
        <v>2221</v>
      </c>
      <c r="B1326" s="32" t="s">
        <v>2222</v>
      </c>
      <c r="C1326" s="32" t="s">
        <v>798</v>
      </c>
      <c r="D1326" s="32" t="s">
        <v>859</v>
      </c>
      <c r="E1326" s="33" t="s">
        <v>800</v>
      </c>
      <c r="F1326" s="34">
        <v>0</v>
      </c>
      <c r="G1326" s="34">
        <v>0</v>
      </c>
      <c r="H1326" s="35" t="s">
        <v>1091</v>
      </c>
    </row>
    <row r="1327" spans="1:8" ht="27" customHeight="1" x14ac:dyDescent="0.2">
      <c r="A1327" s="31" t="s">
        <v>2221</v>
      </c>
      <c r="B1327" s="32" t="s">
        <v>2222</v>
      </c>
      <c r="C1327" s="32" t="s">
        <v>892</v>
      </c>
      <c r="D1327" s="32" t="s">
        <v>859</v>
      </c>
      <c r="E1327" s="33" t="s">
        <v>893</v>
      </c>
      <c r="F1327" s="34">
        <v>0</v>
      </c>
      <c r="G1327" s="34">
        <v>0</v>
      </c>
      <c r="H1327" s="35" t="s">
        <v>1091</v>
      </c>
    </row>
    <row r="1328" spans="1:8" ht="27" customHeight="1" x14ac:dyDescent="0.2">
      <c r="A1328" s="31" t="s">
        <v>2221</v>
      </c>
      <c r="B1328" s="32" t="s">
        <v>2222</v>
      </c>
      <c r="C1328" s="32" t="s">
        <v>779</v>
      </c>
      <c r="D1328" s="32" t="s">
        <v>876</v>
      </c>
      <c r="E1328" s="33" t="s">
        <v>780</v>
      </c>
      <c r="F1328" s="34">
        <v>182935</v>
      </c>
      <c r="G1328" s="34">
        <v>183025</v>
      </c>
      <c r="H1328" s="35" t="s">
        <v>2232</v>
      </c>
    </row>
    <row r="1329" spans="1:8" ht="27" customHeight="1" x14ac:dyDescent="0.2">
      <c r="A1329" s="31" t="s">
        <v>2221</v>
      </c>
      <c r="B1329" s="32" t="s">
        <v>2222</v>
      </c>
      <c r="C1329" s="32" t="s">
        <v>782</v>
      </c>
      <c r="D1329" s="32" t="s">
        <v>859</v>
      </c>
      <c r="E1329" s="33" t="s">
        <v>784</v>
      </c>
      <c r="F1329" s="34">
        <v>0</v>
      </c>
      <c r="G1329" s="34">
        <v>0</v>
      </c>
      <c r="H1329" s="35" t="s">
        <v>1091</v>
      </c>
    </row>
    <row r="1330" spans="1:8" ht="27" customHeight="1" x14ac:dyDescent="0.2">
      <c r="A1330" s="31" t="s">
        <v>2233</v>
      </c>
      <c r="B1330" s="32" t="s">
        <v>2234</v>
      </c>
      <c r="C1330" s="32" t="s">
        <v>770</v>
      </c>
      <c r="D1330" s="32" t="s">
        <v>1136</v>
      </c>
      <c r="E1330" s="33" t="s">
        <v>772</v>
      </c>
      <c r="F1330" s="34">
        <v>25274</v>
      </c>
      <c r="G1330" s="34">
        <v>25527</v>
      </c>
      <c r="H1330" s="35" t="s">
        <v>1645</v>
      </c>
    </row>
    <row r="1331" spans="1:8" ht="27" customHeight="1" x14ac:dyDescent="0.2">
      <c r="A1331" s="31" t="s">
        <v>2233</v>
      </c>
      <c r="B1331" s="32" t="s">
        <v>2234</v>
      </c>
      <c r="C1331" s="32" t="s">
        <v>886</v>
      </c>
      <c r="D1331" s="32" t="s">
        <v>886</v>
      </c>
      <c r="E1331" s="33" t="s">
        <v>887</v>
      </c>
      <c r="F1331" s="34">
        <v>15164</v>
      </c>
      <c r="G1331" s="34">
        <v>15316</v>
      </c>
      <c r="H1331" s="35" t="s">
        <v>2235</v>
      </c>
    </row>
    <row r="1332" spans="1:8" ht="27" customHeight="1" x14ac:dyDescent="0.2">
      <c r="A1332" s="31" t="s">
        <v>2233</v>
      </c>
      <c r="B1332" s="32" t="s">
        <v>2234</v>
      </c>
      <c r="C1332" s="32" t="s">
        <v>796</v>
      </c>
      <c r="D1332" s="32" t="s">
        <v>796</v>
      </c>
      <c r="E1332" s="33" t="s">
        <v>772</v>
      </c>
      <c r="F1332" s="34">
        <v>50548</v>
      </c>
      <c r="G1332" s="34">
        <v>51053</v>
      </c>
      <c r="H1332" s="35" t="s">
        <v>1611</v>
      </c>
    </row>
    <row r="1333" spans="1:8" ht="27" customHeight="1" x14ac:dyDescent="0.2">
      <c r="A1333" s="31" t="s">
        <v>2233</v>
      </c>
      <c r="B1333" s="32" t="s">
        <v>2234</v>
      </c>
      <c r="C1333" s="32" t="s">
        <v>779</v>
      </c>
      <c r="D1333" s="32" t="s">
        <v>802</v>
      </c>
      <c r="E1333" s="33" t="s">
        <v>780</v>
      </c>
      <c r="F1333" s="34">
        <v>25274</v>
      </c>
      <c r="G1333" s="34">
        <v>25500</v>
      </c>
      <c r="H1333" s="35" t="s">
        <v>2236</v>
      </c>
    </row>
    <row r="1334" spans="1:8" ht="27" customHeight="1" x14ac:dyDescent="0.2">
      <c r="A1334" s="31" t="s">
        <v>2237</v>
      </c>
      <c r="B1334" s="32" t="s">
        <v>2238</v>
      </c>
      <c r="C1334" s="32" t="s">
        <v>763</v>
      </c>
      <c r="D1334" s="32" t="s">
        <v>2239</v>
      </c>
      <c r="E1334" s="33" t="s">
        <v>764</v>
      </c>
      <c r="F1334" s="34">
        <v>337620</v>
      </c>
      <c r="G1334" s="34">
        <v>337620</v>
      </c>
      <c r="H1334" s="35" t="s">
        <v>2240</v>
      </c>
    </row>
    <row r="1335" spans="1:8" ht="27" customHeight="1" x14ac:dyDescent="0.2">
      <c r="A1335" s="31" t="s">
        <v>2237</v>
      </c>
      <c r="B1335" s="32" t="s">
        <v>2238</v>
      </c>
      <c r="C1335" s="32" t="s">
        <v>766</v>
      </c>
      <c r="D1335" s="32" t="s">
        <v>2241</v>
      </c>
      <c r="E1335" s="33" t="s">
        <v>768</v>
      </c>
      <c r="F1335" s="34">
        <v>65544</v>
      </c>
      <c r="G1335" s="34">
        <v>65544</v>
      </c>
      <c r="H1335" s="35" t="s">
        <v>2242</v>
      </c>
    </row>
    <row r="1336" spans="1:8" ht="27" customHeight="1" x14ac:dyDescent="0.2">
      <c r="A1336" s="31" t="s">
        <v>2237</v>
      </c>
      <c r="B1336" s="32" t="s">
        <v>2238</v>
      </c>
      <c r="C1336" s="32" t="s">
        <v>770</v>
      </c>
      <c r="D1336" s="32" t="s">
        <v>1720</v>
      </c>
      <c r="E1336" s="33" t="s">
        <v>772</v>
      </c>
      <c r="F1336" s="34">
        <v>393322</v>
      </c>
      <c r="G1336" s="34">
        <v>375092</v>
      </c>
      <c r="H1336" s="35" t="s">
        <v>2243</v>
      </c>
    </row>
    <row r="1337" spans="1:8" ht="27" customHeight="1" x14ac:dyDescent="0.2">
      <c r="A1337" s="31" t="s">
        <v>2237</v>
      </c>
      <c r="B1337" s="32" t="s">
        <v>2238</v>
      </c>
      <c r="C1337" s="32" t="s">
        <v>831</v>
      </c>
      <c r="D1337" s="32" t="s">
        <v>829</v>
      </c>
      <c r="E1337" s="33" t="s">
        <v>829</v>
      </c>
      <c r="F1337" s="34">
        <v>0</v>
      </c>
      <c r="G1337" s="34">
        <v>0</v>
      </c>
      <c r="H1337" s="35" t="s">
        <v>829</v>
      </c>
    </row>
    <row r="1338" spans="1:8" ht="27" customHeight="1" x14ac:dyDescent="0.2">
      <c r="A1338" s="31" t="s">
        <v>2237</v>
      </c>
      <c r="B1338" s="32" t="s">
        <v>2238</v>
      </c>
      <c r="C1338" s="32" t="s">
        <v>860</v>
      </c>
      <c r="D1338" s="32" t="s">
        <v>1174</v>
      </c>
      <c r="E1338" s="33" t="s">
        <v>861</v>
      </c>
      <c r="F1338" s="34">
        <v>75459</v>
      </c>
      <c r="G1338" s="34">
        <v>75459</v>
      </c>
      <c r="H1338" s="35" t="s">
        <v>2244</v>
      </c>
    </row>
    <row r="1339" spans="1:8" ht="27" customHeight="1" x14ac:dyDescent="0.2">
      <c r="A1339" s="31" t="s">
        <v>2237</v>
      </c>
      <c r="B1339" s="32" t="s">
        <v>2238</v>
      </c>
      <c r="C1339" s="32" t="s">
        <v>776</v>
      </c>
      <c r="D1339" s="32" t="s">
        <v>2074</v>
      </c>
      <c r="E1339" s="33" t="s">
        <v>777</v>
      </c>
      <c r="F1339" s="34">
        <v>10000</v>
      </c>
      <c r="G1339" s="34">
        <v>10000</v>
      </c>
      <c r="H1339" s="35" t="s">
        <v>2245</v>
      </c>
    </row>
    <row r="1340" spans="1:8" ht="27" customHeight="1" x14ac:dyDescent="0.2">
      <c r="A1340" s="31" t="s">
        <v>2237</v>
      </c>
      <c r="B1340" s="32" t="s">
        <v>2238</v>
      </c>
      <c r="C1340" s="32" t="s">
        <v>779</v>
      </c>
      <c r="D1340" s="32" t="s">
        <v>826</v>
      </c>
      <c r="E1340" s="33" t="s">
        <v>780</v>
      </c>
      <c r="F1340" s="34">
        <v>15000</v>
      </c>
      <c r="G1340" s="34">
        <v>15000</v>
      </c>
      <c r="H1340" s="35" t="s">
        <v>1111</v>
      </c>
    </row>
    <row r="1341" spans="1:8" ht="27" customHeight="1" x14ac:dyDescent="0.2">
      <c r="A1341" s="31" t="s">
        <v>2246</v>
      </c>
      <c r="B1341" s="32" t="s">
        <v>2247</v>
      </c>
      <c r="C1341" s="32" t="s">
        <v>763</v>
      </c>
      <c r="D1341" s="32" t="s">
        <v>2248</v>
      </c>
      <c r="E1341" s="33" t="s">
        <v>764</v>
      </c>
      <c r="F1341" s="34">
        <v>305815</v>
      </c>
      <c r="G1341" s="34">
        <v>305815</v>
      </c>
      <c r="H1341" s="35" t="s">
        <v>2249</v>
      </c>
    </row>
    <row r="1342" spans="1:8" ht="27" customHeight="1" x14ac:dyDescent="0.2">
      <c r="A1342" s="31" t="s">
        <v>2246</v>
      </c>
      <c r="B1342" s="32" t="s">
        <v>2247</v>
      </c>
      <c r="C1342" s="32" t="s">
        <v>763</v>
      </c>
      <c r="D1342" s="32" t="s">
        <v>2250</v>
      </c>
      <c r="E1342" s="33" t="s">
        <v>764</v>
      </c>
      <c r="F1342" s="34">
        <v>420476</v>
      </c>
      <c r="G1342" s="34">
        <v>420476</v>
      </c>
      <c r="H1342" s="35" t="s">
        <v>2251</v>
      </c>
    </row>
    <row r="1343" spans="1:8" ht="27" customHeight="1" x14ac:dyDescent="0.2">
      <c r="A1343" s="31" t="s">
        <v>2246</v>
      </c>
      <c r="B1343" s="32" t="s">
        <v>2247</v>
      </c>
      <c r="C1343" s="32" t="s">
        <v>886</v>
      </c>
      <c r="D1343" s="32" t="s">
        <v>886</v>
      </c>
      <c r="E1343" s="33" t="s">
        <v>887</v>
      </c>
      <c r="F1343" s="34">
        <v>75469</v>
      </c>
      <c r="G1343" s="34">
        <v>75469</v>
      </c>
      <c r="H1343" s="35" t="s">
        <v>2252</v>
      </c>
    </row>
    <row r="1344" spans="1:8" ht="27" customHeight="1" x14ac:dyDescent="0.2">
      <c r="A1344" s="31" t="s">
        <v>2246</v>
      </c>
      <c r="B1344" s="32" t="s">
        <v>2247</v>
      </c>
      <c r="C1344" s="32" t="s">
        <v>860</v>
      </c>
      <c r="D1344" s="32" t="s">
        <v>911</v>
      </c>
      <c r="E1344" s="33" t="s">
        <v>861</v>
      </c>
      <c r="F1344" s="34">
        <v>234354</v>
      </c>
      <c r="G1344" s="34">
        <v>234354</v>
      </c>
      <c r="H1344" s="35" t="s">
        <v>2253</v>
      </c>
    </row>
    <row r="1345" spans="1:8" ht="27" customHeight="1" x14ac:dyDescent="0.2">
      <c r="A1345" s="31" t="s">
        <v>2246</v>
      </c>
      <c r="B1345" s="32" t="s">
        <v>2247</v>
      </c>
      <c r="C1345" s="32" t="s">
        <v>796</v>
      </c>
      <c r="D1345" s="32" t="s">
        <v>1463</v>
      </c>
      <c r="E1345" s="33" t="s">
        <v>772</v>
      </c>
      <c r="F1345" s="34">
        <v>227658</v>
      </c>
      <c r="G1345" s="34">
        <v>269658</v>
      </c>
      <c r="H1345" s="35" t="s">
        <v>2254</v>
      </c>
    </row>
    <row r="1346" spans="1:8" ht="27" customHeight="1" x14ac:dyDescent="0.2">
      <c r="A1346" s="31" t="s">
        <v>2246</v>
      </c>
      <c r="B1346" s="32" t="s">
        <v>2247</v>
      </c>
      <c r="C1346" s="32" t="s">
        <v>776</v>
      </c>
      <c r="D1346" s="32" t="s">
        <v>776</v>
      </c>
      <c r="E1346" s="33" t="s">
        <v>777</v>
      </c>
      <c r="F1346" s="34">
        <v>130796</v>
      </c>
      <c r="G1346" s="34">
        <v>130796</v>
      </c>
      <c r="H1346" s="35" t="s">
        <v>2255</v>
      </c>
    </row>
    <row r="1347" spans="1:8" ht="27" customHeight="1" x14ac:dyDescent="0.2">
      <c r="A1347" s="31" t="s">
        <v>2246</v>
      </c>
      <c r="B1347" s="32" t="s">
        <v>2247</v>
      </c>
      <c r="C1347" s="32" t="s">
        <v>779</v>
      </c>
      <c r="D1347" s="32" t="s">
        <v>826</v>
      </c>
      <c r="E1347" s="33" t="s">
        <v>780</v>
      </c>
      <c r="F1347" s="34">
        <v>52560</v>
      </c>
      <c r="G1347" s="34">
        <v>52560</v>
      </c>
      <c r="H1347" s="35" t="s">
        <v>1227</v>
      </c>
    </row>
    <row r="1348" spans="1:8" ht="27" customHeight="1" x14ac:dyDescent="0.2">
      <c r="A1348" s="31" t="s">
        <v>2256</v>
      </c>
      <c r="B1348" s="32" t="s">
        <v>2257</v>
      </c>
      <c r="C1348" s="32" t="s">
        <v>763</v>
      </c>
      <c r="D1348" s="32" t="s">
        <v>816</v>
      </c>
      <c r="E1348" s="33" t="s">
        <v>764</v>
      </c>
      <c r="F1348" s="34">
        <v>332974</v>
      </c>
      <c r="G1348" s="34">
        <v>333000</v>
      </c>
      <c r="H1348" s="35" t="s">
        <v>2258</v>
      </c>
    </row>
    <row r="1349" spans="1:8" ht="27" customHeight="1" x14ac:dyDescent="0.2">
      <c r="A1349" s="31" t="s">
        <v>2256</v>
      </c>
      <c r="B1349" s="32" t="s">
        <v>2257</v>
      </c>
      <c r="C1349" s="32" t="s">
        <v>763</v>
      </c>
      <c r="D1349" s="32" t="s">
        <v>2259</v>
      </c>
      <c r="E1349" s="33" t="s">
        <v>764</v>
      </c>
      <c r="F1349" s="34">
        <v>115273</v>
      </c>
      <c r="G1349" s="34">
        <v>115300</v>
      </c>
      <c r="H1349" s="35" t="s">
        <v>2260</v>
      </c>
    </row>
    <row r="1350" spans="1:8" ht="27" customHeight="1" x14ac:dyDescent="0.2">
      <c r="A1350" s="31" t="s">
        <v>2256</v>
      </c>
      <c r="B1350" s="32" t="s">
        <v>2257</v>
      </c>
      <c r="C1350" s="32" t="s">
        <v>844</v>
      </c>
      <c r="D1350" s="32" t="s">
        <v>972</v>
      </c>
      <c r="E1350" s="33" t="s">
        <v>846</v>
      </c>
      <c r="F1350" s="34">
        <v>20000</v>
      </c>
      <c r="G1350" s="34">
        <v>20000</v>
      </c>
      <c r="H1350" s="35" t="s">
        <v>1951</v>
      </c>
    </row>
    <row r="1351" spans="1:8" ht="27" customHeight="1" x14ac:dyDescent="0.2">
      <c r="A1351" s="31" t="s">
        <v>2256</v>
      </c>
      <c r="B1351" s="32" t="s">
        <v>2257</v>
      </c>
      <c r="C1351" s="32" t="s">
        <v>860</v>
      </c>
      <c r="D1351" s="32" t="s">
        <v>911</v>
      </c>
      <c r="E1351" s="33" t="s">
        <v>861</v>
      </c>
      <c r="F1351" s="34">
        <v>51859</v>
      </c>
      <c r="G1351" s="34">
        <v>51900</v>
      </c>
      <c r="H1351" s="35" t="s">
        <v>1951</v>
      </c>
    </row>
    <row r="1352" spans="1:8" ht="27" customHeight="1" x14ac:dyDescent="0.2">
      <c r="A1352" s="31" t="s">
        <v>2256</v>
      </c>
      <c r="B1352" s="32" t="s">
        <v>2257</v>
      </c>
      <c r="C1352" s="32" t="s">
        <v>796</v>
      </c>
      <c r="D1352" s="32" t="s">
        <v>1149</v>
      </c>
      <c r="E1352" s="33" t="s">
        <v>772</v>
      </c>
      <c r="F1352" s="34">
        <v>80000</v>
      </c>
      <c r="G1352" s="34">
        <v>80000</v>
      </c>
      <c r="H1352" s="35" t="s">
        <v>1951</v>
      </c>
    </row>
    <row r="1353" spans="1:8" ht="27" customHeight="1" x14ac:dyDescent="0.2">
      <c r="A1353" s="31" t="s">
        <v>2256</v>
      </c>
      <c r="B1353" s="32" t="s">
        <v>2257</v>
      </c>
      <c r="C1353" s="32" t="s">
        <v>776</v>
      </c>
      <c r="D1353" s="32" t="s">
        <v>914</v>
      </c>
      <c r="E1353" s="33" t="s">
        <v>777</v>
      </c>
      <c r="F1353" s="34">
        <v>32729</v>
      </c>
      <c r="G1353" s="34">
        <v>32750</v>
      </c>
      <c r="H1353" s="35" t="s">
        <v>1951</v>
      </c>
    </row>
    <row r="1354" spans="1:8" ht="27" customHeight="1" x14ac:dyDescent="0.2">
      <c r="A1354" s="31" t="s">
        <v>2261</v>
      </c>
      <c r="B1354" s="32" t="s">
        <v>2262</v>
      </c>
      <c r="C1354" s="32" t="s">
        <v>770</v>
      </c>
      <c r="D1354" s="32" t="s">
        <v>1136</v>
      </c>
      <c r="E1354" s="33" t="s">
        <v>772</v>
      </c>
      <c r="F1354" s="34">
        <v>25550</v>
      </c>
      <c r="G1354" s="34">
        <v>25806</v>
      </c>
      <c r="H1354" s="35" t="s">
        <v>1645</v>
      </c>
    </row>
    <row r="1355" spans="1:8" ht="27" customHeight="1" x14ac:dyDescent="0.2">
      <c r="A1355" s="31" t="s">
        <v>2261</v>
      </c>
      <c r="B1355" s="32" t="s">
        <v>2262</v>
      </c>
      <c r="C1355" s="32" t="s">
        <v>860</v>
      </c>
      <c r="D1355" s="32" t="s">
        <v>860</v>
      </c>
      <c r="E1355" s="33" t="s">
        <v>861</v>
      </c>
      <c r="F1355" s="34">
        <v>31936</v>
      </c>
      <c r="G1355" s="34">
        <v>32255</v>
      </c>
      <c r="H1355" s="35" t="s">
        <v>2263</v>
      </c>
    </row>
    <row r="1356" spans="1:8" ht="27" customHeight="1" x14ac:dyDescent="0.2">
      <c r="A1356" s="31" t="s">
        <v>2264</v>
      </c>
      <c r="B1356" s="32" t="s">
        <v>2265</v>
      </c>
      <c r="C1356" s="32" t="s">
        <v>763</v>
      </c>
      <c r="D1356" s="32" t="s">
        <v>816</v>
      </c>
      <c r="E1356" s="33" t="s">
        <v>764</v>
      </c>
      <c r="F1356" s="34">
        <v>1400000</v>
      </c>
      <c r="G1356" s="34">
        <v>1400000</v>
      </c>
      <c r="H1356" s="35" t="s">
        <v>2266</v>
      </c>
    </row>
    <row r="1357" spans="1:8" ht="27" customHeight="1" x14ac:dyDescent="0.2">
      <c r="A1357" s="31" t="s">
        <v>2264</v>
      </c>
      <c r="B1357" s="32" t="s">
        <v>2265</v>
      </c>
      <c r="C1357" s="32" t="s">
        <v>770</v>
      </c>
      <c r="D1357" s="32" t="s">
        <v>2267</v>
      </c>
      <c r="E1357" s="33" t="s">
        <v>772</v>
      </c>
      <c r="F1357" s="34">
        <v>504872</v>
      </c>
      <c r="G1357" s="34">
        <v>504872</v>
      </c>
      <c r="H1357" s="35" t="s">
        <v>2268</v>
      </c>
    </row>
    <row r="1358" spans="1:8" ht="27" customHeight="1" x14ac:dyDescent="0.2">
      <c r="A1358" s="31" t="s">
        <v>2264</v>
      </c>
      <c r="B1358" s="32" t="s">
        <v>2265</v>
      </c>
      <c r="C1358" s="32" t="s">
        <v>773</v>
      </c>
      <c r="D1358" s="32" t="s">
        <v>2269</v>
      </c>
      <c r="E1358" s="33" t="s">
        <v>775</v>
      </c>
      <c r="F1358" s="34">
        <v>0</v>
      </c>
      <c r="G1358" s="34">
        <v>0</v>
      </c>
      <c r="H1358" s="35" t="s">
        <v>2270</v>
      </c>
    </row>
    <row r="1359" spans="1:8" ht="27" customHeight="1" x14ac:dyDescent="0.2">
      <c r="A1359" s="31" t="s">
        <v>2264</v>
      </c>
      <c r="B1359" s="32" t="s">
        <v>2265</v>
      </c>
      <c r="C1359" s="32" t="s">
        <v>831</v>
      </c>
      <c r="D1359" s="32" t="s">
        <v>2271</v>
      </c>
      <c r="E1359" s="33" t="s">
        <v>2272</v>
      </c>
      <c r="F1359" s="34">
        <v>161030</v>
      </c>
      <c r="G1359" s="34">
        <v>161030</v>
      </c>
      <c r="H1359" s="35" t="s">
        <v>2273</v>
      </c>
    </row>
    <row r="1360" spans="1:8" ht="27" customHeight="1" x14ac:dyDescent="0.2">
      <c r="A1360" s="31" t="s">
        <v>2264</v>
      </c>
      <c r="B1360" s="32" t="s">
        <v>2265</v>
      </c>
      <c r="C1360" s="32" t="s">
        <v>796</v>
      </c>
      <c r="D1360" s="32" t="s">
        <v>862</v>
      </c>
      <c r="E1360" s="33" t="s">
        <v>772</v>
      </c>
      <c r="F1360" s="34">
        <v>200000</v>
      </c>
      <c r="G1360" s="34">
        <v>200000</v>
      </c>
      <c r="H1360" s="35" t="s">
        <v>2274</v>
      </c>
    </row>
    <row r="1361" spans="1:8" ht="27" customHeight="1" x14ac:dyDescent="0.2">
      <c r="A1361" s="31" t="s">
        <v>2264</v>
      </c>
      <c r="B1361" s="32" t="s">
        <v>2265</v>
      </c>
      <c r="C1361" s="32" t="s">
        <v>779</v>
      </c>
      <c r="D1361" s="32" t="s">
        <v>826</v>
      </c>
      <c r="E1361" s="33" t="s">
        <v>780</v>
      </c>
      <c r="F1361" s="34">
        <v>25000</v>
      </c>
      <c r="G1361" s="34">
        <v>25000</v>
      </c>
      <c r="H1361" s="35" t="s">
        <v>2275</v>
      </c>
    </row>
    <row r="1362" spans="1:8" ht="27" customHeight="1" x14ac:dyDescent="0.2">
      <c r="A1362" s="31" t="s">
        <v>2276</v>
      </c>
      <c r="B1362" s="32" t="s">
        <v>2277</v>
      </c>
      <c r="C1362" s="32" t="s">
        <v>770</v>
      </c>
      <c r="D1362" s="32" t="s">
        <v>2278</v>
      </c>
      <c r="E1362" s="33" t="s">
        <v>772</v>
      </c>
      <c r="F1362" s="34">
        <v>498088</v>
      </c>
      <c r="G1362" s="34">
        <v>450000</v>
      </c>
      <c r="H1362" s="35" t="s">
        <v>2279</v>
      </c>
    </row>
    <row r="1363" spans="1:8" ht="27" customHeight="1" x14ac:dyDescent="0.2">
      <c r="A1363" s="31" t="s">
        <v>2276</v>
      </c>
      <c r="B1363" s="32" t="s">
        <v>2277</v>
      </c>
      <c r="C1363" s="32" t="s">
        <v>844</v>
      </c>
      <c r="D1363" s="32" t="s">
        <v>972</v>
      </c>
      <c r="E1363" s="33" t="s">
        <v>846</v>
      </c>
      <c r="F1363" s="34">
        <v>33000</v>
      </c>
      <c r="G1363" s="34">
        <v>33000</v>
      </c>
      <c r="H1363" s="35" t="s">
        <v>2280</v>
      </c>
    </row>
    <row r="1364" spans="1:8" ht="27" customHeight="1" x14ac:dyDescent="0.2">
      <c r="A1364" s="31" t="s">
        <v>2276</v>
      </c>
      <c r="B1364" s="32" t="s">
        <v>2277</v>
      </c>
      <c r="C1364" s="32" t="s">
        <v>860</v>
      </c>
      <c r="D1364" s="32" t="s">
        <v>911</v>
      </c>
      <c r="E1364" s="33" t="s">
        <v>861</v>
      </c>
      <c r="F1364" s="34">
        <v>1978716</v>
      </c>
      <c r="G1364" s="34">
        <v>1958716</v>
      </c>
      <c r="H1364" s="35" t="s">
        <v>2281</v>
      </c>
    </row>
    <row r="1365" spans="1:8" ht="27" customHeight="1" x14ac:dyDescent="0.2">
      <c r="A1365" s="31" t="s">
        <v>2276</v>
      </c>
      <c r="B1365" s="32" t="s">
        <v>2277</v>
      </c>
      <c r="C1365" s="32" t="s">
        <v>796</v>
      </c>
      <c r="D1365" s="32" t="s">
        <v>2282</v>
      </c>
      <c r="E1365" s="33" t="s">
        <v>772</v>
      </c>
      <c r="F1365" s="34">
        <v>450000</v>
      </c>
      <c r="G1365" s="34">
        <v>450000</v>
      </c>
      <c r="H1365" s="35" t="s">
        <v>2283</v>
      </c>
    </row>
    <row r="1366" spans="1:8" ht="27" customHeight="1" x14ac:dyDescent="0.2">
      <c r="A1366" s="31" t="s">
        <v>2276</v>
      </c>
      <c r="B1366" s="32" t="s">
        <v>2277</v>
      </c>
      <c r="C1366" s="32" t="s">
        <v>776</v>
      </c>
      <c r="D1366" s="32" t="s">
        <v>776</v>
      </c>
      <c r="E1366" s="33" t="s">
        <v>777</v>
      </c>
      <c r="F1366" s="34">
        <v>39937</v>
      </c>
      <c r="G1366" s="34">
        <v>39937</v>
      </c>
      <c r="H1366" s="35" t="s">
        <v>2284</v>
      </c>
    </row>
    <row r="1367" spans="1:8" ht="27" customHeight="1" x14ac:dyDescent="0.2">
      <c r="A1367" s="31" t="s">
        <v>2276</v>
      </c>
      <c r="B1367" s="32" t="s">
        <v>2277</v>
      </c>
      <c r="C1367" s="32" t="s">
        <v>779</v>
      </c>
      <c r="D1367" s="32" t="s">
        <v>876</v>
      </c>
      <c r="E1367" s="33" t="s">
        <v>780</v>
      </c>
      <c r="F1367" s="34">
        <v>222871</v>
      </c>
      <c r="G1367" s="34">
        <v>222871</v>
      </c>
      <c r="H1367" s="35" t="s">
        <v>2285</v>
      </c>
    </row>
    <row r="1368" spans="1:8" ht="27" customHeight="1" x14ac:dyDescent="0.2">
      <c r="A1368" s="31" t="s">
        <v>2286</v>
      </c>
      <c r="B1368" s="32" t="s">
        <v>2287</v>
      </c>
      <c r="C1368" s="32" t="s">
        <v>763</v>
      </c>
      <c r="D1368" s="32" t="s">
        <v>1041</v>
      </c>
      <c r="E1368" s="33" t="s">
        <v>764</v>
      </c>
      <c r="F1368" s="34">
        <v>462500</v>
      </c>
      <c r="G1368" s="34">
        <v>800000</v>
      </c>
      <c r="H1368" s="35" t="s">
        <v>1783</v>
      </c>
    </row>
    <row r="1369" spans="1:8" ht="27" customHeight="1" x14ac:dyDescent="0.2">
      <c r="A1369" s="31" t="s">
        <v>2286</v>
      </c>
      <c r="B1369" s="32" t="s">
        <v>2287</v>
      </c>
      <c r="C1369" s="32" t="s">
        <v>766</v>
      </c>
      <c r="D1369" s="32" t="s">
        <v>2034</v>
      </c>
      <c r="E1369" s="33" t="s">
        <v>768</v>
      </c>
      <c r="F1369" s="34">
        <v>324590</v>
      </c>
      <c r="G1369" s="34">
        <v>400000</v>
      </c>
      <c r="H1369" s="35" t="s">
        <v>2288</v>
      </c>
    </row>
    <row r="1370" spans="1:8" ht="27" customHeight="1" x14ac:dyDescent="0.2">
      <c r="A1370" s="31" t="s">
        <v>2286</v>
      </c>
      <c r="B1370" s="32" t="s">
        <v>2287</v>
      </c>
      <c r="C1370" s="32" t="s">
        <v>770</v>
      </c>
      <c r="D1370" s="32" t="s">
        <v>830</v>
      </c>
      <c r="E1370" s="33" t="s">
        <v>772</v>
      </c>
      <c r="F1370" s="34">
        <v>281185</v>
      </c>
      <c r="G1370" s="34">
        <v>275000</v>
      </c>
      <c r="H1370" s="35" t="s">
        <v>2289</v>
      </c>
    </row>
    <row r="1371" spans="1:8" ht="27" customHeight="1" x14ac:dyDescent="0.2">
      <c r="A1371" s="31" t="s">
        <v>2286</v>
      </c>
      <c r="B1371" s="32" t="s">
        <v>2287</v>
      </c>
      <c r="C1371" s="32" t="s">
        <v>844</v>
      </c>
      <c r="D1371" s="32" t="s">
        <v>972</v>
      </c>
      <c r="E1371" s="33" t="s">
        <v>846</v>
      </c>
      <c r="F1371" s="34">
        <v>40000</v>
      </c>
      <c r="G1371" s="34">
        <v>30000</v>
      </c>
      <c r="H1371" s="35" t="s">
        <v>2290</v>
      </c>
    </row>
    <row r="1372" spans="1:8" ht="27" customHeight="1" x14ac:dyDescent="0.2">
      <c r="A1372" s="31" t="s">
        <v>2286</v>
      </c>
      <c r="B1372" s="32" t="s">
        <v>2287</v>
      </c>
      <c r="C1372" s="32" t="s">
        <v>860</v>
      </c>
      <c r="D1372" s="32" t="s">
        <v>911</v>
      </c>
      <c r="E1372" s="33" t="s">
        <v>861</v>
      </c>
      <c r="F1372" s="34">
        <v>280000</v>
      </c>
      <c r="G1372" s="34">
        <v>400000</v>
      </c>
      <c r="H1372" s="35" t="s">
        <v>2291</v>
      </c>
    </row>
    <row r="1373" spans="1:8" ht="27" customHeight="1" x14ac:dyDescent="0.2">
      <c r="A1373" s="31" t="s">
        <v>2286</v>
      </c>
      <c r="B1373" s="32" t="s">
        <v>2287</v>
      </c>
      <c r="C1373" s="32" t="s">
        <v>796</v>
      </c>
      <c r="D1373" s="32" t="s">
        <v>835</v>
      </c>
      <c r="E1373" s="33" t="s">
        <v>772</v>
      </c>
      <c r="F1373" s="34">
        <v>700697</v>
      </c>
      <c r="G1373" s="34">
        <v>700697</v>
      </c>
      <c r="H1373" s="35" t="s">
        <v>2292</v>
      </c>
    </row>
    <row r="1374" spans="1:8" ht="27" customHeight="1" x14ac:dyDescent="0.2">
      <c r="A1374" s="31" t="s">
        <v>2286</v>
      </c>
      <c r="B1374" s="32" t="s">
        <v>2287</v>
      </c>
      <c r="C1374" s="32" t="s">
        <v>776</v>
      </c>
      <c r="D1374" s="32" t="s">
        <v>812</v>
      </c>
      <c r="E1374" s="33" t="s">
        <v>777</v>
      </c>
      <c r="F1374" s="34">
        <v>80000</v>
      </c>
      <c r="G1374" s="34">
        <v>120000</v>
      </c>
      <c r="H1374" s="35" t="s">
        <v>2293</v>
      </c>
    </row>
    <row r="1375" spans="1:8" ht="27" customHeight="1" x14ac:dyDescent="0.2">
      <c r="A1375" s="31" t="s">
        <v>2286</v>
      </c>
      <c r="B1375" s="32" t="s">
        <v>2287</v>
      </c>
      <c r="C1375" s="32" t="s">
        <v>779</v>
      </c>
      <c r="D1375" s="32" t="s">
        <v>876</v>
      </c>
      <c r="E1375" s="33" t="s">
        <v>780</v>
      </c>
      <c r="F1375" s="34">
        <v>100000</v>
      </c>
      <c r="G1375" s="34">
        <v>100000</v>
      </c>
      <c r="H1375" s="35" t="s">
        <v>2294</v>
      </c>
    </row>
    <row r="1376" spans="1:8" ht="27" customHeight="1" x14ac:dyDescent="0.2">
      <c r="A1376" s="31" t="s">
        <v>2295</v>
      </c>
      <c r="B1376" s="32" t="s">
        <v>239</v>
      </c>
      <c r="C1376" s="32" t="s">
        <v>770</v>
      </c>
      <c r="D1376" s="32" t="s">
        <v>1011</v>
      </c>
      <c r="E1376" s="33" t="s">
        <v>772</v>
      </c>
      <c r="F1376" s="34">
        <v>360304</v>
      </c>
      <c r="G1376" s="34">
        <v>360304</v>
      </c>
      <c r="H1376" s="35" t="s">
        <v>2296</v>
      </c>
    </row>
    <row r="1377" spans="1:8" ht="27" customHeight="1" x14ac:dyDescent="0.2">
      <c r="A1377" s="31" t="s">
        <v>2295</v>
      </c>
      <c r="B1377" s="32" t="s">
        <v>239</v>
      </c>
      <c r="C1377" s="32" t="s">
        <v>796</v>
      </c>
      <c r="D1377" s="32" t="s">
        <v>796</v>
      </c>
      <c r="E1377" s="33" t="s">
        <v>772</v>
      </c>
      <c r="F1377" s="34">
        <v>54304</v>
      </c>
      <c r="G1377" s="34">
        <v>250000</v>
      </c>
      <c r="H1377" s="35" t="s">
        <v>2297</v>
      </c>
    </row>
    <row r="1378" spans="1:8" ht="27" customHeight="1" x14ac:dyDescent="0.2">
      <c r="A1378" s="31" t="s">
        <v>2295</v>
      </c>
      <c r="B1378" s="32" t="s">
        <v>239</v>
      </c>
      <c r="C1378" s="32" t="s">
        <v>779</v>
      </c>
      <c r="D1378" s="32" t="s">
        <v>779</v>
      </c>
      <c r="E1378" s="33" t="s">
        <v>780</v>
      </c>
      <c r="F1378" s="34">
        <v>50000</v>
      </c>
      <c r="G1378" s="34">
        <v>100000</v>
      </c>
      <c r="H1378" s="35" t="s">
        <v>2298</v>
      </c>
    </row>
    <row r="1379" spans="1:8" ht="27" customHeight="1" x14ac:dyDescent="0.2">
      <c r="A1379" s="31" t="s">
        <v>2295</v>
      </c>
      <c r="B1379" s="32" t="s">
        <v>239</v>
      </c>
      <c r="C1379" s="32" t="s">
        <v>782</v>
      </c>
      <c r="D1379" s="32" t="s">
        <v>783</v>
      </c>
      <c r="E1379" s="33" t="s">
        <v>784</v>
      </c>
      <c r="F1379" s="34">
        <v>0</v>
      </c>
      <c r="G1379" s="34">
        <v>50000</v>
      </c>
      <c r="H1379" s="35" t="s">
        <v>2299</v>
      </c>
    </row>
    <row r="1380" spans="1:8" ht="27" customHeight="1" x14ac:dyDescent="0.2">
      <c r="A1380" s="31" t="s">
        <v>2300</v>
      </c>
      <c r="B1380" s="32" t="s">
        <v>2301</v>
      </c>
      <c r="C1380" s="32" t="s">
        <v>770</v>
      </c>
      <c r="D1380" s="32" t="s">
        <v>970</v>
      </c>
      <c r="E1380" s="33" t="s">
        <v>772</v>
      </c>
      <c r="F1380" s="34">
        <v>399212</v>
      </c>
      <c r="G1380" s="34">
        <v>399212</v>
      </c>
      <c r="H1380" s="35" t="s">
        <v>2302</v>
      </c>
    </row>
    <row r="1381" spans="1:8" ht="27" customHeight="1" x14ac:dyDescent="0.2">
      <c r="A1381" s="31" t="s">
        <v>2300</v>
      </c>
      <c r="B1381" s="32" t="s">
        <v>2301</v>
      </c>
      <c r="C1381" s="32" t="s">
        <v>796</v>
      </c>
      <c r="D1381" s="32" t="s">
        <v>811</v>
      </c>
      <c r="E1381" s="33" t="s">
        <v>772</v>
      </c>
      <c r="F1381" s="34">
        <v>271693</v>
      </c>
      <c r="G1381" s="34">
        <v>271693</v>
      </c>
      <c r="H1381" s="35" t="s">
        <v>2303</v>
      </c>
    </row>
    <row r="1382" spans="1:8" ht="27" customHeight="1" x14ac:dyDescent="0.2">
      <c r="A1382" s="31" t="s">
        <v>2300</v>
      </c>
      <c r="B1382" s="32" t="s">
        <v>2301</v>
      </c>
      <c r="C1382" s="32" t="s">
        <v>779</v>
      </c>
      <c r="D1382" s="32" t="s">
        <v>876</v>
      </c>
      <c r="E1382" s="33" t="s">
        <v>780</v>
      </c>
      <c r="F1382" s="34">
        <v>25000</v>
      </c>
      <c r="G1382" s="34">
        <v>25000</v>
      </c>
      <c r="H1382" s="35" t="s">
        <v>2304</v>
      </c>
    </row>
    <row r="1383" spans="1:8" ht="27" customHeight="1" x14ac:dyDescent="0.2">
      <c r="A1383" s="31" t="s">
        <v>2305</v>
      </c>
      <c r="B1383" s="32" t="s">
        <v>2306</v>
      </c>
      <c r="C1383" s="32" t="s">
        <v>763</v>
      </c>
      <c r="D1383" s="32" t="s">
        <v>816</v>
      </c>
      <c r="E1383" s="33" t="s">
        <v>764</v>
      </c>
      <c r="F1383" s="34">
        <v>25190</v>
      </c>
      <c r="G1383" s="34">
        <v>50190</v>
      </c>
      <c r="H1383" s="35" t="s">
        <v>2307</v>
      </c>
    </row>
    <row r="1384" spans="1:8" ht="27" customHeight="1" x14ac:dyDescent="0.2">
      <c r="A1384" s="31" t="s">
        <v>2305</v>
      </c>
      <c r="B1384" s="32" t="s">
        <v>2306</v>
      </c>
      <c r="C1384" s="32" t="s">
        <v>763</v>
      </c>
      <c r="D1384" s="32" t="s">
        <v>2308</v>
      </c>
      <c r="E1384" s="33" t="s">
        <v>764</v>
      </c>
      <c r="F1384" s="34">
        <v>100000</v>
      </c>
      <c r="G1384" s="34">
        <v>100000</v>
      </c>
      <c r="H1384" s="35" t="s">
        <v>2309</v>
      </c>
    </row>
    <row r="1385" spans="1:8" ht="27" customHeight="1" x14ac:dyDescent="0.2">
      <c r="A1385" s="31" t="s">
        <v>2305</v>
      </c>
      <c r="B1385" s="32" t="s">
        <v>2306</v>
      </c>
      <c r="C1385" s="32" t="s">
        <v>770</v>
      </c>
      <c r="D1385" s="32" t="s">
        <v>2310</v>
      </c>
      <c r="E1385" s="33" t="s">
        <v>772</v>
      </c>
      <c r="F1385" s="34">
        <v>164192</v>
      </c>
      <c r="G1385" s="34">
        <v>164192</v>
      </c>
      <c r="H1385" s="35" t="s">
        <v>2311</v>
      </c>
    </row>
    <row r="1386" spans="1:8" ht="27" customHeight="1" x14ac:dyDescent="0.2">
      <c r="A1386" s="31" t="s">
        <v>2305</v>
      </c>
      <c r="B1386" s="32" t="s">
        <v>2306</v>
      </c>
      <c r="C1386" s="32" t="s">
        <v>884</v>
      </c>
      <c r="D1386" s="32" t="s">
        <v>972</v>
      </c>
      <c r="E1386" s="33" t="s">
        <v>885</v>
      </c>
      <c r="F1386" s="34">
        <v>33000</v>
      </c>
      <c r="G1386" s="34">
        <v>33000</v>
      </c>
      <c r="H1386" s="35" t="s">
        <v>2312</v>
      </c>
    </row>
    <row r="1387" spans="1:8" ht="27" customHeight="1" x14ac:dyDescent="0.2">
      <c r="A1387" s="31" t="s">
        <v>2305</v>
      </c>
      <c r="B1387" s="32" t="s">
        <v>2306</v>
      </c>
      <c r="C1387" s="32" t="s">
        <v>860</v>
      </c>
      <c r="D1387" s="32" t="s">
        <v>911</v>
      </c>
      <c r="E1387" s="33" t="s">
        <v>861</v>
      </c>
      <c r="F1387" s="34">
        <v>200000</v>
      </c>
      <c r="G1387" s="34">
        <v>200000</v>
      </c>
      <c r="H1387" s="35" t="s">
        <v>2313</v>
      </c>
    </row>
    <row r="1388" spans="1:8" ht="27" customHeight="1" x14ac:dyDescent="0.2">
      <c r="A1388" s="31" t="s">
        <v>2305</v>
      </c>
      <c r="B1388" s="32" t="s">
        <v>2306</v>
      </c>
      <c r="C1388" s="32" t="s">
        <v>796</v>
      </c>
      <c r="D1388" s="32" t="s">
        <v>796</v>
      </c>
      <c r="E1388" s="33" t="s">
        <v>823</v>
      </c>
      <c r="F1388" s="34">
        <v>120000</v>
      </c>
      <c r="G1388" s="34">
        <v>120000</v>
      </c>
      <c r="H1388" s="35" t="s">
        <v>2314</v>
      </c>
    </row>
    <row r="1389" spans="1:8" ht="27" customHeight="1" x14ac:dyDescent="0.2">
      <c r="A1389" s="31" t="s">
        <v>2305</v>
      </c>
      <c r="B1389" s="32" t="s">
        <v>2306</v>
      </c>
      <c r="C1389" s="32" t="s">
        <v>779</v>
      </c>
      <c r="D1389" s="32" t="s">
        <v>826</v>
      </c>
      <c r="E1389" s="33" t="s">
        <v>780</v>
      </c>
      <c r="F1389" s="34">
        <v>95000</v>
      </c>
      <c r="G1389" s="34">
        <v>95000</v>
      </c>
      <c r="H1389" s="35" t="s">
        <v>2315</v>
      </c>
    </row>
    <row r="1390" spans="1:8" ht="27" customHeight="1" x14ac:dyDescent="0.2">
      <c r="A1390" s="31" t="s">
        <v>2316</v>
      </c>
      <c r="B1390" s="32" t="s">
        <v>2317</v>
      </c>
      <c r="C1390" s="32" t="s">
        <v>763</v>
      </c>
      <c r="D1390" s="32" t="s">
        <v>816</v>
      </c>
      <c r="E1390" s="33" t="s">
        <v>764</v>
      </c>
      <c r="F1390" s="34">
        <v>503919</v>
      </c>
      <c r="G1390" s="34">
        <v>705065</v>
      </c>
      <c r="H1390" s="35" t="s">
        <v>2318</v>
      </c>
    </row>
    <row r="1391" spans="1:8" ht="27" customHeight="1" x14ac:dyDescent="0.2">
      <c r="A1391" s="31" t="s">
        <v>2316</v>
      </c>
      <c r="B1391" s="32" t="s">
        <v>2317</v>
      </c>
      <c r="C1391" s="32" t="s">
        <v>763</v>
      </c>
      <c r="D1391" s="32" t="s">
        <v>1019</v>
      </c>
      <c r="E1391" s="33" t="s">
        <v>764</v>
      </c>
      <c r="F1391" s="34">
        <v>1575623</v>
      </c>
      <c r="G1391" s="34">
        <v>157713</v>
      </c>
      <c r="H1391" s="35" t="s">
        <v>2319</v>
      </c>
    </row>
    <row r="1392" spans="1:8" ht="27" customHeight="1" x14ac:dyDescent="0.2">
      <c r="A1392" s="31" t="s">
        <v>2316</v>
      </c>
      <c r="B1392" s="32" t="s">
        <v>2317</v>
      </c>
      <c r="C1392" s="32" t="s">
        <v>763</v>
      </c>
      <c r="D1392" s="32" t="s">
        <v>2320</v>
      </c>
      <c r="E1392" s="33" t="s">
        <v>764</v>
      </c>
      <c r="F1392" s="34">
        <v>40006</v>
      </c>
      <c r="G1392" s="34">
        <v>80008</v>
      </c>
      <c r="H1392" s="35" t="s">
        <v>2321</v>
      </c>
    </row>
    <row r="1393" spans="1:8" ht="27" customHeight="1" x14ac:dyDescent="0.2">
      <c r="A1393" s="31" t="s">
        <v>2316</v>
      </c>
      <c r="B1393" s="32" t="s">
        <v>2317</v>
      </c>
      <c r="C1393" s="32" t="s">
        <v>773</v>
      </c>
      <c r="D1393" s="32" t="s">
        <v>973</v>
      </c>
      <c r="E1393" s="33" t="s">
        <v>775</v>
      </c>
      <c r="F1393" s="34">
        <v>25200</v>
      </c>
      <c r="G1393" s="34">
        <v>0</v>
      </c>
      <c r="H1393" s="35" t="s">
        <v>2322</v>
      </c>
    </row>
    <row r="1394" spans="1:8" ht="27" customHeight="1" x14ac:dyDescent="0.2">
      <c r="A1394" s="31" t="s">
        <v>2316</v>
      </c>
      <c r="B1394" s="32" t="s">
        <v>2317</v>
      </c>
      <c r="C1394" s="32" t="s">
        <v>860</v>
      </c>
      <c r="D1394" s="32" t="s">
        <v>911</v>
      </c>
      <c r="E1394" s="33" t="s">
        <v>861</v>
      </c>
      <c r="F1394" s="34">
        <v>241532</v>
      </c>
      <c r="G1394" s="34">
        <v>241832</v>
      </c>
      <c r="H1394" s="35" t="s">
        <v>2323</v>
      </c>
    </row>
    <row r="1395" spans="1:8" ht="27" customHeight="1" x14ac:dyDescent="0.2">
      <c r="A1395" s="31" t="s">
        <v>2316</v>
      </c>
      <c r="B1395" s="32" t="s">
        <v>2317</v>
      </c>
      <c r="C1395" s="32" t="s">
        <v>796</v>
      </c>
      <c r="D1395" s="32" t="s">
        <v>1095</v>
      </c>
      <c r="E1395" s="33" t="s">
        <v>772</v>
      </c>
      <c r="F1395" s="34">
        <v>255963</v>
      </c>
      <c r="G1395" s="34">
        <v>256838</v>
      </c>
      <c r="H1395" s="35" t="s">
        <v>2324</v>
      </c>
    </row>
    <row r="1396" spans="1:8" ht="27" customHeight="1" x14ac:dyDescent="0.2">
      <c r="A1396" s="31" t="s">
        <v>2316</v>
      </c>
      <c r="B1396" s="32" t="s">
        <v>2317</v>
      </c>
      <c r="C1396" s="32" t="s">
        <v>779</v>
      </c>
      <c r="D1396" s="32" t="s">
        <v>826</v>
      </c>
      <c r="E1396" s="33" t="s">
        <v>780</v>
      </c>
      <c r="F1396" s="34">
        <v>33924</v>
      </c>
      <c r="G1396" s="34">
        <v>33940</v>
      </c>
      <c r="H1396" s="35" t="s">
        <v>2325</v>
      </c>
    </row>
    <row r="1397" spans="1:8" ht="27" customHeight="1" x14ac:dyDescent="0.2">
      <c r="A1397" s="31" t="s">
        <v>2326</v>
      </c>
      <c r="B1397" s="32" t="s">
        <v>2327</v>
      </c>
      <c r="C1397" s="32" t="s">
        <v>763</v>
      </c>
      <c r="D1397" s="32" t="s">
        <v>816</v>
      </c>
      <c r="E1397" s="33" t="s">
        <v>764</v>
      </c>
      <c r="F1397" s="34">
        <v>375000</v>
      </c>
      <c r="G1397" s="34">
        <v>890400</v>
      </c>
      <c r="H1397" s="35" t="s">
        <v>2328</v>
      </c>
    </row>
    <row r="1398" spans="1:8" ht="27" customHeight="1" x14ac:dyDescent="0.2">
      <c r="A1398" s="31" t="s">
        <v>2326</v>
      </c>
      <c r="B1398" s="32" t="s">
        <v>2327</v>
      </c>
      <c r="C1398" s="32" t="s">
        <v>770</v>
      </c>
      <c r="D1398" s="32" t="s">
        <v>820</v>
      </c>
      <c r="E1398" s="33" t="s">
        <v>772</v>
      </c>
      <c r="F1398" s="34">
        <v>350376</v>
      </c>
      <c r="G1398" s="34">
        <v>330000</v>
      </c>
      <c r="H1398" s="35" t="s">
        <v>2329</v>
      </c>
    </row>
    <row r="1399" spans="1:8" ht="27" customHeight="1" x14ac:dyDescent="0.2">
      <c r="A1399" s="31" t="s">
        <v>2326</v>
      </c>
      <c r="B1399" s="32" t="s">
        <v>2327</v>
      </c>
      <c r="C1399" s="32" t="s">
        <v>844</v>
      </c>
      <c r="D1399" s="32" t="s">
        <v>972</v>
      </c>
      <c r="E1399" s="33" t="s">
        <v>846</v>
      </c>
      <c r="F1399" s="34">
        <v>622903</v>
      </c>
      <c r="G1399" s="34">
        <v>622903</v>
      </c>
      <c r="H1399" s="35" t="s">
        <v>2330</v>
      </c>
    </row>
    <row r="1400" spans="1:8" ht="27" customHeight="1" x14ac:dyDescent="0.2">
      <c r="A1400" s="31" t="s">
        <v>2326</v>
      </c>
      <c r="B1400" s="32" t="s">
        <v>2327</v>
      </c>
      <c r="C1400" s="32" t="s">
        <v>773</v>
      </c>
      <c r="D1400" s="32" t="s">
        <v>973</v>
      </c>
      <c r="E1400" s="33" t="s">
        <v>775</v>
      </c>
      <c r="F1400" s="34">
        <v>150078</v>
      </c>
      <c r="G1400" s="34">
        <v>150078</v>
      </c>
      <c r="H1400" s="35" t="s">
        <v>2331</v>
      </c>
    </row>
    <row r="1401" spans="1:8" ht="27" customHeight="1" x14ac:dyDescent="0.2">
      <c r="A1401" s="31" t="s">
        <v>2326</v>
      </c>
      <c r="B1401" s="32" t="s">
        <v>2327</v>
      </c>
      <c r="C1401" s="32" t="s">
        <v>886</v>
      </c>
      <c r="D1401" s="32" t="s">
        <v>2332</v>
      </c>
      <c r="E1401" s="33" t="s">
        <v>887</v>
      </c>
      <c r="F1401" s="34">
        <v>150078</v>
      </c>
      <c r="G1401" s="34">
        <v>150078</v>
      </c>
      <c r="H1401" s="35" t="s">
        <v>2333</v>
      </c>
    </row>
    <row r="1402" spans="1:8" ht="27" customHeight="1" x14ac:dyDescent="0.2">
      <c r="A1402" s="31" t="s">
        <v>2326</v>
      </c>
      <c r="B1402" s="32" t="s">
        <v>2327</v>
      </c>
      <c r="C1402" s="32" t="s">
        <v>860</v>
      </c>
      <c r="D1402" s="32" t="s">
        <v>911</v>
      </c>
      <c r="E1402" s="33" t="s">
        <v>861</v>
      </c>
      <c r="F1402" s="34">
        <v>166143</v>
      </c>
      <c r="G1402" s="34">
        <v>166143</v>
      </c>
      <c r="H1402" s="35" t="s">
        <v>2334</v>
      </c>
    </row>
    <row r="1403" spans="1:8" ht="27" customHeight="1" x14ac:dyDescent="0.2">
      <c r="A1403" s="31" t="s">
        <v>2326</v>
      </c>
      <c r="B1403" s="32" t="s">
        <v>2327</v>
      </c>
      <c r="C1403" s="32" t="s">
        <v>796</v>
      </c>
      <c r="D1403" s="32" t="s">
        <v>2335</v>
      </c>
      <c r="E1403" s="33" t="s">
        <v>823</v>
      </c>
      <c r="F1403" s="34">
        <v>2441212</v>
      </c>
      <c r="G1403" s="34">
        <v>2229377</v>
      </c>
      <c r="H1403" s="35" t="s">
        <v>2336</v>
      </c>
    </row>
    <row r="1404" spans="1:8" ht="27" customHeight="1" x14ac:dyDescent="0.2">
      <c r="A1404" s="31" t="s">
        <v>2326</v>
      </c>
      <c r="B1404" s="32" t="s">
        <v>2327</v>
      </c>
      <c r="C1404" s="32" t="s">
        <v>779</v>
      </c>
      <c r="D1404" s="32" t="s">
        <v>876</v>
      </c>
      <c r="E1404" s="33" t="s">
        <v>780</v>
      </c>
      <c r="F1404" s="34">
        <v>150710</v>
      </c>
      <c r="G1404" s="34">
        <v>150680</v>
      </c>
      <c r="H1404" s="35" t="s">
        <v>2337</v>
      </c>
    </row>
    <row r="1405" spans="1:8" ht="27" customHeight="1" x14ac:dyDescent="0.2">
      <c r="A1405" s="31" t="s">
        <v>2326</v>
      </c>
      <c r="B1405" s="32" t="s">
        <v>2327</v>
      </c>
      <c r="C1405" s="32" t="s">
        <v>782</v>
      </c>
      <c r="D1405" s="32" t="s">
        <v>813</v>
      </c>
      <c r="E1405" s="33" t="s">
        <v>784</v>
      </c>
      <c r="F1405" s="34">
        <v>263159</v>
      </c>
      <c r="G1405" s="34">
        <v>280000</v>
      </c>
      <c r="H1405" s="35" t="s">
        <v>2338</v>
      </c>
    </row>
    <row r="1406" spans="1:8" ht="27" customHeight="1" x14ac:dyDescent="0.2">
      <c r="A1406" s="31" t="s">
        <v>2339</v>
      </c>
      <c r="B1406" s="32" t="s">
        <v>2340</v>
      </c>
      <c r="C1406" s="32" t="s">
        <v>763</v>
      </c>
      <c r="D1406" s="32" t="s">
        <v>763</v>
      </c>
      <c r="E1406" s="33" t="s">
        <v>764</v>
      </c>
      <c r="F1406" s="34">
        <v>50888</v>
      </c>
      <c r="G1406" s="34">
        <v>50945</v>
      </c>
      <c r="H1406" s="35" t="s">
        <v>2341</v>
      </c>
    </row>
    <row r="1407" spans="1:8" ht="27" customHeight="1" x14ac:dyDescent="0.2">
      <c r="A1407" s="31" t="s">
        <v>2339</v>
      </c>
      <c r="B1407" s="32" t="s">
        <v>2340</v>
      </c>
      <c r="C1407" s="32" t="s">
        <v>766</v>
      </c>
      <c r="D1407" s="32" t="s">
        <v>2034</v>
      </c>
      <c r="E1407" s="33" t="s">
        <v>768</v>
      </c>
      <c r="F1407" s="34">
        <v>1120462</v>
      </c>
      <c r="G1407" s="34">
        <v>1056000</v>
      </c>
      <c r="H1407" s="35" t="s">
        <v>2342</v>
      </c>
    </row>
    <row r="1408" spans="1:8" ht="27" customHeight="1" x14ac:dyDescent="0.2">
      <c r="A1408" s="31" t="s">
        <v>2339</v>
      </c>
      <c r="B1408" s="32" t="s">
        <v>2340</v>
      </c>
      <c r="C1408" s="32" t="s">
        <v>770</v>
      </c>
      <c r="D1408" s="32" t="s">
        <v>1011</v>
      </c>
      <c r="E1408" s="33" t="s">
        <v>772</v>
      </c>
      <c r="F1408" s="34">
        <v>350000</v>
      </c>
      <c r="G1408" s="34">
        <v>305000</v>
      </c>
      <c r="H1408" s="35" t="s">
        <v>2343</v>
      </c>
    </row>
    <row r="1409" spans="1:8" ht="27" customHeight="1" x14ac:dyDescent="0.2">
      <c r="A1409" s="31" t="s">
        <v>2339</v>
      </c>
      <c r="B1409" s="32" t="s">
        <v>2340</v>
      </c>
      <c r="C1409" s="32" t="s">
        <v>860</v>
      </c>
      <c r="D1409" s="32" t="s">
        <v>860</v>
      </c>
      <c r="E1409" s="33" t="s">
        <v>861</v>
      </c>
      <c r="F1409" s="34">
        <v>56679</v>
      </c>
      <c r="G1409" s="34">
        <v>56743</v>
      </c>
      <c r="H1409" s="35" t="s">
        <v>2344</v>
      </c>
    </row>
    <row r="1410" spans="1:8" ht="27" customHeight="1" x14ac:dyDescent="0.2">
      <c r="A1410" s="31" t="s">
        <v>2339</v>
      </c>
      <c r="B1410" s="32" t="s">
        <v>2340</v>
      </c>
      <c r="C1410" s="32" t="s">
        <v>796</v>
      </c>
      <c r="D1410" s="32" t="s">
        <v>796</v>
      </c>
      <c r="E1410" s="33" t="s">
        <v>772</v>
      </c>
      <c r="F1410" s="34">
        <v>1000000</v>
      </c>
      <c r="G1410" s="34">
        <v>1000000</v>
      </c>
      <c r="H1410" s="35" t="s">
        <v>2345</v>
      </c>
    </row>
    <row r="1411" spans="1:8" ht="27" customHeight="1" x14ac:dyDescent="0.2">
      <c r="A1411" s="31" t="s">
        <v>2339</v>
      </c>
      <c r="B1411" s="32" t="s">
        <v>2340</v>
      </c>
      <c r="C1411" s="32" t="s">
        <v>779</v>
      </c>
      <c r="D1411" s="32" t="s">
        <v>779</v>
      </c>
      <c r="E1411" s="33" t="s">
        <v>780</v>
      </c>
      <c r="F1411" s="34">
        <v>95000</v>
      </c>
      <c r="G1411" s="34">
        <v>95000</v>
      </c>
      <c r="H1411" s="35" t="s">
        <v>2346</v>
      </c>
    </row>
    <row r="1412" spans="1:8" ht="27" customHeight="1" x14ac:dyDescent="0.2">
      <c r="A1412" s="31" t="s">
        <v>2339</v>
      </c>
      <c r="B1412" s="32" t="s">
        <v>2340</v>
      </c>
      <c r="C1412" s="32" t="s">
        <v>782</v>
      </c>
      <c r="D1412" s="32" t="s">
        <v>2347</v>
      </c>
      <c r="E1412" s="33" t="s">
        <v>784</v>
      </c>
      <c r="F1412" s="34">
        <v>240000</v>
      </c>
      <c r="G1412" s="34">
        <v>240000</v>
      </c>
      <c r="H1412" s="35" t="s">
        <v>2348</v>
      </c>
    </row>
    <row r="1413" spans="1:8" ht="27" customHeight="1" x14ac:dyDescent="0.2">
      <c r="A1413" s="31" t="s">
        <v>2349</v>
      </c>
      <c r="B1413" s="32" t="s">
        <v>2350</v>
      </c>
      <c r="C1413" s="32" t="s">
        <v>773</v>
      </c>
      <c r="D1413" s="32" t="s">
        <v>2351</v>
      </c>
      <c r="E1413" s="33" t="s">
        <v>775</v>
      </c>
      <c r="F1413" s="34">
        <v>23474</v>
      </c>
      <c r="G1413" s="34">
        <v>23474</v>
      </c>
      <c r="H1413" s="35" t="s">
        <v>2352</v>
      </c>
    </row>
    <row r="1414" spans="1:8" ht="27" customHeight="1" x14ac:dyDescent="0.2">
      <c r="A1414" s="31" t="s">
        <v>2349</v>
      </c>
      <c r="B1414" s="32" t="s">
        <v>2350</v>
      </c>
      <c r="C1414" s="32" t="s">
        <v>886</v>
      </c>
      <c r="D1414" s="32" t="s">
        <v>886</v>
      </c>
      <c r="E1414" s="33" t="s">
        <v>887</v>
      </c>
      <c r="F1414" s="34">
        <v>7050</v>
      </c>
      <c r="G1414" s="34">
        <v>7050</v>
      </c>
      <c r="H1414" s="35" t="s">
        <v>2352</v>
      </c>
    </row>
    <row r="1415" spans="1:8" ht="27" customHeight="1" x14ac:dyDescent="0.2">
      <c r="A1415" s="31" t="s">
        <v>2349</v>
      </c>
      <c r="B1415" s="32" t="s">
        <v>2350</v>
      </c>
      <c r="C1415" s="32" t="s">
        <v>779</v>
      </c>
      <c r="D1415" s="32" t="s">
        <v>826</v>
      </c>
      <c r="E1415" s="33" t="s">
        <v>780</v>
      </c>
      <c r="F1415" s="34">
        <v>30147</v>
      </c>
      <c r="G1415" s="34">
        <v>30147</v>
      </c>
      <c r="H1415" s="35" t="s">
        <v>2352</v>
      </c>
    </row>
    <row r="1416" spans="1:8" ht="27" customHeight="1" x14ac:dyDescent="0.2">
      <c r="A1416" s="31" t="s">
        <v>2353</v>
      </c>
      <c r="B1416" s="32" t="s">
        <v>102</v>
      </c>
      <c r="C1416" s="32" t="s">
        <v>763</v>
      </c>
      <c r="D1416" s="32" t="s">
        <v>816</v>
      </c>
      <c r="E1416" s="33" t="s">
        <v>764</v>
      </c>
      <c r="F1416" s="34">
        <v>0</v>
      </c>
      <c r="G1416" s="34">
        <v>250000</v>
      </c>
      <c r="H1416" s="35" t="s">
        <v>2354</v>
      </c>
    </row>
    <row r="1417" spans="1:8" ht="27" customHeight="1" x14ac:dyDescent="0.2">
      <c r="A1417" s="31" t="s">
        <v>2353</v>
      </c>
      <c r="B1417" s="32" t="s">
        <v>102</v>
      </c>
      <c r="C1417" s="32" t="s">
        <v>766</v>
      </c>
      <c r="D1417" s="32" t="s">
        <v>808</v>
      </c>
      <c r="E1417" s="33" t="s">
        <v>768</v>
      </c>
      <c r="F1417" s="34">
        <v>0</v>
      </c>
      <c r="G1417" s="34">
        <v>0</v>
      </c>
      <c r="H1417" s="35" t="s">
        <v>859</v>
      </c>
    </row>
    <row r="1418" spans="1:8" ht="27" customHeight="1" x14ac:dyDescent="0.2">
      <c r="A1418" s="31" t="s">
        <v>2353</v>
      </c>
      <c r="B1418" s="32" t="s">
        <v>102</v>
      </c>
      <c r="C1418" s="32" t="s">
        <v>770</v>
      </c>
      <c r="D1418" s="32" t="s">
        <v>770</v>
      </c>
      <c r="E1418" s="33" t="s">
        <v>772</v>
      </c>
      <c r="F1418" s="34">
        <v>0</v>
      </c>
      <c r="G1418" s="34">
        <v>0</v>
      </c>
      <c r="H1418" s="35" t="s">
        <v>859</v>
      </c>
    </row>
    <row r="1419" spans="1:8" ht="27" customHeight="1" x14ac:dyDescent="0.2">
      <c r="A1419" s="31" t="s">
        <v>2353</v>
      </c>
      <c r="B1419" s="32" t="s">
        <v>102</v>
      </c>
      <c r="C1419" s="32" t="s">
        <v>884</v>
      </c>
      <c r="D1419" s="32" t="s">
        <v>1365</v>
      </c>
      <c r="E1419" s="33" t="s">
        <v>885</v>
      </c>
      <c r="F1419" s="34">
        <v>0</v>
      </c>
      <c r="G1419" s="34">
        <v>0</v>
      </c>
      <c r="H1419" s="35" t="s">
        <v>859</v>
      </c>
    </row>
    <row r="1420" spans="1:8" ht="27" customHeight="1" x14ac:dyDescent="0.2">
      <c r="A1420" s="31" t="s">
        <v>2353</v>
      </c>
      <c r="B1420" s="32" t="s">
        <v>102</v>
      </c>
      <c r="C1420" s="32" t="s">
        <v>844</v>
      </c>
      <c r="D1420" s="32" t="s">
        <v>844</v>
      </c>
      <c r="E1420" s="33" t="s">
        <v>846</v>
      </c>
      <c r="F1420" s="34">
        <v>0</v>
      </c>
      <c r="G1420" s="34">
        <v>0</v>
      </c>
      <c r="H1420" s="35" t="s">
        <v>859</v>
      </c>
    </row>
    <row r="1421" spans="1:8" ht="27" customHeight="1" x14ac:dyDescent="0.2">
      <c r="A1421" s="31" t="s">
        <v>2353</v>
      </c>
      <c r="B1421" s="32" t="s">
        <v>102</v>
      </c>
      <c r="C1421" s="32" t="s">
        <v>773</v>
      </c>
      <c r="D1421" s="32" t="s">
        <v>773</v>
      </c>
      <c r="E1421" s="33" t="s">
        <v>775</v>
      </c>
      <c r="F1421" s="34">
        <v>0</v>
      </c>
      <c r="G1421" s="34">
        <v>0</v>
      </c>
      <c r="H1421" s="35" t="s">
        <v>859</v>
      </c>
    </row>
    <row r="1422" spans="1:8" ht="27" customHeight="1" x14ac:dyDescent="0.2">
      <c r="A1422" s="31" t="s">
        <v>2353</v>
      </c>
      <c r="B1422" s="32" t="s">
        <v>102</v>
      </c>
      <c r="C1422" s="32" t="s">
        <v>831</v>
      </c>
      <c r="D1422" s="32" t="s">
        <v>831</v>
      </c>
      <c r="E1422" s="33" t="s">
        <v>859</v>
      </c>
      <c r="F1422" s="34">
        <v>0</v>
      </c>
      <c r="G1422" s="34">
        <v>0</v>
      </c>
      <c r="H1422" s="35" t="s">
        <v>859</v>
      </c>
    </row>
    <row r="1423" spans="1:8" ht="27" customHeight="1" x14ac:dyDescent="0.2">
      <c r="A1423" s="31" t="s">
        <v>2353</v>
      </c>
      <c r="B1423" s="32" t="s">
        <v>102</v>
      </c>
      <c r="C1423" s="32" t="s">
        <v>886</v>
      </c>
      <c r="D1423" s="32" t="s">
        <v>886</v>
      </c>
      <c r="E1423" s="33" t="s">
        <v>887</v>
      </c>
      <c r="F1423" s="34">
        <v>0</v>
      </c>
      <c r="G1423" s="34">
        <v>0</v>
      </c>
      <c r="H1423" s="35" t="s">
        <v>859</v>
      </c>
    </row>
    <row r="1424" spans="1:8" ht="27" customHeight="1" x14ac:dyDescent="0.2">
      <c r="A1424" s="31" t="s">
        <v>2353</v>
      </c>
      <c r="B1424" s="32" t="s">
        <v>102</v>
      </c>
      <c r="C1424" s="32" t="s">
        <v>860</v>
      </c>
      <c r="D1424" s="32" t="s">
        <v>911</v>
      </c>
      <c r="E1424" s="33" t="s">
        <v>861</v>
      </c>
      <c r="F1424" s="34">
        <v>0</v>
      </c>
      <c r="G1424" s="34">
        <v>0</v>
      </c>
      <c r="H1424" s="35" t="s">
        <v>859</v>
      </c>
    </row>
    <row r="1425" spans="1:8" ht="27" customHeight="1" x14ac:dyDescent="0.2">
      <c r="A1425" s="31" t="s">
        <v>2353</v>
      </c>
      <c r="B1425" s="32" t="s">
        <v>102</v>
      </c>
      <c r="C1425" s="32" t="s">
        <v>796</v>
      </c>
      <c r="D1425" s="32" t="s">
        <v>835</v>
      </c>
      <c r="E1425" s="33" t="s">
        <v>772</v>
      </c>
      <c r="F1425" s="34">
        <v>354522</v>
      </c>
      <c r="G1425" s="34">
        <v>286522</v>
      </c>
      <c r="H1425" s="35" t="s">
        <v>1135</v>
      </c>
    </row>
    <row r="1426" spans="1:8" ht="27" customHeight="1" x14ac:dyDescent="0.2">
      <c r="A1426" s="31" t="s">
        <v>2353</v>
      </c>
      <c r="B1426" s="32" t="s">
        <v>102</v>
      </c>
      <c r="C1426" s="32" t="s">
        <v>776</v>
      </c>
      <c r="D1426" s="32" t="s">
        <v>776</v>
      </c>
      <c r="E1426" s="33" t="s">
        <v>777</v>
      </c>
      <c r="F1426" s="34">
        <v>123785</v>
      </c>
      <c r="G1426" s="34">
        <v>123785</v>
      </c>
      <c r="H1426" s="35" t="s">
        <v>2355</v>
      </c>
    </row>
    <row r="1427" spans="1:8" ht="27" customHeight="1" x14ac:dyDescent="0.2">
      <c r="A1427" s="31" t="s">
        <v>2353</v>
      </c>
      <c r="B1427" s="32" t="s">
        <v>102</v>
      </c>
      <c r="C1427" s="32" t="s">
        <v>798</v>
      </c>
      <c r="D1427" s="32" t="s">
        <v>1014</v>
      </c>
      <c r="E1427" s="33" t="s">
        <v>800</v>
      </c>
      <c r="F1427" s="34">
        <v>0</v>
      </c>
      <c r="G1427" s="34">
        <v>0</v>
      </c>
      <c r="H1427" s="35" t="s">
        <v>859</v>
      </c>
    </row>
    <row r="1428" spans="1:8" ht="27" customHeight="1" x14ac:dyDescent="0.2">
      <c r="A1428" s="31" t="s">
        <v>2353</v>
      </c>
      <c r="B1428" s="32" t="s">
        <v>102</v>
      </c>
      <c r="C1428" s="32" t="s">
        <v>892</v>
      </c>
      <c r="D1428" s="32" t="s">
        <v>1226</v>
      </c>
      <c r="E1428" s="33" t="s">
        <v>893</v>
      </c>
      <c r="F1428" s="34">
        <v>0</v>
      </c>
      <c r="G1428" s="34">
        <v>0</v>
      </c>
      <c r="H1428" s="35" t="s">
        <v>859</v>
      </c>
    </row>
    <row r="1429" spans="1:8" ht="27" customHeight="1" x14ac:dyDescent="0.2">
      <c r="A1429" s="31" t="s">
        <v>2353</v>
      </c>
      <c r="B1429" s="32" t="s">
        <v>102</v>
      </c>
      <c r="C1429" s="32" t="s">
        <v>779</v>
      </c>
      <c r="D1429" s="32" t="s">
        <v>826</v>
      </c>
      <c r="E1429" s="33" t="s">
        <v>780</v>
      </c>
      <c r="F1429" s="34">
        <v>60191</v>
      </c>
      <c r="G1429" s="34">
        <v>60191</v>
      </c>
      <c r="H1429" s="35" t="s">
        <v>2354</v>
      </c>
    </row>
    <row r="1430" spans="1:8" ht="27" customHeight="1" x14ac:dyDescent="0.2">
      <c r="A1430" s="31" t="s">
        <v>2353</v>
      </c>
      <c r="B1430" s="32" t="s">
        <v>102</v>
      </c>
      <c r="C1430" s="32" t="s">
        <v>782</v>
      </c>
      <c r="D1430" s="32" t="s">
        <v>782</v>
      </c>
      <c r="E1430" s="33" t="s">
        <v>784</v>
      </c>
      <c r="F1430" s="34">
        <v>0</v>
      </c>
      <c r="G1430" s="34">
        <v>0</v>
      </c>
      <c r="H1430" s="35" t="s">
        <v>2356</v>
      </c>
    </row>
    <row r="1431" spans="1:8" ht="27" customHeight="1" x14ac:dyDescent="0.2">
      <c r="A1431" s="31" t="s">
        <v>2357</v>
      </c>
      <c r="B1431" s="32" t="s">
        <v>2358</v>
      </c>
      <c r="C1431" s="32" t="s">
        <v>763</v>
      </c>
      <c r="D1431" s="32" t="s">
        <v>2359</v>
      </c>
      <c r="E1431" s="33" t="s">
        <v>764</v>
      </c>
      <c r="F1431" s="34">
        <v>5500000</v>
      </c>
      <c r="G1431" s="34">
        <v>5500000</v>
      </c>
      <c r="H1431" s="35" t="s">
        <v>2360</v>
      </c>
    </row>
    <row r="1432" spans="1:8" ht="27" customHeight="1" x14ac:dyDescent="0.2">
      <c r="A1432" s="31" t="s">
        <v>2357</v>
      </c>
      <c r="B1432" s="32" t="s">
        <v>2358</v>
      </c>
      <c r="C1432" s="32" t="s">
        <v>763</v>
      </c>
      <c r="D1432" s="32" t="s">
        <v>2361</v>
      </c>
      <c r="E1432" s="33" t="s">
        <v>764</v>
      </c>
      <c r="F1432" s="34">
        <v>4000000</v>
      </c>
      <c r="G1432" s="34">
        <v>8000000</v>
      </c>
      <c r="H1432" s="35" t="s">
        <v>2360</v>
      </c>
    </row>
    <row r="1433" spans="1:8" ht="27" customHeight="1" x14ac:dyDescent="0.2">
      <c r="A1433" s="31" t="s">
        <v>2362</v>
      </c>
      <c r="B1433" s="32" t="s">
        <v>2363</v>
      </c>
      <c r="C1433" s="32" t="s">
        <v>766</v>
      </c>
      <c r="D1433" s="32" t="s">
        <v>767</v>
      </c>
      <c r="E1433" s="33" t="s">
        <v>768</v>
      </c>
      <c r="F1433" s="34">
        <v>79765</v>
      </c>
      <c r="G1433" s="34">
        <v>71765</v>
      </c>
      <c r="H1433" s="35" t="s">
        <v>2364</v>
      </c>
    </row>
    <row r="1434" spans="1:8" ht="27" customHeight="1" x14ac:dyDescent="0.2">
      <c r="A1434" s="31" t="s">
        <v>2362</v>
      </c>
      <c r="B1434" s="32" t="s">
        <v>2363</v>
      </c>
      <c r="C1434" s="32" t="s">
        <v>770</v>
      </c>
      <c r="D1434" s="32" t="s">
        <v>1011</v>
      </c>
      <c r="E1434" s="33" t="s">
        <v>772</v>
      </c>
      <c r="F1434" s="34">
        <v>241270</v>
      </c>
      <c r="G1434" s="34">
        <v>231270</v>
      </c>
      <c r="H1434" s="35" t="s">
        <v>2365</v>
      </c>
    </row>
    <row r="1435" spans="1:8" ht="27" customHeight="1" x14ac:dyDescent="0.2">
      <c r="A1435" s="31" t="s">
        <v>2362</v>
      </c>
      <c r="B1435" s="32" t="s">
        <v>2363</v>
      </c>
      <c r="C1435" s="32" t="s">
        <v>796</v>
      </c>
      <c r="D1435" s="32" t="s">
        <v>1050</v>
      </c>
      <c r="E1435" s="33" t="s">
        <v>823</v>
      </c>
      <c r="F1435" s="34">
        <v>1350419</v>
      </c>
      <c r="G1435" s="34">
        <v>1350419</v>
      </c>
      <c r="H1435" s="35" t="s">
        <v>2366</v>
      </c>
    </row>
    <row r="1436" spans="1:8" ht="27" customHeight="1" x14ac:dyDescent="0.2">
      <c r="A1436" s="31" t="s">
        <v>2362</v>
      </c>
      <c r="B1436" s="32" t="s">
        <v>2363</v>
      </c>
      <c r="C1436" s="32" t="s">
        <v>779</v>
      </c>
      <c r="D1436" s="32" t="s">
        <v>802</v>
      </c>
      <c r="E1436" s="33" t="s">
        <v>780</v>
      </c>
      <c r="F1436" s="34">
        <v>233940</v>
      </c>
      <c r="G1436" s="34">
        <v>233940</v>
      </c>
      <c r="H1436" s="35" t="s">
        <v>2367</v>
      </c>
    </row>
    <row r="1437" spans="1:8" ht="27" customHeight="1" x14ac:dyDescent="0.2">
      <c r="A1437" s="31" t="s">
        <v>2362</v>
      </c>
      <c r="B1437" s="32" t="s">
        <v>2363</v>
      </c>
      <c r="C1437" s="32" t="s">
        <v>782</v>
      </c>
      <c r="D1437" s="32" t="s">
        <v>1735</v>
      </c>
      <c r="E1437" s="33" t="s">
        <v>784</v>
      </c>
      <c r="F1437" s="34">
        <v>267563</v>
      </c>
      <c r="G1437" s="34">
        <v>267563</v>
      </c>
      <c r="H1437" s="35" t="s">
        <v>2368</v>
      </c>
    </row>
    <row r="1438" spans="1:8" ht="27" customHeight="1" x14ac:dyDescent="0.2">
      <c r="A1438" s="31" t="s">
        <v>2369</v>
      </c>
      <c r="B1438" s="32" t="s">
        <v>2370</v>
      </c>
      <c r="C1438" s="32" t="s">
        <v>763</v>
      </c>
      <c r="D1438" s="32" t="s">
        <v>763</v>
      </c>
      <c r="E1438" s="33" t="s">
        <v>764</v>
      </c>
      <c r="F1438" s="34">
        <v>621780</v>
      </c>
      <c r="G1438" s="34">
        <v>621780</v>
      </c>
      <c r="H1438" s="35" t="s">
        <v>2371</v>
      </c>
    </row>
    <row r="1439" spans="1:8" ht="27" customHeight="1" x14ac:dyDescent="0.2">
      <c r="A1439" s="31" t="s">
        <v>2369</v>
      </c>
      <c r="B1439" s="32" t="s">
        <v>2370</v>
      </c>
      <c r="C1439" s="32" t="s">
        <v>766</v>
      </c>
      <c r="D1439" s="32" t="s">
        <v>767</v>
      </c>
      <c r="E1439" s="33" t="s">
        <v>768</v>
      </c>
      <c r="F1439" s="34">
        <v>981801</v>
      </c>
      <c r="G1439" s="34">
        <v>981801</v>
      </c>
      <c r="H1439" s="35" t="s">
        <v>2372</v>
      </c>
    </row>
    <row r="1440" spans="1:8" ht="27" customHeight="1" x14ac:dyDescent="0.2">
      <c r="A1440" s="31" t="s">
        <v>2369</v>
      </c>
      <c r="B1440" s="32" t="s">
        <v>2370</v>
      </c>
      <c r="C1440" s="32" t="s">
        <v>770</v>
      </c>
      <c r="D1440" s="32" t="s">
        <v>770</v>
      </c>
      <c r="E1440" s="33" t="s">
        <v>772</v>
      </c>
      <c r="F1440" s="34">
        <v>400000</v>
      </c>
      <c r="G1440" s="34">
        <v>400000</v>
      </c>
      <c r="H1440" s="35" t="s">
        <v>2372</v>
      </c>
    </row>
    <row r="1441" spans="1:8" ht="27" customHeight="1" x14ac:dyDescent="0.2">
      <c r="A1441" s="31" t="s">
        <v>2369</v>
      </c>
      <c r="B1441" s="32" t="s">
        <v>2370</v>
      </c>
      <c r="C1441" s="32" t="s">
        <v>844</v>
      </c>
      <c r="D1441" s="32" t="s">
        <v>844</v>
      </c>
      <c r="E1441" s="33" t="s">
        <v>846</v>
      </c>
      <c r="F1441" s="34">
        <v>34621</v>
      </c>
      <c r="G1441" s="34">
        <v>34621</v>
      </c>
      <c r="H1441" s="35" t="s">
        <v>2372</v>
      </c>
    </row>
    <row r="1442" spans="1:8" ht="27" customHeight="1" x14ac:dyDescent="0.2">
      <c r="A1442" s="31" t="s">
        <v>2369</v>
      </c>
      <c r="B1442" s="32" t="s">
        <v>2370</v>
      </c>
      <c r="C1442" s="32" t="s">
        <v>886</v>
      </c>
      <c r="D1442" s="32" t="s">
        <v>1049</v>
      </c>
      <c r="E1442" s="33" t="s">
        <v>887</v>
      </c>
      <c r="F1442" s="34">
        <v>0</v>
      </c>
      <c r="G1442" s="34">
        <v>0</v>
      </c>
      <c r="H1442" s="35" t="s">
        <v>1049</v>
      </c>
    </row>
    <row r="1443" spans="1:8" ht="27" customHeight="1" x14ac:dyDescent="0.2">
      <c r="A1443" s="31" t="s">
        <v>2369</v>
      </c>
      <c r="B1443" s="32" t="s">
        <v>2370</v>
      </c>
      <c r="C1443" s="32" t="s">
        <v>860</v>
      </c>
      <c r="D1443" s="32" t="s">
        <v>1049</v>
      </c>
      <c r="E1443" s="33" t="s">
        <v>861</v>
      </c>
      <c r="F1443" s="34">
        <v>0</v>
      </c>
      <c r="G1443" s="34">
        <v>0</v>
      </c>
      <c r="H1443" s="35" t="s">
        <v>1049</v>
      </c>
    </row>
    <row r="1444" spans="1:8" ht="27" customHeight="1" x14ac:dyDescent="0.2">
      <c r="A1444" s="31" t="s">
        <v>2369</v>
      </c>
      <c r="B1444" s="32" t="s">
        <v>2370</v>
      </c>
      <c r="C1444" s="32" t="s">
        <v>796</v>
      </c>
      <c r="D1444" s="32" t="s">
        <v>796</v>
      </c>
      <c r="E1444" s="33" t="s">
        <v>823</v>
      </c>
      <c r="F1444" s="34">
        <v>922719</v>
      </c>
      <c r="G1444" s="34">
        <v>922719</v>
      </c>
      <c r="H1444" s="35" t="s">
        <v>2372</v>
      </c>
    </row>
    <row r="1445" spans="1:8" ht="27" customHeight="1" x14ac:dyDescent="0.2">
      <c r="A1445" s="31" t="s">
        <v>2369</v>
      </c>
      <c r="B1445" s="32" t="s">
        <v>2370</v>
      </c>
      <c r="C1445" s="32" t="s">
        <v>776</v>
      </c>
      <c r="D1445" s="32" t="s">
        <v>776</v>
      </c>
      <c r="E1445" s="33" t="s">
        <v>777</v>
      </c>
      <c r="F1445" s="34">
        <v>250936</v>
      </c>
      <c r="G1445" s="34">
        <v>250936</v>
      </c>
      <c r="H1445" s="35" t="s">
        <v>2373</v>
      </c>
    </row>
    <row r="1446" spans="1:8" ht="27" customHeight="1" x14ac:dyDescent="0.2">
      <c r="A1446" s="31" t="s">
        <v>2369</v>
      </c>
      <c r="B1446" s="32" t="s">
        <v>2370</v>
      </c>
      <c r="C1446" s="32" t="s">
        <v>798</v>
      </c>
      <c r="D1446" s="32" t="s">
        <v>1049</v>
      </c>
      <c r="E1446" s="33" t="s">
        <v>800</v>
      </c>
      <c r="F1446" s="34">
        <v>0</v>
      </c>
      <c r="G1446" s="34">
        <v>0</v>
      </c>
      <c r="H1446" s="35" t="s">
        <v>1049</v>
      </c>
    </row>
    <row r="1447" spans="1:8" ht="27" customHeight="1" x14ac:dyDescent="0.2">
      <c r="A1447" s="31" t="s">
        <v>2369</v>
      </c>
      <c r="B1447" s="32" t="s">
        <v>2370</v>
      </c>
      <c r="C1447" s="32" t="s">
        <v>779</v>
      </c>
      <c r="D1447" s="32" t="s">
        <v>779</v>
      </c>
      <c r="E1447" s="33" t="s">
        <v>780</v>
      </c>
      <c r="F1447" s="34">
        <v>66794</v>
      </c>
      <c r="G1447" s="34">
        <v>66794</v>
      </c>
      <c r="H1447" s="35" t="s">
        <v>2373</v>
      </c>
    </row>
    <row r="1448" spans="1:8" ht="27" customHeight="1" x14ac:dyDescent="0.2">
      <c r="A1448" s="31" t="s">
        <v>2369</v>
      </c>
      <c r="B1448" s="32" t="s">
        <v>2370</v>
      </c>
      <c r="C1448" s="32" t="s">
        <v>782</v>
      </c>
      <c r="D1448" s="32" t="s">
        <v>1049</v>
      </c>
      <c r="E1448" s="33" t="s">
        <v>784</v>
      </c>
      <c r="F1448" s="34">
        <v>0</v>
      </c>
      <c r="G1448" s="34">
        <v>0</v>
      </c>
      <c r="H1448" s="35" t="s">
        <v>1049</v>
      </c>
    </row>
    <row r="1449" spans="1:8" ht="27" customHeight="1" x14ac:dyDescent="0.2">
      <c r="A1449" s="31" t="s">
        <v>2374</v>
      </c>
      <c r="B1449" s="32" t="s">
        <v>2375</v>
      </c>
      <c r="C1449" s="32" t="s">
        <v>796</v>
      </c>
      <c r="D1449" s="32" t="s">
        <v>954</v>
      </c>
      <c r="E1449" s="33" t="s">
        <v>823</v>
      </c>
      <c r="F1449" s="34">
        <v>509103</v>
      </c>
      <c r="G1449" s="34">
        <v>509103</v>
      </c>
      <c r="H1449" s="35" t="s">
        <v>2376</v>
      </c>
    </row>
    <row r="1450" spans="1:8" ht="27" customHeight="1" x14ac:dyDescent="0.2">
      <c r="A1450" s="31" t="s">
        <v>2374</v>
      </c>
      <c r="B1450" s="32" t="s">
        <v>2375</v>
      </c>
      <c r="C1450" s="32" t="s">
        <v>776</v>
      </c>
      <c r="D1450" s="32" t="s">
        <v>914</v>
      </c>
      <c r="E1450" s="33" t="s">
        <v>777</v>
      </c>
      <c r="F1450" s="34">
        <v>15003</v>
      </c>
      <c r="G1450" s="34">
        <v>15003</v>
      </c>
      <c r="H1450" s="35" t="s">
        <v>829</v>
      </c>
    </row>
    <row r="1451" spans="1:8" ht="27" customHeight="1" x14ac:dyDescent="0.2">
      <c r="A1451" s="31" t="s">
        <v>2374</v>
      </c>
      <c r="B1451" s="32" t="s">
        <v>2375</v>
      </c>
      <c r="C1451" s="32" t="s">
        <v>779</v>
      </c>
      <c r="D1451" s="32" t="s">
        <v>927</v>
      </c>
      <c r="E1451" s="33" t="s">
        <v>780</v>
      </c>
      <c r="F1451" s="34">
        <v>28527</v>
      </c>
      <c r="G1451" s="34">
        <v>28527</v>
      </c>
      <c r="H1451" s="35" t="s">
        <v>829</v>
      </c>
    </row>
    <row r="1452" spans="1:8" ht="27" customHeight="1" x14ac:dyDescent="0.2">
      <c r="A1452" s="31" t="s">
        <v>2377</v>
      </c>
      <c r="B1452" s="32" t="s">
        <v>2378</v>
      </c>
      <c r="C1452" s="32" t="s">
        <v>763</v>
      </c>
      <c r="D1452" s="32" t="s">
        <v>816</v>
      </c>
      <c r="E1452" s="33" t="s">
        <v>764</v>
      </c>
      <c r="F1452" s="34">
        <v>3831</v>
      </c>
      <c r="G1452" s="34">
        <v>403833</v>
      </c>
      <c r="H1452" s="35" t="s">
        <v>2379</v>
      </c>
    </row>
    <row r="1453" spans="1:8" ht="27" customHeight="1" x14ac:dyDescent="0.2">
      <c r="A1453" s="31" t="s">
        <v>2377</v>
      </c>
      <c r="B1453" s="32" t="s">
        <v>2378</v>
      </c>
      <c r="C1453" s="32" t="s">
        <v>779</v>
      </c>
      <c r="D1453" s="32" t="s">
        <v>826</v>
      </c>
      <c r="E1453" s="33" t="s">
        <v>780</v>
      </c>
      <c r="F1453" s="34">
        <v>17912</v>
      </c>
      <c r="G1453" s="34">
        <v>17919</v>
      </c>
      <c r="H1453" s="35" t="s">
        <v>859</v>
      </c>
    </row>
    <row r="1454" spans="1:8" ht="27" customHeight="1" x14ac:dyDescent="0.2">
      <c r="A1454" s="31" t="s">
        <v>2380</v>
      </c>
      <c r="B1454" s="32" t="s">
        <v>2381</v>
      </c>
      <c r="C1454" s="32" t="s">
        <v>763</v>
      </c>
      <c r="D1454" s="32" t="s">
        <v>763</v>
      </c>
      <c r="E1454" s="33" t="s">
        <v>764</v>
      </c>
      <c r="F1454" s="34">
        <v>1320000</v>
      </c>
      <c r="G1454" s="34">
        <v>1500000</v>
      </c>
      <c r="H1454" s="35" t="s">
        <v>2382</v>
      </c>
    </row>
    <row r="1455" spans="1:8" ht="27" customHeight="1" x14ac:dyDescent="0.2">
      <c r="A1455" s="31" t="s">
        <v>2380</v>
      </c>
      <c r="B1455" s="32" t="s">
        <v>2381</v>
      </c>
      <c r="C1455" s="32" t="s">
        <v>770</v>
      </c>
      <c r="D1455" s="32" t="s">
        <v>858</v>
      </c>
      <c r="E1455" s="33" t="s">
        <v>772</v>
      </c>
      <c r="F1455" s="34">
        <v>70000</v>
      </c>
      <c r="G1455" s="34">
        <v>70000</v>
      </c>
      <c r="H1455" s="35" t="s">
        <v>2383</v>
      </c>
    </row>
    <row r="1456" spans="1:8" ht="27" customHeight="1" x14ac:dyDescent="0.2">
      <c r="A1456" s="31" t="s">
        <v>2380</v>
      </c>
      <c r="B1456" s="32" t="s">
        <v>2381</v>
      </c>
      <c r="C1456" s="32" t="s">
        <v>844</v>
      </c>
      <c r="D1456" s="32" t="s">
        <v>844</v>
      </c>
      <c r="E1456" s="33" t="s">
        <v>846</v>
      </c>
      <c r="F1456" s="34">
        <v>18000</v>
      </c>
      <c r="G1456" s="34">
        <v>18000</v>
      </c>
      <c r="H1456" s="35" t="s">
        <v>2384</v>
      </c>
    </row>
    <row r="1457" spans="1:8" ht="27" customHeight="1" x14ac:dyDescent="0.2">
      <c r="A1457" s="31" t="s">
        <v>2380</v>
      </c>
      <c r="B1457" s="32" t="s">
        <v>2381</v>
      </c>
      <c r="C1457" s="32" t="s">
        <v>886</v>
      </c>
      <c r="D1457" s="32" t="s">
        <v>886</v>
      </c>
      <c r="E1457" s="33" t="s">
        <v>887</v>
      </c>
      <c r="F1457" s="34">
        <v>19000</v>
      </c>
      <c r="G1457" s="34">
        <v>19000</v>
      </c>
      <c r="H1457" s="35" t="s">
        <v>2385</v>
      </c>
    </row>
    <row r="1458" spans="1:8" ht="27" customHeight="1" x14ac:dyDescent="0.2">
      <c r="A1458" s="31" t="s">
        <v>2380</v>
      </c>
      <c r="B1458" s="32" t="s">
        <v>2381</v>
      </c>
      <c r="C1458" s="32" t="s">
        <v>860</v>
      </c>
      <c r="D1458" s="32" t="s">
        <v>860</v>
      </c>
      <c r="E1458" s="33" t="s">
        <v>861</v>
      </c>
      <c r="F1458" s="34">
        <v>350000</v>
      </c>
      <c r="G1458" s="34">
        <v>350000</v>
      </c>
      <c r="H1458" s="35" t="s">
        <v>2386</v>
      </c>
    </row>
    <row r="1459" spans="1:8" ht="27" customHeight="1" x14ac:dyDescent="0.2">
      <c r="A1459" s="31" t="s">
        <v>2380</v>
      </c>
      <c r="B1459" s="32" t="s">
        <v>2381</v>
      </c>
      <c r="C1459" s="32" t="s">
        <v>776</v>
      </c>
      <c r="D1459" s="32" t="s">
        <v>776</v>
      </c>
      <c r="E1459" s="33" t="s">
        <v>777</v>
      </c>
      <c r="F1459" s="34">
        <v>5000</v>
      </c>
      <c r="G1459" s="34">
        <v>5000</v>
      </c>
      <c r="H1459" s="35" t="s">
        <v>2387</v>
      </c>
    </row>
    <row r="1460" spans="1:8" ht="27" customHeight="1" x14ac:dyDescent="0.2">
      <c r="A1460" s="31" t="s">
        <v>2380</v>
      </c>
      <c r="B1460" s="32" t="s">
        <v>2381</v>
      </c>
      <c r="C1460" s="32" t="s">
        <v>779</v>
      </c>
      <c r="D1460" s="32" t="s">
        <v>779</v>
      </c>
      <c r="E1460" s="33" t="s">
        <v>780</v>
      </c>
      <c r="F1460" s="34">
        <v>70000</v>
      </c>
      <c r="G1460" s="34">
        <v>70000</v>
      </c>
      <c r="H1460" s="35" t="s">
        <v>2388</v>
      </c>
    </row>
    <row r="1461" spans="1:8" ht="27" customHeight="1" x14ac:dyDescent="0.2">
      <c r="A1461" s="31" t="s">
        <v>2380</v>
      </c>
      <c r="B1461" s="32" t="s">
        <v>2381</v>
      </c>
      <c r="C1461" s="32" t="s">
        <v>782</v>
      </c>
      <c r="D1461" s="32" t="s">
        <v>782</v>
      </c>
      <c r="E1461" s="33" t="s">
        <v>784</v>
      </c>
      <c r="F1461" s="34">
        <v>50000</v>
      </c>
      <c r="G1461" s="34">
        <v>50000</v>
      </c>
      <c r="H1461" s="35" t="s">
        <v>2389</v>
      </c>
    </row>
    <row r="1462" spans="1:8" ht="27" customHeight="1" x14ac:dyDescent="0.2">
      <c r="A1462" s="31" t="s">
        <v>2390</v>
      </c>
      <c r="B1462" s="32" t="s">
        <v>2391</v>
      </c>
      <c r="C1462" s="32" t="s">
        <v>763</v>
      </c>
      <c r="D1462" s="32" t="s">
        <v>816</v>
      </c>
      <c r="E1462" s="33" t="s">
        <v>764</v>
      </c>
      <c r="F1462" s="34">
        <v>1000352</v>
      </c>
      <c r="G1462" s="34">
        <v>1125742</v>
      </c>
      <c r="H1462" s="35" t="s">
        <v>2392</v>
      </c>
    </row>
    <row r="1463" spans="1:8" ht="27" customHeight="1" x14ac:dyDescent="0.2">
      <c r="A1463" s="31" t="s">
        <v>2390</v>
      </c>
      <c r="B1463" s="32" t="s">
        <v>2391</v>
      </c>
      <c r="C1463" s="32" t="s">
        <v>770</v>
      </c>
      <c r="D1463" s="32" t="s">
        <v>810</v>
      </c>
      <c r="E1463" s="33" t="s">
        <v>772</v>
      </c>
      <c r="F1463" s="34">
        <v>87732</v>
      </c>
      <c r="G1463" s="34">
        <v>87832</v>
      </c>
      <c r="H1463" s="35" t="s">
        <v>2392</v>
      </c>
    </row>
    <row r="1464" spans="1:8" ht="27" customHeight="1" x14ac:dyDescent="0.2">
      <c r="A1464" s="31" t="s">
        <v>2390</v>
      </c>
      <c r="B1464" s="32" t="s">
        <v>2391</v>
      </c>
      <c r="C1464" s="32" t="s">
        <v>796</v>
      </c>
      <c r="D1464" s="32" t="s">
        <v>811</v>
      </c>
      <c r="E1464" s="33" t="s">
        <v>772</v>
      </c>
      <c r="F1464" s="34">
        <v>1306113</v>
      </c>
      <c r="G1464" s="34">
        <v>1163225</v>
      </c>
      <c r="H1464" s="35" t="s">
        <v>2393</v>
      </c>
    </row>
    <row r="1465" spans="1:8" ht="27" customHeight="1" x14ac:dyDescent="0.2">
      <c r="A1465" s="31" t="s">
        <v>2390</v>
      </c>
      <c r="B1465" s="32" t="s">
        <v>2391</v>
      </c>
      <c r="C1465" s="32" t="s">
        <v>779</v>
      </c>
      <c r="D1465" s="32" t="s">
        <v>927</v>
      </c>
      <c r="E1465" s="33" t="s">
        <v>780</v>
      </c>
      <c r="F1465" s="34">
        <v>103238</v>
      </c>
      <c r="G1465" s="34">
        <v>100507</v>
      </c>
      <c r="H1465" s="35" t="s">
        <v>2394</v>
      </c>
    </row>
    <row r="1466" spans="1:8" ht="27" customHeight="1" x14ac:dyDescent="0.2">
      <c r="A1466" s="31" t="s">
        <v>2395</v>
      </c>
      <c r="B1466" s="32" t="s">
        <v>2396</v>
      </c>
      <c r="C1466" s="32" t="s">
        <v>766</v>
      </c>
      <c r="D1466" s="32" t="s">
        <v>767</v>
      </c>
      <c r="E1466" s="33" t="s">
        <v>768</v>
      </c>
      <c r="F1466" s="34">
        <v>1499211</v>
      </c>
      <c r="G1466" s="34">
        <v>1499211</v>
      </c>
      <c r="H1466" s="35" t="s">
        <v>2397</v>
      </c>
    </row>
    <row r="1467" spans="1:8" ht="27" customHeight="1" x14ac:dyDescent="0.2">
      <c r="A1467" s="31" t="s">
        <v>2395</v>
      </c>
      <c r="B1467" s="32" t="s">
        <v>2396</v>
      </c>
      <c r="C1467" s="32" t="s">
        <v>770</v>
      </c>
      <c r="D1467" s="32" t="s">
        <v>770</v>
      </c>
      <c r="E1467" s="33" t="s">
        <v>772</v>
      </c>
      <c r="F1467" s="34">
        <v>610976</v>
      </c>
      <c r="G1467" s="34">
        <v>610976</v>
      </c>
      <c r="H1467" s="35" t="s">
        <v>2398</v>
      </c>
    </row>
    <row r="1468" spans="1:8" ht="27" customHeight="1" x14ac:dyDescent="0.2">
      <c r="A1468" s="31" t="s">
        <v>2395</v>
      </c>
      <c r="B1468" s="32" t="s">
        <v>2396</v>
      </c>
      <c r="C1468" s="32" t="s">
        <v>844</v>
      </c>
      <c r="D1468" s="32" t="s">
        <v>844</v>
      </c>
      <c r="E1468" s="33" t="s">
        <v>846</v>
      </c>
      <c r="F1468" s="34">
        <v>191137</v>
      </c>
      <c r="G1468" s="34">
        <v>191137</v>
      </c>
      <c r="H1468" s="35" t="s">
        <v>2398</v>
      </c>
    </row>
    <row r="1469" spans="1:8" ht="27" customHeight="1" x14ac:dyDescent="0.2">
      <c r="A1469" s="31" t="s">
        <v>2395</v>
      </c>
      <c r="B1469" s="32" t="s">
        <v>2396</v>
      </c>
      <c r="C1469" s="32" t="s">
        <v>773</v>
      </c>
      <c r="D1469" s="32" t="s">
        <v>773</v>
      </c>
      <c r="E1469" s="33" t="s">
        <v>775</v>
      </c>
      <c r="F1469" s="34">
        <v>1419008</v>
      </c>
      <c r="G1469" s="34">
        <v>1419008</v>
      </c>
      <c r="H1469" s="35" t="s">
        <v>2399</v>
      </c>
    </row>
    <row r="1470" spans="1:8" ht="27" customHeight="1" x14ac:dyDescent="0.2">
      <c r="A1470" s="31" t="s">
        <v>2395</v>
      </c>
      <c r="B1470" s="32" t="s">
        <v>2396</v>
      </c>
      <c r="C1470" s="32" t="s">
        <v>886</v>
      </c>
      <c r="D1470" s="32" t="s">
        <v>886</v>
      </c>
      <c r="E1470" s="33" t="s">
        <v>887</v>
      </c>
      <c r="F1470" s="34">
        <v>33563</v>
      </c>
      <c r="G1470" s="34">
        <v>33563</v>
      </c>
      <c r="H1470" s="35" t="s">
        <v>2398</v>
      </c>
    </row>
    <row r="1471" spans="1:8" ht="27" customHeight="1" x14ac:dyDescent="0.2">
      <c r="A1471" s="31" t="s">
        <v>2395</v>
      </c>
      <c r="B1471" s="32" t="s">
        <v>2396</v>
      </c>
      <c r="C1471" s="32" t="s">
        <v>860</v>
      </c>
      <c r="D1471" s="32" t="s">
        <v>2400</v>
      </c>
      <c r="E1471" s="33" t="s">
        <v>861</v>
      </c>
      <c r="F1471" s="34">
        <v>27975</v>
      </c>
      <c r="G1471" s="34">
        <v>27975</v>
      </c>
      <c r="H1471" s="35" t="s">
        <v>2398</v>
      </c>
    </row>
    <row r="1472" spans="1:8" ht="27" customHeight="1" x14ac:dyDescent="0.2">
      <c r="A1472" s="31" t="s">
        <v>2395</v>
      </c>
      <c r="B1472" s="32" t="s">
        <v>2396</v>
      </c>
      <c r="C1472" s="32" t="s">
        <v>796</v>
      </c>
      <c r="D1472" s="32" t="s">
        <v>796</v>
      </c>
      <c r="E1472" s="33" t="s">
        <v>772</v>
      </c>
      <c r="F1472" s="34">
        <v>739507</v>
      </c>
      <c r="G1472" s="34">
        <v>739507</v>
      </c>
      <c r="H1472" s="35" t="s">
        <v>2398</v>
      </c>
    </row>
    <row r="1473" spans="1:8" ht="27" customHeight="1" x14ac:dyDescent="0.2">
      <c r="A1473" s="31" t="s">
        <v>2395</v>
      </c>
      <c r="B1473" s="32" t="s">
        <v>2396</v>
      </c>
      <c r="C1473" s="32" t="s">
        <v>776</v>
      </c>
      <c r="D1473" s="32" t="s">
        <v>776</v>
      </c>
      <c r="E1473" s="33" t="s">
        <v>777</v>
      </c>
      <c r="F1473" s="34">
        <v>810386</v>
      </c>
      <c r="G1473" s="34">
        <v>810386</v>
      </c>
      <c r="H1473" s="35" t="s">
        <v>2401</v>
      </c>
    </row>
    <row r="1474" spans="1:8" ht="27" customHeight="1" x14ac:dyDescent="0.2">
      <c r="A1474" s="31" t="s">
        <v>2395</v>
      </c>
      <c r="B1474" s="32" t="s">
        <v>2396</v>
      </c>
      <c r="C1474" s="32" t="s">
        <v>779</v>
      </c>
      <c r="D1474" s="32" t="s">
        <v>779</v>
      </c>
      <c r="E1474" s="33" t="s">
        <v>780</v>
      </c>
      <c r="F1474" s="34">
        <v>564575</v>
      </c>
      <c r="G1474" s="34">
        <v>564575</v>
      </c>
      <c r="H1474" s="35" t="s">
        <v>2402</v>
      </c>
    </row>
    <row r="1475" spans="1:8" ht="27" customHeight="1" x14ac:dyDescent="0.2">
      <c r="A1475" s="31" t="s">
        <v>2403</v>
      </c>
      <c r="B1475" s="32" t="s">
        <v>2404</v>
      </c>
      <c r="C1475" s="32" t="s">
        <v>763</v>
      </c>
      <c r="D1475" s="32" t="s">
        <v>1335</v>
      </c>
      <c r="E1475" s="33" t="s">
        <v>764</v>
      </c>
      <c r="F1475" s="34">
        <v>7252704</v>
      </c>
      <c r="G1475" s="34">
        <v>7258179</v>
      </c>
      <c r="H1475" s="35" t="s">
        <v>2405</v>
      </c>
    </row>
    <row r="1476" spans="1:8" ht="27" customHeight="1" x14ac:dyDescent="0.2">
      <c r="A1476" s="31" t="s">
        <v>2403</v>
      </c>
      <c r="B1476" s="32" t="s">
        <v>2404</v>
      </c>
      <c r="C1476" s="32" t="s">
        <v>770</v>
      </c>
      <c r="D1476" s="32" t="s">
        <v>1720</v>
      </c>
      <c r="E1476" s="33" t="s">
        <v>772</v>
      </c>
      <c r="F1476" s="34">
        <v>250495</v>
      </c>
      <c r="G1476" s="34">
        <v>250812</v>
      </c>
      <c r="H1476" s="35" t="s">
        <v>2406</v>
      </c>
    </row>
    <row r="1477" spans="1:8" ht="27" customHeight="1" x14ac:dyDescent="0.2">
      <c r="A1477" s="31" t="s">
        <v>2403</v>
      </c>
      <c r="B1477" s="32" t="s">
        <v>2404</v>
      </c>
      <c r="C1477" s="32" t="s">
        <v>773</v>
      </c>
      <c r="D1477" s="32" t="s">
        <v>2407</v>
      </c>
      <c r="E1477" s="33" t="s">
        <v>775</v>
      </c>
      <c r="F1477" s="34">
        <v>50043</v>
      </c>
      <c r="G1477" s="34">
        <v>50084</v>
      </c>
      <c r="H1477" s="35" t="s">
        <v>2408</v>
      </c>
    </row>
    <row r="1478" spans="1:8" ht="27" customHeight="1" x14ac:dyDescent="0.2">
      <c r="A1478" s="31" t="s">
        <v>2403</v>
      </c>
      <c r="B1478" s="32" t="s">
        <v>2404</v>
      </c>
      <c r="C1478" s="32" t="s">
        <v>886</v>
      </c>
      <c r="D1478" s="32" t="s">
        <v>951</v>
      </c>
      <c r="E1478" s="33" t="s">
        <v>887</v>
      </c>
      <c r="F1478" s="34">
        <v>168033</v>
      </c>
      <c r="G1478" s="34">
        <v>168171</v>
      </c>
      <c r="H1478" s="35" t="s">
        <v>2408</v>
      </c>
    </row>
    <row r="1479" spans="1:8" ht="27" customHeight="1" x14ac:dyDescent="0.2">
      <c r="A1479" s="31" t="s">
        <v>2403</v>
      </c>
      <c r="B1479" s="32" t="s">
        <v>2404</v>
      </c>
      <c r="C1479" s="32" t="s">
        <v>860</v>
      </c>
      <c r="D1479" s="32" t="s">
        <v>1027</v>
      </c>
      <c r="E1479" s="33" t="s">
        <v>861</v>
      </c>
      <c r="F1479" s="34">
        <v>500000</v>
      </c>
      <c r="G1479" s="34">
        <v>500207</v>
      </c>
      <c r="H1479" s="35" t="s">
        <v>2408</v>
      </c>
    </row>
    <row r="1480" spans="1:8" ht="27" customHeight="1" x14ac:dyDescent="0.2">
      <c r="A1480" s="31" t="s">
        <v>2403</v>
      </c>
      <c r="B1480" s="32" t="s">
        <v>2404</v>
      </c>
      <c r="C1480" s="32" t="s">
        <v>796</v>
      </c>
      <c r="D1480" s="32" t="s">
        <v>2409</v>
      </c>
      <c r="E1480" s="33" t="s">
        <v>772</v>
      </c>
      <c r="F1480" s="34">
        <v>1110573</v>
      </c>
      <c r="G1480" s="34">
        <v>1111485</v>
      </c>
      <c r="H1480" s="35" t="s">
        <v>2410</v>
      </c>
    </row>
    <row r="1481" spans="1:8" ht="27" customHeight="1" x14ac:dyDescent="0.2">
      <c r="A1481" s="31" t="s">
        <v>2403</v>
      </c>
      <c r="B1481" s="32" t="s">
        <v>2404</v>
      </c>
      <c r="C1481" s="32" t="s">
        <v>776</v>
      </c>
      <c r="D1481" s="32" t="s">
        <v>914</v>
      </c>
      <c r="E1481" s="33" t="s">
        <v>777</v>
      </c>
      <c r="F1481" s="34">
        <v>322601</v>
      </c>
      <c r="G1481" s="34">
        <v>322866</v>
      </c>
      <c r="H1481" s="35" t="s">
        <v>2411</v>
      </c>
    </row>
    <row r="1482" spans="1:8" ht="27" customHeight="1" x14ac:dyDescent="0.2">
      <c r="A1482" s="31" t="s">
        <v>2403</v>
      </c>
      <c r="B1482" s="32" t="s">
        <v>2404</v>
      </c>
      <c r="C1482" s="32" t="s">
        <v>779</v>
      </c>
      <c r="D1482" s="32" t="s">
        <v>927</v>
      </c>
      <c r="E1482" s="33" t="s">
        <v>780</v>
      </c>
      <c r="F1482" s="34">
        <v>297203</v>
      </c>
      <c r="G1482" s="34">
        <v>297442</v>
      </c>
      <c r="H1482" s="35" t="s">
        <v>2412</v>
      </c>
    </row>
    <row r="1483" spans="1:8" ht="27" customHeight="1" x14ac:dyDescent="0.2">
      <c r="A1483" s="31" t="s">
        <v>2403</v>
      </c>
      <c r="B1483" s="32" t="s">
        <v>2404</v>
      </c>
      <c r="C1483" s="32" t="s">
        <v>782</v>
      </c>
      <c r="D1483" s="32" t="s">
        <v>1488</v>
      </c>
      <c r="E1483" s="33" t="s">
        <v>784</v>
      </c>
      <c r="F1483" s="34">
        <v>504583</v>
      </c>
      <c r="G1483" s="34">
        <v>504997</v>
      </c>
      <c r="H1483" s="35" t="s">
        <v>2412</v>
      </c>
    </row>
    <row r="1484" spans="1:8" ht="27" customHeight="1" x14ac:dyDescent="0.2">
      <c r="A1484" s="31" t="s">
        <v>2413</v>
      </c>
      <c r="B1484" s="32" t="s">
        <v>221</v>
      </c>
      <c r="C1484" s="32" t="s">
        <v>763</v>
      </c>
      <c r="D1484" s="32" t="s">
        <v>816</v>
      </c>
      <c r="E1484" s="33" t="s">
        <v>764</v>
      </c>
      <c r="F1484" s="34">
        <v>400000</v>
      </c>
      <c r="G1484" s="34">
        <v>400000</v>
      </c>
      <c r="H1484" s="35" t="s">
        <v>2414</v>
      </c>
    </row>
    <row r="1485" spans="1:8" ht="27" customHeight="1" x14ac:dyDescent="0.2">
      <c r="A1485" s="31" t="s">
        <v>2413</v>
      </c>
      <c r="B1485" s="32" t="s">
        <v>221</v>
      </c>
      <c r="C1485" s="32" t="s">
        <v>770</v>
      </c>
      <c r="D1485" s="32" t="s">
        <v>820</v>
      </c>
      <c r="E1485" s="33" t="s">
        <v>772</v>
      </c>
      <c r="F1485" s="34">
        <v>82266</v>
      </c>
      <c r="G1485" s="34">
        <v>82266</v>
      </c>
      <c r="H1485" s="35" t="s">
        <v>2415</v>
      </c>
    </row>
    <row r="1486" spans="1:8" ht="27" customHeight="1" x14ac:dyDescent="0.2">
      <c r="A1486" s="31" t="s">
        <v>2413</v>
      </c>
      <c r="B1486" s="32" t="s">
        <v>221</v>
      </c>
      <c r="C1486" s="32" t="s">
        <v>860</v>
      </c>
      <c r="D1486" s="32" t="s">
        <v>911</v>
      </c>
      <c r="E1486" s="33" t="s">
        <v>861</v>
      </c>
      <c r="F1486" s="34">
        <v>20000</v>
      </c>
      <c r="G1486" s="34">
        <v>20000</v>
      </c>
      <c r="H1486" s="35" t="s">
        <v>1223</v>
      </c>
    </row>
    <row r="1487" spans="1:8" ht="27" customHeight="1" x14ac:dyDescent="0.2">
      <c r="A1487" s="31" t="s">
        <v>2413</v>
      </c>
      <c r="B1487" s="32" t="s">
        <v>221</v>
      </c>
      <c r="C1487" s="32" t="s">
        <v>796</v>
      </c>
      <c r="D1487" s="32" t="s">
        <v>1095</v>
      </c>
      <c r="E1487" s="33" t="s">
        <v>772</v>
      </c>
      <c r="F1487" s="34">
        <v>62153</v>
      </c>
      <c r="G1487" s="34">
        <v>62153</v>
      </c>
      <c r="H1487" s="35" t="s">
        <v>2416</v>
      </c>
    </row>
    <row r="1488" spans="1:8" ht="27" customHeight="1" x14ac:dyDescent="0.2">
      <c r="A1488" s="31" t="s">
        <v>2413</v>
      </c>
      <c r="B1488" s="32" t="s">
        <v>221</v>
      </c>
      <c r="C1488" s="32" t="s">
        <v>779</v>
      </c>
      <c r="D1488" s="32" t="s">
        <v>826</v>
      </c>
      <c r="E1488" s="33" t="s">
        <v>780</v>
      </c>
      <c r="F1488" s="34">
        <v>41738</v>
      </c>
      <c r="G1488" s="34">
        <v>41738</v>
      </c>
      <c r="H1488" s="35" t="s">
        <v>2417</v>
      </c>
    </row>
    <row r="1489" spans="1:8" ht="27" customHeight="1" x14ac:dyDescent="0.2">
      <c r="A1489" s="31" t="s">
        <v>2418</v>
      </c>
      <c r="B1489" s="32" t="s">
        <v>2419</v>
      </c>
      <c r="C1489" s="32" t="s">
        <v>766</v>
      </c>
      <c r="D1489" s="32" t="s">
        <v>832</v>
      </c>
      <c r="E1489" s="33" t="s">
        <v>768</v>
      </c>
      <c r="F1489" s="34">
        <v>325765</v>
      </c>
      <c r="G1489" s="34">
        <v>326680</v>
      </c>
      <c r="H1489" s="35" t="s">
        <v>2420</v>
      </c>
    </row>
    <row r="1490" spans="1:8" ht="27" customHeight="1" x14ac:dyDescent="0.2">
      <c r="A1490" s="31" t="s">
        <v>2418</v>
      </c>
      <c r="B1490" s="32" t="s">
        <v>2419</v>
      </c>
      <c r="C1490" s="32" t="s">
        <v>770</v>
      </c>
      <c r="D1490" s="32" t="s">
        <v>2421</v>
      </c>
      <c r="E1490" s="33" t="s">
        <v>772</v>
      </c>
      <c r="F1490" s="34">
        <v>253092</v>
      </c>
      <c r="G1490" s="34">
        <v>253992</v>
      </c>
      <c r="H1490" s="35" t="s">
        <v>859</v>
      </c>
    </row>
    <row r="1491" spans="1:8" ht="27" customHeight="1" x14ac:dyDescent="0.2">
      <c r="A1491" s="31" t="s">
        <v>2418</v>
      </c>
      <c r="B1491" s="32" t="s">
        <v>2419</v>
      </c>
      <c r="C1491" s="32" t="s">
        <v>860</v>
      </c>
      <c r="D1491" s="32" t="s">
        <v>2422</v>
      </c>
      <c r="E1491" s="33" t="s">
        <v>861</v>
      </c>
      <c r="F1491" s="34">
        <v>36285</v>
      </c>
      <c r="G1491" s="34">
        <v>36405</v>
      </c>
      <c r="H1491" s="35" t="s">
        <v>859</v>
      </c>
    </row>
    <row r="1492" spans="1:8" ht="27" customHeight="1" x14ac:dyDescent="0.2">
      <c r="A1492" s="31" t="s">
        <v>2418</v>
      </c>
      <c r="B1492" s="32" t="s">
        <v>2419</v>
      </c>
      <c r="C1492" s="32" t="s">
        <v>796</v>
      </c>
      <c r="D1492" s="32" t="s">
        <v>811</v>
      </c>
      <c r="E1492" s="33" t="s">
        <v>823</v>
      </c>
      <c r="F1492" s="34">
        <v>841308</v>
      </c>
      <c r="G1492" s="34">
        <v>844308</v>
      </c>
      <c r="H1492" s="35" t="s">
        <v>2423</v>
      </c>
    </row>
    <row r="1493" spans="1:8" ht="27" customHeight="1" x14ac:dyDescent="0.2">
      <c r="A1493" s="31" t="s">
        <v>2418</v>
      </c>
      <c r="B1493" s="32" t="s">
        <v>2419</v>
      </c>
      <c r="C1493" s="32" t="s">
        <v>779</v>
      </c>
      <c r="D1493" s="32" t="s">
        <v>826</v>
      </c>
      <c r="E1493" s="33" t="s">
        <v>780</v>
      </c>
      <c r="F1493" s="34">
        <v>720106</v>
      </c>
      <c r="G1493" s="34">
        <v>722656</v>
      </c>
      <c r="H1493" s="35" t="s">
        <v>2424</v>
      </c>
    </row>
    <row r="1494" spans="1:8" ht="27" customHeight="1" x14ac:dyDescent="0.2">
      <c r="A1494" s="31" t="s">
        <v>2418</v>
      </c>
      <c r="B1494" s="32" t="s">
        <v>2419</v>
      </c>
      <c r="C1494" s="32" t="s">
        <v>782</v>
      </c>
      <c r="D1494" s="32" t="s">
        <v>1887</v>
      </c>
      <c r="E1494" s="33" t="s">
        <v>784</v>
      </c>
      <c r="F1494" s="34">
        <v>300504</v>
      </c>
      <c r="G1494" s="34">
        <v>301554</v>
      </c>
      <c r="H1494" s="35" t="s">
        <v>2425</v>
      </c>
    </row>
    <row r="1495" spans="1:8" ht="27" customHeight="1" x14ac:dyDescent="0.2">
      <c r="A1495" s="31" t="s">
        <v>2426</v>
      </c>
      <c r="B1495" s="32" t="s">
        <v>2427</v>
      </c>
      <c r="C1495" s="32" t="s">
        <v>763</v>
      </c>
      <c r="D1495" s="32" t="s">
        <v>816</v>
      </c>
      <c r="E1495" s="33" t="s">
        <v>764</v>
      </c>
      <c r="F1495" s="34">
        <v>217093</v>
      </c>
      <c r="G1495" s="34">
        <v>218601</v>
      </c>
      <c r="H1495" s="35" t="s">
        <v>2428</v>
      </c>
    </row>
    <row r="1496" spans="1:8" ht="27" customHeight="1" x14ac:dyDescent="0.2">
      <c r="A1496" s="31" t="s">
        <v>2426</v>
      </c>
      <c r="B1496" s="32" t="s">
        <v>2427</v>
      </c>
      <c r="C1496" s="32" t="s">
        <v>770</v>
      </c>
      <c r="D1496" s="32" t="s">
        <v>830</v>
      </c>
      <c r="E1496" s="33" t="s">
        <v>772</v>
      </c>
      <c r="F1496" s="34">
        <v>402975</v>
      </c>
      <c r="G1496" s="34">
        <v>455774</v>
      </c>
      <c r="H1496" s="35" t="s">
        <v>2429</v>
      </c>
    </row>
    <row r="1497" spans="1:8" ht="27" customHeight="1" x14ac:dyDescent="0.2">
      <c r="A1497" s="31" t="s">
        <v>2426</v>
      </c>
      <c r="B1497" s="32" t="s">
        <v>2427</v>
      </c>
      <c r="C1497" s="32" t="s">
        <v>831</v>
      </c>
      <c r="D1497" s="32" t="s">
        <v>2430</v>
      </c>
      <c r="E1497" s="33" t="s">
        <v>2431</v>
      </c>
      <c r="F1497" s="34">
        <v>11927426</v>
      </c>
      <c r="G1497" s="34">
        <v>12104781</v>
      </c>
      <c r="H1497" s="35" t="s">
        <v>2432</v>
      </c>
    </row>
    <row r="1498" spans="1:8" ht="27" customHeight="1" x14ac:dyDescent="0.2">
      <c r="A1498" s="31" t="s">
        <v>2426</v>
      </c>
      <c r="B1498" s="32" t="s">
        <v>2427</v>
      </c>
      <c r="C1498" s="32" t="s">
        <v>796</v>
      </c>
      <c r="D1498" s="32" t="s">
        <v>2433</v>
      </c>
      <c r="E1498" s="33" t="s">
        <v>772</v>
      </c>
      <c r="F1498" s="34">
        <v>202449</v>
      </c>
      <c r="G1498" s="34">
        <v>278856</v>
      </c>
      <c r="H1498" s="35" t="s">
        <v>2432</v>
      </c>
    </row>
    <row r="1499" spans="1:8" ht="27" customHeight="1" x14ac:dyDescent="0.2">
      <c r="A1499" s="31" t="s">
        <v>2426</v>
      </c>
      <c r="B1499" s="32" t="s">
        <v>2427</v>
      </c>
      <c r="C1499" s="32" t="s">
        <v>779</v>
      </c>
      <c r="D1499" s="32" t="s">
        <v>876</v>
      </c>
      <c r="E1499" s="33" t="s">
        <v>780</v>
      </c>
      <c r="F1499" s="34">
        <v>104391</v>
      </c>
      <c r="G1499" s="34">
        <v>105116</v>
      </c>
      <c r="H1499" s="35" t="s">
        <v>2434</v>
      </c>
    </row>
    <row r="1500" spans="1:8" ht="27" customHeight="1" x14ac:dyDescent="0.2">
      <c r="A1500" s="31" t="s">
        <v>2435</v>
      </c>
      <c r="B1500" s="32" t="s">
        <v>2436</v>
      </c>
      <c r="C1500" s="32" t="s">
        <v>770</v>
      </c>
      <c r="D1500" s="32" t="s">
        <v>830</v>
      </c>
      <c r="E1500" s="33" t="s">
        <v>772</v>
      </c>
      <c r="F1500" s="34">
        <v>312332</v>
      </c>
      <c r="G1500" s="34">
        <v>313502</v>
      </c>
      <c r="H1500" s="35" t="s">
        <v>2437</v>
      </c>
    </row>
    <row r="1501" spans="1:8" ht="27" customHeight="1" x14ac:dyDescent="0.2">
      <c r="A1501" s="31" t="s">
        <v>2435</v>
      </c>
      <c r="B1501" s="32" t="s">
        <v>2436</v>
      </c>
      <c r="C1501" s="32" t="s">
        <v>773</v>
      </c>
      <c r="D1501" s="32" t="s">
        <v>2438</v>
      </c>
      <c r="E1501" s="33" t="s">
        <v>775</v>
      </c>
      <c r="F1501" s="34">
        <v>63712</v>
      </c>
      <c r="G1501" s="34">
        <v>63952</v>
      </c>
      <c r="H1501" s="35" t="s">
        <v>2439</v>
      </c>
    </row>
    <row r="1502" spans="1:8" ht="27" customHeight="1" x14ac:dyDescent="0.2">
      <c r="A1502" s="31" t="s">
        <v>2435</v>
      </c>
      <c r="B1502" s="32" t="s">
        <v>2436</v>
      </c>
      <c r="C1502" s="32" t="s">
        <v>860</v>
      </c>
      <c r="D1502" s="32" t="s">
        <v>911</v>
      </c>
      <c r="E1502" s="33" t="s">
        <v>861</v>
      </c>
      <c r="F1502" s="34">
        <v>65178</v>
      </c>
      <c r="G1502" s="34">
        <v>65422</v>
      </c>
      <c r="H1502" s="35" t="s">
        <v>2440</v>
      </c>
    </row>
    <row r="1503" spans="1:8" ht="27" customHeight="1" x14ac:dyDescent="0.2">
      <c r="A1503" s="31" t="s">
        <v>2435</v>
      </c>
      <c r="B1503" s="32" t="s">
        <v>2436</v>
      </c>
      <c r="C1503" s="32" t="s">
        <v>779</v>
      </c>
      <c r="D1503" s="32" t="s">
        <v>2441</v>
      </c>
      <c r="E1503" s="33" t="s">
        <v>780</v>
      </c>
      <c r="F1503" s="34">
        <v>101329</v>
      </c>
      <c r="G1503" s="34">
        <v>101709</v>
      </c>
      <c r="H1503" s="35" t="s">
        <v>2442</v>
      </c>
    </row>
    <row r="1504" spans="1:8" ht="27" customHeight="1" x14ac:dyDescent="0.2">
      <c r="A1504" s="31" t="s">
        <v>2443</v>
      </c>
      <c r="B1504" s="32" t="s">
        <v>2444</v>
      </c>
      <c r="C1504" s="32" t="s">
        <v>763</v>
      </c>
      <c r="D1504" s="32" t="s">
        <v>816</v>
      </c>
      <c r="E1504" s="33" t="s">
        <v>764</v>
      </c>
      <c r="F1504" s="34">
        <v>577122</v>
      </c>
      <c r="G1504" s="34">
        <v>579173</v>
      </c>
      <c r="H1504" s="35" t="s">
        <v>2445</v>
      </c>
    </row>
    <row r="1505" spans="1:8" ht="27" customHeight="1" x14ac:dyDescent="0.2">
      <c r="A1505" s="31" t="s">
        <v>2443</v>
      </c>
      <c r="B1505" s="32" t="s">
        <v>2444</v>
      </c>
      <c r="C1505" s="32" t="s">
        <v>770</v>
      </c>
      <c r="D1505" s="32" t="s">
        <v>830</v>
      </c>
      <c r="E1505" s="33" t="s">
        <v>772</v>
      </c>
      <c r="F1505" s="34">
        <v>217603</v>
      </c>
      <c r="G1505" s="34">
        <v>183377</v>
      </c>
      <c r="H1505" s="35" t="s">
        <v>2446</v>
      </c>
    </row>
    <row r="1506" spans="1:8" ht="27" customHeight="1" x14ac:dyDescent="0.2">
      <c r="A1506" s="31" t="s">
        <v>2443</v>
      </c>
      <c r="B1506" s="32" t="s">
        <v>2444</v>
      </c>
      <c r="C1506" s="32" t="s">
        <v>844</v>
      </c>
      <c r="D1506" s="32" t="s">
        <v>972</v>
      </c>
      <c r="E1506" s="33" t="s">
        <v>846</v>
      </c>
      <c r="F1506" s="34">
        <v>38000</v>
      </c>
      <c r="G1506" s="34">
        <v>38135</v>
      </c>
      <c r="H1506" s="35" t="s">
        <v>1417</v>
      </c>
    </row>
    <row r="1507" spans="1:8" ht="27" customHeight="1" x14ac:dyDescent="0.2">
      <c r="A1507" s="31" t="s">
        <v>2443</v>
      </c>
      <c r="B1507" s="32" t="s">
        <v>2444</v>
      </c>
      <c r="C1507" s="32" t="s">
        <v>860</v>
      </c>
      <c r="D1507" s="32" t="s">
        <v>2447</v>
      </c>
      <c r="E1507" s="33" t="s">
        <v>861</v>
      </c>
      <c r="F1507" s="34">
        <v>40920</v>
      </c>
      <c r="G1507" s="34">
        <v>41065</v>
      </c>
      <c r="H1507" s="35" t="s">
        <v>1417</v>
      </c>
    </row>
    <row r="1508" spans="1:8" ht="27" customHeight="1" x14ac:dyDescent="0.2">
      <c r="A1508" s="31" t="s">
        <v>2443</v>
      </c>
      <c r="B1508" s="32" t="s">
        <v>2444</v>
      </c>
      <c r="C1508" s="32" t="s">
        <v>796</v>
      </c>
      <c r="D1508" s="32" t="s">
        <v>1095</v>
      </c>
      <c r="E1508" s="33" t="s">
        <v>772</v>
      </c>
      <c r="F1508" s="34">
        <v>250879</v>
      </c>
      <c r="G1508" s="34">
        <v>251771</v>
      </c>
      <c r="H1508" s="35" t="s">
        <v>1417</v>
      </c>
    </row>
    <row r="1509" spans="1:8" ht="27" customHeight="1" x14ac:dyDescent="0.2">
      <c r="A1509" s="31" t="s">
        <v>2443</v>
      </c>
      <c r="B1509" s="32" t="s">
        <v>2444</v>
      </c>
      <c r="C1509" s="32" t="s">
        <v>779</v>
      </c>
      <c r="D1509" s="32" t="s">
        <v>826</v>
      </c>
      <c r="E1509" s="33" t="s">
        <v>780</v>
      </c>
      <c r="F1509" s="34">
        <v>87141</v>
      </c>
      <c r="G1509" s="34">
        <v>87450</v>
      </c>
      <c r="H1509" s="35" t="s">
        <v>1417</v>
      </c>
    </row>
    <row r="1510" spans="1:8" ht="27" customHeight="1" x14ac:dyDescent="0.2">
      <c r="A1510" s="31" t="s">
        <v>2443</v>
      </c>
      <c r="B1510" s="32" t="s">
        <v>2444</v>
      </c>
      <c r="C1510" s="32" t="s">
        <v>782</v>
      </c>
      <c r="D1510" s="32" t="s">
        <v>2206</v>
      </c>
      <c r="E1510" s="33" t="s">
        <v>784</v>
      </c>
      <c r="F1510" s="34">
        <v>190556</v>
      </c>
      <c r="G1510" s="34">
        <v>191233</v>
      </c>
      <c r="H1510" s="35" t="s">
        <v>1417</v>
      </c>
    </row>
    <row r="1511" spans="1:8" ht="27" customHeight="1" x14ac:dyDescent="0.2">
      <c r="A1511" s="31" t="s">
        <v>2448</v>
      </c>
      <c r="B1511" s="32" t="s">
        <v>2449</v>
      </c>
      <c r="C1511" s="32" t="s">
        <v>763</v>
      </c>
      <c r="D1511" s="32" t="s">
        <v>2450</v>
      </c>
      <c r="E1511" s="33" t="s">
        <v>764</v>
      </c>
      <c r="F1511" s="34">
        <v>104679</v>
      </c>
      <c r="G1511" s="34">
        <v>104679</v>
      </c>
      <c r="H1511" s="35" t="s">
        <v>2451</v>
      </c>
    </row>
    <row r="1512" spans="1:8" ht="27" customHeight="1" x14ac:dyDescent="0.2">
      <c r="A1512" s="31" t="s">
        <v>2448</v>
      </c>
      <c r="B1512" s="32" t="s">
        <v>2449</v>
      </c>
      <c r="C1512" s="32" t="s">
        <v>763</v>
      </c>
      <c r="D1512" s="32" t="s">
        <v>1322</v>
      </c>
      <c r="E1512" s="33" t="s">
        <v>764</v>
      </c>
      <c r="F1512" s="34">
        <v>1754133</v>
      </c>
      <c r="G1512" s="34">
        <v>1954000</v>
      </c>
      <c r="H1512" s="35" t="s">
        <v>2452</v>
      </c>
    </row>
    <row r="1513" spans="1:8" ht="27" customHeight="1" x14ac:dyDescent="0.2">
      <c r="A1513" s="31" t="s">
        <v>2448</v>
      </c>
      <c r="B1513" s="32" t="s">
        <v>2449</v>
      </c>
      <c r="C1513" s="32" t="s">
        <v>763</v>
      </c>
      <c r="D1513" s="32" t="s">
        <v>2450</v>
      </c>
      <c r="E1513" s="33" t="s">
        <v>764</v>
      </c>
      <c r="F1513" s="34">
        <v>104679</v>
      </c>
      <c r="G1513" s="34">
        <v>104679</v>
      </c>
      <c r="H1513" s="35" t="s">
        <v>2453</v>
      </c>
    </row>
    <row r="1514" spans="1:8" ht="27" customHeight="1" x14ac:dyDescent="0.2">
      <c r="A1514" s="31" t="s">
        <v>2448</v>
      </c>
      <c r="B1514" s="32" t="s">
        <v>2449</v>
      </c>
      <c r="C1514" s="32" t="s">
        <v>763</v>
      </c>
      <c r="D1514" s="32" t="s">
        <v>2450</v>
      </c>
      <c r="E1514" s="33" t="s">
        <v>764</v>
      </c>
      <c r="F1514" s="34">
        <v>921194</v>
      </c>
      <c r="G1514" s="34">
        <v>922000</v>
      </c>
      <c r="H1514" s="35" t="s">
        <v>2454</v>
      </c>
    </row>
    <row r="1515" spans="1:8" ht="27" customHeight="1" x14ac:dyDescent="0.2">
      <c r="A1515" s="31" t="s">
        <v>2448</v>
      </c>
      <c r="B1515" s="32" t="s">
        <v>2449</v>
      </c>
      <c r="C1515" s="32" t="s">
        <v>766</v>
      </c>
      <c r="D1515" s="32" t="s">
        <v>1301</v>
      </c>
      <c r="E1515" s="33" t="s">
        <v>768</v>
      </c>
      <c r="F1515" s="34">
        <v>885519</v>
      </c>
      <c r="G1515" s="34">
        <v>865000</v>
      </c>
      <c r="H1515" s="35" t="s">
        <v>2455</v>
      </c>
    </row>
    <row r="1516" spans="1:8" ht="27" customHeight="1" x14ac:dyDescent="0.2">
      <c r="A1516" s="31" t="s">
        <v>2448</v>
      </c>
      <c r="B1516" s="32" t="s">
        <v>2449</v>
      </c>
      <c r="C1516" s="32" t="s">
        <v>770</v>
      </c>
      <c r="D1516" s="32" t="s">
        <v>1937</v>
      </c>
      <c r="E1516" s="33" t="s">
        <v>772</v>
      </c>
      <c r="F1516" s="34">
        <v>730300</v>
      </c>
      <c r="G1516" s="34">
        <v>730300</v>
      </c>
      <c r="H1516" s="35" t="s">
        <v>2456</v>
      </c>
    </row>
    <row r="1517" spans="1:8" ht="27" customHeight="1" x14ac:dyDescent="0.2">
      <c r="A1517" s="31" t="s">
        <v>2448</v>
      </c>
      <c r="B1517" s="32" t="s">
        <v>2449</v>
      </c>
      <c r="C1517" s="32" t="s">
        <v>844</v>
      </c>
      <c r="D1517" s="32" t="s">
        <v>972</v>
      </c>
      <c r="E1517" s="33" t="s">
        <v>846</v>
      </c>
      <c r="F1517" s="34">
        <v>1190968</v>
      </c>
      <c r="G1517" s="34">
        <v>1191000</v>
      </c>
      <c r="H1517" s="35" t="s">
        <v>2457</v>
      </c>
    </row>
    <row r="1518" spans="1:8" ht="27" customHeight="1" x14ac:dyDescent="0.2">
      <c r="A1518" s="31" t="s">
        <v>2448</v>
      </c>
      <c r="B1518" s="32" t="s">
        <v>2449</v>
      </c>
      <c r="C1518" s="32" t="s">
        <v>773</v>
      </c>
      <c r="D1518" s="32" t="s">
        <v>973</v>
      </c>
      <c r="E1518" s="33" t="s">
        <v>775</v>
      </c>
      <c r="F1518" s="34">
        <v>528764</v>
      </c>
      <c r="G1518" s="34">
        <v>529000</v>
      </c>
      <c r="H1518" s="35" t="s">
        <v>2458</v>
      </c>
    </row>
    <row r="1519" spans="1:8" ht="27" customHeight="1" x14ac:dyDescent="0.2">
      <c r="A1519" s="31" t="s">
        <v>2448</v>
      </c>
      <c r="B1519" s="32" t="s">
        <v>2449</v>
      </c>
      <c r="C1519" s="32" t="s">
        <v>796</v>
      </c>
      <c r="D1519" s="32" t="s">
        <v>796</v>
      </c>
      <c r="E1519" s="33" t="s">
        <v>772</v>
      </c>
      <c r="F1519" s="34">
        <v>957647</v>
      </c>
      <c r="G1519" s="34">
        <v>958000</v>
      </c>
      <c r="H1519" s="35" t="s">
        <v>2459</v>
      </c>
    </row>
    <row r="1520" spans="1:8" ht="27" customHeight="1" x14ac:dyDescent="0.2">
      <c r="A1520" s="31" t="s">
        <v>2448</v>
      </c>
      <c r="B1520" s="32" t="s">
        <v>2449</v>
      </c>
      <c r="C1520" s="32" t="s">
        <v>776</v>
      </c>
      <c r="D1520" s="32" t="s">
        <v>914</v>
      </c>
      <c r="E1520" s="33" t="s">
        <v>777</v>
      </c>
      <c r="F1520" s="34">
        <v>10079</v>
      </c>
      <c r="G1520" s="34">
        <v>10100</v>
      </c>
      <c r="H1520" s="35" t="s">
        <v>2460</v>
      </c>
    </row>
    <row r="1521" spans="1:8" ht="27" customHeight="1" x14ac:dyDescent="0.2">
      <c r="A1521" s="31" t="s">
        <v>2448</v>
      </c>
      <c r="B1521" s="32" t="s">
        <v>2449</v>
      </c>
      <c r="C1521" s="32" t="s">
        <v>779</v>
      </c>
      <c r="D1521" s="32" t="s">
        <v>876</v>
      </c>
      <c r="E1521" s="33" t="s">
        <v>780</v>
      </c>
      <c r="F1521" s="34">
        <v>912804</v>
      </c>
      <c r="G1521" s="34">
        <v>910800</v>
      </c>
      <c r="H1521" s="35" t="s">
        <v>2275</v>
      </c>
    </row>
    <row r="1522" spans="1:8" ht="27" customHeight="1" x14ac:dyDescent="0.2">
      <c r="A1522" s="31" t="s">
        <v>2448</v>
      </c>
      <c r="B1522" s="32" t="s">
        <v>2449</v>
      </c>
      <c r="C1522" s="32" t="s">
        <v>782</v>
      </c>
      <c r="D1522" s="32" t="s">
        <v>813</v>
      </c>
      <c r="E1522" s="33" t="s">
        <v>784</v>
      </c>
      <c r="F1522" s="34">
        <v>289389</v>
      </c>
      <c r="G1522" s="34">
        <v>290000</v>
      </c>
      <c r="H1522" s="35" t="s">
        <v>1677</v>
      </c>
    </row>
    <row r="1523" spans="1:8" ht="27" customHeight="1" x14ac:dyDescent="0.2">
      <c r="A1523" s="31" t="s">
        <v>2461</v>
      </c>
      <c r="B1523" s="32" t="s">
        <v>2462</v>
      </c>
      <c r="C1523" s="32" t="s">
        <v>763</v>
      </c>
      <c r="D1523" s="32" t="s">
        <v>816</v>
      </c>
      <c r="E1523" s="33" t="s">
        <v>764</v>
      </c>
      <c r="F1523" s="34">
        <v>352012</v>
      </c>
      <c r="G1523" s="34">
        <v>357012</v>
      </c>
      <c r="H1523" s="35" t="s">
        <v>2463</v>
      </c>
    </row>
    <row r="1524" spans="1:8" ht="27" customHeight="1" x14ac:dyDescent="0.2">
      <c r="A1524" s="31" t="s">
        <v>2461</v>
      </c>
      <c r="B1524" s="32" t="s">
        <v>2462</v>
      </c>
      <c r="C1524" s="32" t="s">
        <v>763</v>
      </c>
      <c r="D1524" s="32" t="s">
        <v>2464</v>
      </c>
      <c r="E1524" s="33" t="s">
        <v>764</v>
      </c>
      <c r="F1524" s="34">
        <v>64559</v>
      </c>
      <c r="G1524" s="34">
        <v>65059</v>
      </c>
      <c r="H1524" s="35" t="s">
        <v>859</v>
      </c>
    </row>
    <row r="1525" spans="1:8" ht="27" customHeight="1" x14ac:dyDescent="0.2">
      <c r="A1525" s="31" t="s">
        <v>2461</v>
      </c>
      <c r="B1525" s="32" t="s">
        <v>2462</v>
      </c>
      <c r="C1525" s="32" t="s">
        <v>763</v>
      </c>
      <c r="D1525" s="32" t="s">
        <v>1041</v>
      </c>
      <c r="E1525" s="33" t="s">
        <v>764</v>
      </c>
      <c r="F1525" s="34">
        <v>250000</v>
      </c>
      <c r="G1525" s="34">
        <v>647000</v>
      </c>
      <c r="H1525" s="35" t="s">
        <v>2463</v>
      </c>
    </row>
    <row r="1526" spans="1:8" ht="27" customHeight="1" x14ac:dyDescent="0.2">
      <c r="A1526" s="31" t="s">
        <v>2461</v>
      </c>
      <c r="B1526" s="32" t="s">
        <v>2462</v>
      </c>
      <c r="C1526" s="32" t="s">
        <v>770</v>
      </c>
      <c r="D1526" s="32" t="s">
        <v>1136</v>
      </c>
      <c r="E1526" s="33" t="s">
        <v>772</v>
      </c>
      <c r="F1526" s="34">
        <v>330180</v>
      </c>
      <c r="G1526" s="34">
        <v>331180</v>
      </c>
      <c r="H1526" s="35" t="s">
        <v>2465</v>
      </c>
    </row>
    <row r="1527" spans="1:8" ht="27" customHeight="1" x14ac:dyDescent="0.2">
      <c r="A1527" s="31" t="s">
        <v>2461</v>
      </c>
      <c r="B1527" s="32" t="s">
        <v>2462</v>
      </c>
      <c r="C1527" s="32" t="s">
        <v>773</v>
      </c>
      <c r="D1527" s="32" t="s">
        <v>773</v>
      </c>
      <c r="E1527" s="33" t="s">
        <v>775</v>
      </c>
      <c r="F1527" s="34">
        <v>361260</v>
      </c>
      <c r="G1527" s="34">
        <v>362250</v>
      </c>
      <c r="H1527" s="35" t="s">
        <v>2466</v>
      </c>
    </row>
    <row r="1528" spans="1:8" ht="27" customHeight="1" x14ac:dyDescent="0.2">
      <c r="A1528" s="31" t="s">
        <v>2461</v>
      </c>
      <c r="B1528" s="32" t="s">
        <v>2462</v>
      </c>
      <c r="C1528" s="32" t="s">
        <v>796</v>
      </c>
      <c r="D1528" s="32" t="s">
        <v>796</v>
      </c>
      <c r="E1528" s="33" t="s">
        <v>772</v>
      </c>
      <c r="F1528" s="34">
        <v>260572</v>
      </c>
      <c r="G1528" s="34">
        <v>271572</v>
      </c>
      <c r="H1528" s="35" t="s">
        <v>2467</v>
      </c>
    </row>
    <row r="1529" spans="1:8" ht="27" customHeight="1" x14ac:dyDescent="0.2">
      <c r="A1529" s="31" t="s">
        <v>2461</v>
      </c>
      <c r="B1529" s="32" t="s">
        <v>2462</v>
      </c>
      <c r="C1529" s="32" t="s">
        <v>776</v>
      </c>
      <c r="D1529" s="32" t="s">
        <v>776</v>
      </c>
      <c r="E1529" s="33" t="s">
        <v>777</v>
      </c>
      <c r="F1529" s="34">
        <v>82347</v>
      </c>
      <c r="G1529" s="34">
        <v>108047</v>
      </c>
      <c r="H1529" s="35" t="s">
        <v>2468</v>
      </c>
    </row>
    <row r="1530" spans="1:8" ht="27" customHeight="1" x14ac:dyDescent="0.2">
      <c r="A1530" s="31" t="s">
        <v>2461</v>
      </c>
      <c r="B1530" s="32" t="s">
        <v>2462</v>
      </c>
      <c r="C1530" s="32" t="s">
        <v>779</v>
      </c>
      <c r="D1530" s="32" t="s">
        <v>2469</v>
      </c>
      <c r="E1530" s="33" t="s">
        <v>780</v>
      </c>
      <c r="F1530" s="34">
        <v>230308</v>
      </c>
      <c r="G1530" s="34">
        <v>281308</v>
      </c>
      <c r="H1530" s="35" t="s">
        <v>2470</v>
      </c>
    </row>
    <row r="1531" spans="1:8" ht="27" customHeight="1" x14ac:dyDescent="0.2">
      <c r="A1531" s="31" t="s">
        <v>2471</v>
      </c>
      <c r="B1531" s="32" t="s">
        <v>2472</v>
      </c>
      <c r="C1531" s="32" t="s">
        <v>763</v>
      </c>
      <c r="D1531" s="32" t="s">
        <v>763</v>
      </c>
      <c r="E1531" s="33" t="s">
        <v>764</v>
      </c>
      <c r="F1531" s="34">
        <v>29508</v>
      </c>
      <c r="G1531" s="34">
        <v>29508</v>
      </c>
      <c r="H1531" s="35" t="s">
        <v>1423</v>
      </c>
    </row>
    <row r="1532" spans="1:8" ht="27" customHeight="1" x14ac:dyDescent="0.2">
      <c r="A1532" s="31" t="s">
        <v>2471</v>
      </c>
      <c r="B1532" s="32" t="s">
        <v>2472</v>
      </c>
      <c r="C1532" s="32" t="s">
        <v>763</v>
      </c>
      <c r="D1532" s="32" t="s">
        <v>763</v>
      </c>
      <c r="E1532" s="33" t="s">
        <v>764</v>
      </c>
      <c r="F1532" s="34">
        <v>316124</v>
      </c>
      <c r="G1532" s="34">
        <v>326124</v>
      </c>
      <c r="H1532" s="35" t="s">
        <v>2473</v>
      </c>
    </row>
    <row r="1533" spans="1:8" ht="27" customHeight="1" x14ac:dyDescent="0.2">
      <c r="A1533" s="31" t="s">
        <v>2471</v>
      </c>
      <c r="B1533" s="32" t="s">
        <v>2472</v>
      </c>
      <c r="C1533" s="32" t="s">
        <v>770</v>
      </c>
      <c r="D1533" s="32" t="s">
        <v>1260</v>
      </c>
      <c r="E1533" s="33" t="s">
        <v>772</v>
      </c>
      <c r="F1533" s="34">
        <v>352536</v>
      </c>
      <c r="G1533" s="34">
        <v>352536</v>
      </c>
      <c r="H1533" s="35" t="s">
        <v>2474</v>
      </c>
    </row>
    <row r="1534" spans="1:8" ht="27" customHeight="1" x14ac:dyDescent="0.2">
      <c r="A1534" s="31" t="s">
        <v>2471</v>
      </c>
      <c r="B1534" s="32" t="s">
        <v>2472</v>
      </c>
      <c r="C1534" s="32" t="s">
        <v>844</v>
      </c>
      <c r="D1534" s="32" t="s">
        <v>844</v>
      </c>
      <c r="E1534" s="33" t="s">
        <v>846</v>
      </c>
      <c r="F1534" s="34">
        <v>1031909</v>
      </c>
      <c r="G1534" s="34">
        <v>1031909</v>
      </c>
      <c r="H1534" s="35" t="s">
        <v>1423</v>
      </c>
    </row>
    <row r="1535" spans="1:8" ht="27" customHeight="1" x14ac:dyDescent="0.2">
      <c r="A1535" s="31" t="s">
        <v>2471</v>
      </c>
      <c r="B1535" s="32" t="s">
        <v>2472</v>
      </c>
      <c r="C1535" s="32" t="s">
        <v>773</v>
      </c>
      <c r="D1535" s="32" t="s">
        <v>773</v>
      </c>
      <c r="E1535" s="33" t="s">
        <v>775</v>
      </c>
      <c r="F1535" s="34">
        <v>654855</v>
      </c>
      <c r="G1535" s="34">
        <v>654855</v>
      </c>
      <c r="H1535" s="35" t="s">
        <v>1423</v>
      </c>
    </row>
    <row r="1536" spans="1:8" ht="27" customHeight="1" x14ac:dyDescent="0.2">
      <c r="A1536" s="31" t="s">
        <v>2471</v>
      </c>
      <c r="B1536" s="32" t="s">
        <v>2472</v>
      </c>
      <c r="C1536" s="32" t="s">
        <v>796</v>
      </c>
      <c r="D1536" s="32" t="s">
        <v>1050</v>
      </c>
      <c r="E1536" s="33" t="s">
        <v>772</v>
      </c>
      <c r="F1536" s="34">
        <v>613253</v>
      </c>
      <c r="G1536" s="34">
        <v>458253</v>
      </c>
      <c r="H1536" s="35" t="s">
        <v>2475</v>
      </c>
    </row>
    <row r="1537" spans="1:8" ht="27" customHeight="1" x14ac:dyDescent="0.2">
      <c r="A1537" s="31" t="s">
        <v>2471</v>
      </c>
      <c r="B1537" s="32" t="s">
        <v>2472</v>
      </c>
      <c r="C1537" s="32" t="s">
        <v>776</v>
      </c>
      <c r="D1537" s="32" t="s">
        <v>776</v>
      </c>
      <c r="E1537" s="33" t="s">
        <v>777</v>
      </c>
      <c r="F1537" s="34">
        <v>29508</v>
      </c>
      <c r="G1537" s="34">
        <v>29508</v>
      </c>
      <c r="H1537" s="35" t="s">
        <v>2476</v>
      </c>
    </row>
    <row r="1538" spans="1:8" ht="27" customHeight="1" x14ac:dyDescent="0.2">
      <c r="A1538" s="31" t="s">
        <v>2471</v>
      </c>
      <c r="B1538" s="32" t="s">
        <v>2472</v>
      </c>
      <c r="C1538" s="32" t="s">
        <v>779</v>
      </c>
      <c r="D1538" s="32" t="s">
        <v>826</v>
      </c>
      <c r="E1538" s="33" t="s">
        <v>780</v>
      </c>
      <c r="F1538" s="34">
        <v>916113</v>
      </c>
      <c r="G1538" s="34">
        <v>756113</v>
      </c>
      <c r="H1538" s="35" t="s">
        <v>2477</v>
      </c>
    </row>
    <row r="1539" spans="1:8" ht="27" customHeight="1" x14ac:dyDescent="0.2">
      <c r="A1539" s="31" t="s">
        <v>2478</v>
      </c>
      <c r="B1539" s="32" t="s">
        <v>2479</v>
      </c>
      <c r="C1539" s="32" t="s">
        <v>763</v>
      </c>
      <c r="D1539" s="32" t="s">
        <v>816</v>
      </c>
      <c r="E1539" s="33" t="s">
        <v>764</v>
      </c>
      <c r="F1539" s="34">
        <v>0</v>
      </c>
      <c r="G1539" s="34">
        <v>150000</v>
      </c>
      <c r="H1539" s="35" t="s">
        <v>2480</v>
      </c>
    </row>
    <row r="1540" spans="1:8" ht="27" customHeight="1" x14ac:dyDescent="0.2">
      <c r="A1540" s="31" t="s">
        <v>2478</v>
      </c>
      <c r="B1540" s="32" t="s">
        <v>2479</v>
      </c>
      <c r="C1540" s="32" t="s">
        <v>766</v>
      </c>
      <c r="D1540" s="32" t="s">
        <v>859</v>
      </c>
      <c r="E1540" s="33" t="s">
        <v>768</v>
      </c>
      <c r="F1540" s="34">
        <v>0</v>
      </c>
      <c r="G1540" s="34">
        <v>0</v>
      </c>
      <c r="H1540" s="35" t="s">
        <v>2481</v>
      </c>
    </row>
    <row r="1541" spans="1:8" ht="27" customHeight="1" x14ac:dyDescent="0.2">
      <c r="A1541" s="31" t="s">
        <v>2478</v>
      </c>
      <c r="B1541" s="32" t="s">
        <v>2479</v>
      </c>
      <c r="C1541" s="32" t="s">
        <v>770</v>
      </c>
      <c r="D1541" s="32" t="s">
        <v>1720</v>
      </c>
      <c r="E1541" s="33" t="s">
        <v>772</v>
      </c>
      <c r="F1541" s="34">
        <v>652600</v>
      </c>
      <c r="G1541" s="34">
        <v>652600</v>
      </c>
      <c r="H1541" s="35" t="s">
        <v>2482</v>
      </c>
    </row>
    <row r="1542" spans="1:8" ht="27" customHeight="1" x14ac:dyDescent="0.2">
      <c r="A1542" s="31" t="s">
        <v>2478</v>
      </c>
      <c r="B1542" s="32" t="s">
        <v>2479</v>
      </c>
      <c r="C1542" s="32" t="s">
        <v>884</v>
      </c>
      <c r="D1542" s="32" t="s">
        <v>859</v>
      </c>
      <c r="E1542" s="33" t="s">
        <v>885</v>
      </c>
      <c r="F1542" s="34">
        <v>0</v>
      </c>
      <c r="G1542" s="34">
        <v>0</v>
      </c>
      <c r="H1542" s="35" t="s">
        <v>2481</v>
      </c>
    </row>
    <row r="1543" spans="1:8" ht="27" customHeight="1" x14ac:dyDescent="0.2">
      <c r="A1543" s="31" t="s">
        <v>2478</v>
      </c>
      <c r="B1543" s="32" t="s">
        <v>2479</v>
      </c>
      <c r="C1543" s="32" t="s">
        <v>844</v>
      </c>
      <c r="D1543" s="32" t="s">
        <v>972</v>
      </c>
      <c r="E1543" s="33" t="s">
        <v>846</v>
      </c>
      <c r="F1543" s="34">
        <v>537000</v>
      </c>
      <c r="G1543" s="34">
        <v>537000</v>
      </c>
      <c r="H1543" s="35" t="s">
        <v>2483</v>
      </c>
    </row>
    <row r="1544" spans="1:8" ht="27" customHeight="1" x14ac:dyDescent="0.2">
      <c r="A1544" s="31" t="s">
        <v>2478</v>
      </c>
      <c r="B1544" s="32" t="s">
        <v>2479</v>
      </c>
      <c r="C1544" s="32" t="s">
        <v>773</v>
      </c>
      <c r="D1544" s="32" t="s">
        <v>859</v>
      </c>
      <c r="E1544" s="33" t="s">
        <v>775</v>
      </c>
      <c r="F1544" s="34">
        <v>0</v>
      </c>
      <c r="G1544" s="34">
        <v>0</v>
      </c>
      <c r="H1544" s="35" t="s">
        <v>2481</v>
      </c>
    </row>
    <row r="1545" spans="1:8" ht="27" customHeight="1" x14ac:dyDescent="0.2">
      <c r="A1545" s="31" t="s">
        <v>2478</v>
      </c>
      <c r="B1545" s="32" t="s">
        <v>2479</v>
      </c>
      <c r="C1545" s="32" t="s">
        <v>831</v>
      </c>
      <c r="D1545" s="32" t="s">
        <v>859</v>
      </c>
      <c r="E1545" s="33"/>
      <c r="F1545" s="34">
        <v>0</v>
      </c>
      <c r="G1545" s="34">
        <v>0</v>
      </c>
      <c r="H1545" s="35" t="s">
        <v>2481</v>
      </c>
    </row>
    <row r="1546" spans="1:8" ht="27" customHeight="1" x14ac:dyDescent="0.2">
      <c r="A1546" s="31" t="s">
        <v>2478</v>
      </c>
      <c r="B1546" s="32" t="s">
        <v>2479</v>
      </c>
      <c r="C1546" s="32" t="s">
        <v>886</v>
      </c>
      <c r="D1546" s="32" t="s">
        <v>859</v>
      </c>
      <c r="E1546" s="33" t="s">
        <v>887</v>
      </c>
      <c r="F1546" s="34">
        <v>0</v>
      </c>
      <c r="G1546" s="34">
        <v>0</v>
      </c>
      <c r="H1546" s="35" t="s">
        <v>2481</v>
      </c>
    </row>
    <row r="1547" spans="1:8" ht="27" customHeight="1" x14ac:dyDescent="0.2">
      <c r="A1547" s="31" t="s">
        <v>2478</v>
      </c>
      <c r="B1547" s="32" t="s">
        <v>2479</v>
      </c>
      <c r="C1547" s="32" t="s">
        <v>860</v>
      </c>
      <c r="D1547" s="32" t="s">
        <v>859</v>
      </c>
      <c r="E1547" s="33" t="s">
        <v>861</v>
      </c>
      <c r="F1547" s="34">
        <v>0</v>
      </c>
      <c r="G1547" s="34">
        <v>0</v>
      </c>
      <c r="H1547" s="35" t="s">
        <v>2481</v>
      </c>
    </row>
    <row r="1548" spans="1:8" ht="27" customHeight="1" x14ac:dyDescent="0.2">
      <c r="A1548" s="31" t="s">
        <v>2478</v>
      </c>
      <c r="B1548" s="32" t="s">
        <v>2479</v>
      </c>
      <c r="C1548" s="32" t="s">
        <v>796</v>
      </c>
      <c r="D1548" s="32" t="s">
        <v>859</v>
      </c>
      <c r="E1548" s="33" t="s">
        <v>772</v>
      </c>
      <c r="F1548" s="34">
        <v>0</v>
      </c>
      <c r="G1548" s="34">
        <v>0</v>
      </c>
      <c r="H1548" s="35" t="s">
        <v>2481</v>
      </c>
    </row>
    <row r="1549" spans="1:8" ht="27" customHeight="1" x14ac:dyDescent="0.2">
      <c r="A1549" s="31" t="s">
        <v>2478</v>
      </c>
      <c r="B1549" s="32" t="s">
        <v>2479</v>
      </c>
      <c r="C1549" s="32" t="s">
        <v>776</v>
      </c>
      <c r="D1549" s="32" t="s">
        <v>859</v>
      </c>
      <c r="E1549" s="33" t="s">
        <v>777</v>
      </c>
      <c r="F1549" s="34">
        <v>0</v>
      </c>
      <c r="G1549" s="34">
        <v>0</v>
      </c>
      <c r="H1549" s="35" t="s">
        <v>2481</v>
      </c>
    </row>
    <row r="1550" spans="1:8" ht="27" customHeight="1" x14ac:dyDescent="0.2">
      <c r="A1550" s="31" t="s">
        <v>2478</v>
      </c>
      <c r="B1550" s="32" t="s">
        <v>2479</v>
      </c>
      <c r="C1550" s="32" t="s">
        <v>798</v>
      </c>
      <c r="D1550" s="32" t="s">
        <v>859</v>
      </c>
      <c r="E1550" s="33" t="s">
        <v>800</v>
      </c>
      <c r="F1550" s="34">
        <v>0</v>
      </c>
      <c r="G1550" s="34">
        <v>0</v>
      </c>
      <c r="H1550" s="35" t="s">
        <v>2481</v>
      </c>
    </row>
    <row r="1551" spans="1:8" ht="27" customHeight="1" x14ac:dyDescent="0.2">
      <c r="A1551" s="31" t="s">
        <v>2478</v>
      </c>
      <c r="B1551" s="32" t="s">
        <v>2479</v>
      </c>
      <c r="C1551" s="32" t="s">
        <v>892</v>
      </c>
      <c r="D1551" s="32" t="s">
        <v>859</v>
      </c>
      <c r="E1551" s="33" t="s">
        <v>893</v>
      </c>
      <c r="F1551" s="34">
        <v>0</v>
      </c>
      <c r="G1551" s="34">
        <v>0</v>
      </c>
      <c r="H1551" s="35" t="s">
        <v>2481</v>
      </c>
    </row>
    <row r="1552" spans="1:8" ht="27" customHeight="1" x14ac:dyDescent="0.2">
      <c r="A1552" s="31" t="s">
        <v>2478</v>
      </c>
      <c r="B1552" s="32" t="s">
        <v>2479</v>
      </c>
      <c r="C1552" s="32" t="s">
        <v>779</v>
      </c>
      <c r="D1552" s="32" t="s">
        <v>826</v>
      </c>
      <c r="E1552" s="33" t="s">
        <v>780</v>
      </c>
      <c r="F1552" s="34">
        <v>127117</v>
      </c>
      <c r="G1552" s="34">
        <v>125000</v>
      </c>
      <c r="H1552" s="35" t="s">
        <v>2484</v>
      </c>
    </row>
    <row r="1553" spans="1:8" ht="27" customHeight="1" x14ac:dyDescent="0.2">
      <c r="A1553" s="31" t="s">
        <v>2478</v>
      </c>
      <c r="B1553" s="32" t="s">
        <v>2479</v>
      </c>
      <c r="C1553" s="32" t="s">
        <v>782</v>
      </c>
      <c r="D1553" s="32" t="s">
        <v>859</v>
      </c>
      <c r="E1553" s="33" t="s">
        <v>784</v>
      </c>
      <c r="F1553" s="34">
        <v>0</v>
      </c>
      <c r="G1553" s="34">
        <v>0</v>
      </c>
      <c r="H1553" s="35" t="s">
        <v>2481</v>
      </c>
    </row>
    <row r="1554" spans="1:8" ht="27" customHeight="1" x14ac:dyDescent="0.2">
      <c r="A1554" s="31" t="s">
        <v>2485</v>
      </c>
      <c r="B1554" s="32" t="s">
        <v>2486</v>
      </c>
      <c r="C1554" s="32" t="s">
        <v>763</v>
      </c>
      <c r="D1554" s="32" t="s">
        <v>2487</v>
      </c>
      <c r="E1554" s="33" t="s">
        <v>764</v>
      </c>
      <c r="F1554" s="34">
        <v>675891</v>
      </c>
      <c r="G1554" s="34">
        <v>675992</v>
      </c>
      <c r="H1554" s="35" t="s">
        <v>2488</v>
      </c>
    </row>
    <row r="1555" spans="1:8" ht="27" customHeight="1" x14ac:dyDescent="0.2">
      <c r="A1555" s="31" t="s">
        <v>2485</v>
      </c>
      <c r="B1555" s="32" t="s">
        <v>2486</v>
      </c>
      <c r="C1555" s="32" t="s">
        <v>770</v>
      </c>
      <c r="D1555" s="32" t="s">
        <v>2489</v>
      </c>
      <c r="E1555" s="33" t="s">
        <v>772</v>
      </c>
      <c r="F1555" s="34">
        <v>305253</v>
      </c>
      <c r="G1555" s="34">
        <v>305299</v>
      </c>
      <c r="H1555" s="35" t="s">
        <v>2490</v>
      </c>
    </row>
    <row r="1556" spans="1:8" ht="27" customHeight="1" x14ac:dyDescent="0.2">
      <c r="A1556" s="31" t="s">
        <v>2485</v>
      </c>
      <c r="B1556" s="32" t="s">
        <v>2486</v>
      </c>
      <c r="C1556" s="32" t="s">
        <v>844</v>
      </c>
      <c r="D1556" s="32" t="s">
        <v>972</v>
      </c>
      <c r="E1556" s="33" t="s">
        <v>846</v>
      </c>
      <c r="F1556" s="34">
        <v>971391</v>
      </c>
      <c r="G1556" s="34">
        <v>971537</v>
      </c>
      <c r="H1556" s="35" t="s">
        <v>2491</v>
      </c>
    </row>
    <row r="1557" spans="1:8" ht="27" customHeight="1" x14ac:dyDescent="0.2">
      <c r="A1557" s="31" t="s">
        <v>2485</v>
      </c>
      <c r="B1557" s="32" t="s">
        <v>2486</v>
      </c>
      <c r="C1557" s="32" t="s">
        <v>773</v>
      </c>
      <c r="D1557" s="32" t="s">
        <v>2020</v>
      </c>
      <c r="E1557" s="33" t="s">
        <v>775</v>
      </c>
      <c r="F1557" s="34">
        <v>193814</v>
      </c>
      <c r="G1557" s="34">
        <v>193843</v>
      </c>
      <c r="H1557" s="35" t="s">
        <v>2492</v>
      </c>
    </row>
    <row r="1558" spans="1:8" ht="27" customHeight="1" x14ac:dyDescent="0.2">
      <c r="A1558" s="31" t="s">
        <v>2485</v>
      </c>
      <c r="B1558" s="32" t="s">
        <v>2486</v>
      </c>
      <c r="C1558" s="32" t="s">
        <v>860</v>
      </c>
      <c r="D1558" s="32" t="s">
        <v>1027</v>
      </c>
      <c r="E1558" s="33" t="s">
        <v>861</v>
      </c>
      <c r="F1558" s="34">
        <v>112946</v>
      </c>
      <c r="G1558" s="34">
        <v>112963</v>
      </c>
      <c r="H1558" s="35" t="s">
        <v>2493</v>
      </c>
    </row>
    <row r="1559" spans="1:8" ht="27" customHeight="1" x14ac:dyDescent="0.2">
      <c r="A1559" s="31" t="s">
        <v>2485</v>
      </c>
      <c r="B1559" s="32" t="s">
        <v>2486</v>
      </c>
      <c r="C1559" s="32" t="s">
        <v>796</v>
      </c>
      <c r="D1559" s="32" t="s">
        <v>2494</v>
      </c>
      <c r="E1559" s="33" t="s">
        <v>772</v>
      </c>
      <c r="F1559" s="34">
        <v>499411</v>
      </c>
      <c r="G1559" s="34">
        <v>499486</v>
      </c>
      <c r="H1559" s="35" t="s">
        <v>2495</v>
      </c>
    </row>
    <row r="1560" spans="1:8" ht="27" customHeight="1" x14ac:dyDescent="0.2">
      <c r="A1560" s="31" t="s">
        <v>2485</v>
      </c>
      <c r="B1560" s="32" t="s">
        <v>2486</v>
      </c>
      <c r="C1560" s="32" t="s">
        <v>779</v>
      </c>
      <c r="D1560" s="32" t="s">
        <v>876</v>
      </c>
      <c r="E1560" s="33" t="s">
        <v>780</v>
      </c>
      <c r="F1560" s="34">
        <v>120667</v>
      </c>
      <c r="G1560" s="34">
        <v>120685</v>
      </c>
      <c r="H1560" s="35" t="s">
        <v>2496</v>
      </c>
    </row>
    <row r="1561" spans="1:8" ht="27" customHeight="1" x14ac:dyDescent="0.2">
      <c r="A1561" s="31" t="s">
        <v>2497</v>
      </c>
      <c r="B1561" s="32" t="s">
        <v>2498</v>
      </c>
      <c r="C1561" s="32" t="s">
        <v>763</v>
      </c>
      <c r="D1561" s="32" t="s">
        <v>2499</v>
      </c>
      <c r="E1561" s="33" t="s">
        <v>764</v>
      </c>
      <c r="F1561" s="34">
        <v>390520</v>
      </c>
      <c r="G1561" s="34">
        <v>323020</v>
      </c>
      <c r="H1561" s="35" t="s">
        <v>2500</v>
      </c>
    </row>
    <row r="1562" spans="1:8" ht="27" customHeight="1" x14ac:dyDescent="0.2">
      <c r="A1562" s="31" t="s">
        <v>2497</v>
      </c>
      <c r="B1562" s="32" t="s">
        <v>2498</v>
      </c>
      <c r="C1562" s="32" t="s">
        <v>763</v>
      </c>
      <c r="D1562" s="32" t="s">
        <v>967</v>
      </c>
      <c r="E1562" s="33" t="s">
        <v>764</v>
      </c>
      <c r="F1562" s="34">
        <v>3427443</v>
      </c>
      <c r="G1562" s="34">
        <v>3427443</v>
      </c>
      <c r="H1562" s="35" t="s">
        <v>2501</v>
      </c>
    </row>
    <row r="1563" spans="1:8" ht="27" customHeight="1" x14ac:dyDescent="0.2">
      <c r="A1563" s="31" t="s">
        <v>2497</v>
      </c>
      <c r="B1563" s="32" t="s">
        <v>2498</v>
      </c>
      <c r="C1563" s="32" t="s">
        <v>770</v>
      </c>
      <c r="D1563" s="32" t="s">
        <v>2502</v>
      </c>
      <c r="E1563" s="33" t="s">
        <v>772</v>
      </c>
      <c r="F1563" s="34">
        <v>623252</v>
      </c>
      <c r="G1563" s="34">
        <v>593292</v>
      </c>
      <c r="H1563" s="35" t="s">
        <v>1468</v>
      </c>
    </row>
    <row r="1564" spans="1:8" ht="27" customHeight="1" x14ac:dyDescent="0.2">
      <c r="A1564" s="31" t="s">
        <v>2497</v>
      </c>
      <c r="B1564" s="32" t="s">
        <v>2498</v>
      </c>
      <c r="C1564" s="32" t="s">
        <v>860</v>
      </c>
      <c r="D1564" s="32" t="s">
        <v>911</v>
      </c>
      <c r="E1564" s="33" t="s">
        <v>861</v>
      </c>
      <c r="F1564" s="34">
        <v>148647</v>
      </c>
      <c r="G1564" s="34">
        <v>148647</v>
      </c>
      <c r="H1564" s="35" t="s">
        <v>2503</v>
      </c>
    </row>
    <row r="1565" spans="1:8" ht="27" customHeight="1" x14ac:dyDescent="0.2">
      <c r="A1565" s="31" t="s">
        <v>2497</v>
      </c>
      <c r="B1565" s="32" t="s">
        <v>2498</v>
      </c>
      <c r="C1565" s="32" t="s">
        <v>796</v>
      </c>
      <c r="D1565" s="32" t="s">
        <v>796</v>
      </c>
      <c r="E1565" s="33" t="s">
        <v>823</v>
      </c>
      <c r="F1565" s="34">
        <v>1458250</v>
      </c>
      <c r="G1565" s="34">
        <v>1158250</v>
      </c>
      <c r="H1565" s="35" t="s">
        <v>2504</v>
      </c>
    </row>
    <row r="1566" spans="1:8" ht="27" customHeight="1" x14ac:dyDescent="0.2">
      <c r="A1566" s="31" t="s">
        <v>2497</v>
      </c>
      <c r="B1566" s="32" t="s">
        <v>2498</v>
      </c>
      <c r="C1566" s="32" t="s">
        <v>779</v>
      </c>
      <c r="D1566" s="32" t="s">
        <v>826</v>
      </c>
      <c r="E1566" s="33" t="s">
        <v>780</v>
      </c>
      <c r="F1566" s="34">
        <v>515915</v>
      </c>
      <c r="G1566" s="34">
        <v>465915</v>
      </c>
      <c r="H1566" s="35" t="s">
        <v>1473</v>
      </c>
    </row>
    <row r="1567" spans="1:8" ht="27" customHeight="1" x14ac:dyDescent="0.2">
      <c r="A1567" s="31" t="s">
        <v>2505</v>
      </c>
      <c r="B1567" s="32" t="s">
        <v>2506</v>
      </c>
      <c r="C1567" s="32" t="s">
        <v>763</v>
      </c>
      <c r="D1567" s="32" t="s">
        <v>2507</v>
      </c>
      <c r="E1567" s="33" t="s">
        <v>764</v>
      </c>
      <c r="F1567" s="34">
        <v>1423359</v>
      </c>
      <c r="G1567" s="34">
        <v>2000000</v>
      </c>
      <c r="H1567" s="35" t="s">
        <v>2508</v>
      </c>
    </row>
    <row r="1568" spans="1:8" ht="27" customHeight="1" x14ac:dyDescent="0.2">
      <c r="A1568" s="31" t="s">
        <v>2505</v>
      </c>
      <c r="B1568" s="32" t="s">
        <v>2506</v>
      </c>
      <c r="C1568" s="32" t="s">
        <v>763</v>
      </c>
      <c r="D1568" s="32" t="s">
        <v>2509</v>
      </c>
      <c r="E1568" s="33" t="s">
        <v>764</v>
      </c>
      <c r="F1568" s="34">
        <v>650000</v>
      </c>
      <c r="G1568" s="34">
        <v>606000</v>
      </c>
      <c r="H1568" s="35" t="s">
        <v>2510</v>
      </c>
    </row>
    <row r="1569" spans="1:8" ht="27" customHeight="1" x14ac:dyDescent="0.2">
      <c r="A1569" s="31" t="s">
        <v>2505</v>
      </c>
      <c r="B1569" s="32" t="s">
        <v>2506</v>
      </c>
      <c r="C1569" s="32" t="s">
        <v>766</v>
      </c>
      <c r="D1569" s="32" t="s">
        <v>1301</v>
      </c>
      <c r="E1569" s="33" t="s">
        <v>768</v>
      </c>
      <c r="F1569" s="34">
        <v>1058190</v>
      </c>
      <c r="G1569" s="34">
        <v>1058190</v>
      </c>
      <c r="H1569" s="35" t="s">
        <v>2511</v>
      </c>
    </row>
    <row r="1570" spans="1:8" ht="27" customHeight="1" x14ac:dyDescent="0.2">
      <c r="A1570" s="31" t="s">
        <v>2505</v>
      </c>
      <c r="B1570" s="32" t="s">
        <v>2506</v>
      </c>
      <c r="C1570" s="32" t="s">
        <v>770</v>
      </c>
      <c r="D1570" s="32" t="s">
        <v>1121</v>
      </c>
      <c r="E1570" s="33" t="s">
        <v>772</v>
      </c>
      <c r="F1570" s="34">
        <v>454614</v>
      </c>
      <c r="G1570" s="34">
        <v>554614</v>
      </c>
      <c r="H1570" s="35" t="s">
        <v>1261</v>
      </c>
    </row>
    <row r="1571" spans="1:8" ht="27" customHeight="1" x14ac:dyDescent="0.2">
      <c r="A1571" s="31" t="s">
        <v>2505</v>
      </c>
      <c r="B1571" s="32" t="s">
        <v>2506</v>
      </c>
      <c r="C1571" s="32" t="s">
        <v>773</v>
      </c>
      <c r="D1571" s="32" t="s">
        <v>1025</v>
      </c>
      <c r="E1571" s="33" t="s">
        <v>775</v>
      </c>
      <c r="F1571" s="34">
        <v>595090</v>
      </c>
      <c r="G1571" s="34">
        <v>595090</v>
      </c>
      <c r="H1571" s="35" t="s">
        <v>1261</v>
      </c>
    </row>
    <row r="1572" spans="1:8" ht="27" customHeight="1" x14ac:dyDescent="0.2">
      <c r="A1572" s="31" t="s">
        <v>2505</v>
      </c>
      <c r="B1572" s="32" t="s">
        <v>2506</v>
      </c>
      <c r="C1572" s="32" t="s">
        <v>860</v>
      </c>
      <c r="D1572" s="32" t="s">
        <v>1027</v>
      </c>
      <c r="E1572" s="33" t="s">
        <v>861</v>
      </c>
      <c r="F1572" s="34">
        <v>307780</v>
      </c>
      <c r="G1572" s="34">
        <v>307780</v>
      </c>
      <c r="H1572" s="35" t="s">
        <v>2512</v>
      </c>
    </row>
    <row r="1573" spans="1:8" ht="27" customHeight="1" x14ac:dyDescent="0.2">
      <c r="A1573" s="31" t="s">
        <v>2505</v>
      </c>
      <c r="B1573" s="32" t="s">
        <v>2506</v>
      </c>
      <c r="C1573" s="32" t="s">
        <v>796</v>
      </c>
      <c r="D1573" s="32" t="s">
        <v>2513</v>
      </c>
      <c r="E1573" s="33" t="s">
        <v>772</v>
      </c>
      <c r="F1573" s="34">
        <v>740957</v>
      </c>
      <c r="G1573" s="34">
        <v>840957</v>
      </c>
      <c r="H1573" s="35" t="s">
        <v>1261</v>
      </c>
    </row>
    <row r="1574" spans="1:8" ht="27" customHeight="1" x14ac:dyDescent="0.2">
      <c r="A1574" s="31" t="s">
        <v>2505</v>
      </c>
      <c r="B1574" s="32" t="s">
        <v>2506</v>
      </c>
      <c r="C1574" s="32" t="s">
        <v>779</v>
      </c>
      <c r="D1574" s="32" t="s">
        <v>2514</v>
      </c>
      <c r="E1574" s="33" t="s">
        <v>780</v>
      </c>
      <c r="F1574" s="34">
        <v>1371642</v>
      </c>
      <c r="G1574" s="34">
        <v>1371642</v>
      </c>
      <c r="H1574" s="35" t="s">
        <v>2515</v>
      </c>
    </row>
    <row r="1575" spans="1:8" ht="27" customHeight="1" x14ac:dyDescent="0.2">
      <c r="A1575" s="31" t="s">
        <v>2505</v>
      </c>
      <c r="B1575" s="32" t="s">
        <v>2506</v>
      </c>
      <c r="C1575" s="32" t="s">
        <v>782</v>
      </c>
      <c r="D1575" s="32" t="s">
        <v>1539</v>
      </c>
      <c r="E1575" s="33" t="s">
        <v>784</v>
      </c>
      <c r="F1575" s="34">
        <v>0</v>
      </c>
      <c r="G1575" s="34">
        <v>300000</v>
      </c>
      <c r="H1575" s="35" t="s">
        <v>1261</v>
      </c>
    </row>
    <row r="1576" spans="1:8" ht="27" customHeight="1" x14ac:dyDescent="0.2">
      <c r="A1576" s="31" t="s">
        <v>2516</v>
      </c>
      <c r="B1576" s="32" t="s">
        <v>2517</v>
      </c>
      <c r="C1576" s="32" t="s">
        <v>763</v>
      </c>
      <c r="D1576" s="32" t="s">
        <v>816</v>
      </c>
      <c r="E1576" s="33" t="s">
        <v>764</v>
      </c>
      <c r="F1576" s="34">
        <v>1306909</v>
      </c>
      <c r="G1576" s="34">
        <v>2000000</v>
      </c>
      <c r="H1576" s="35" t="s">
        <v>2518</v>
      </c>
    </row>
    <row r="1577" spans="1:8" ht="27" customHeight="1" x14ac:dyDescent="0.2">
      <c r="A1577" s="31" t="s">
        <v>2516</v>
      </c>
      <c r="B1577" s="32" t="s">
        <v>2517</v>
      </c>
      <c r="C1577" s="32" t="s">
        <v>766</v>
      </c>
      <c r="D1577" s="32" t="s">
        <v>1301</v>
      </c>
      <c r="E1577" s="33" t="s">
        <v>768</v>
      </c>
      <c r="F1577" s="34">
        <v>1134467</v>
      </c>
      <c r="G1577" s="34">
        <v>954467</v>
      </c>
      <c r="H1577" s="35" t="s">
        <v>2519</v>
      </c>
    </row>
    <row r="1578" spans="1:8" ht="27" customHeight="1" x14ac:dyDescent="0.2">
      <c r="A1578" s="31" t="s">
        <v>2516</v>
      </c>
      <c r="B1578" s="32" t="s">
        <v>2517</v>
      </c>
      <c r="C1578" s="32" t="s">
        <v>770</v>
      </c>
      <c r="D1578" s="32" t="s">
        <v>1720</v>
      </c>
      <c r="E1578" s="33" t="s">
        <v>772</v>
      </c>
      <c r="F1578" s="34">
        <v>470523</v>
      </c>
      <c r="G1578" s="34">
        <v>470523</v>
      </c>
      <c r="H1578" s="35" t="s">
        <v>2520</v>
      </c>
    </row>
    <row r="1579" spans="1:8" ht="27" customHeight="1" x14ac:dyDescent="0.2">
      <c r="A1579" s="31" t="s">
        <v>2516</v>
      </c>
      <c r="B1579" s="32" t="s">
        <v>2517</v>
      </c>
      <c r="C1579" s="32" t="s">
        <v>796</v>
      </c>
      <c r="D1579" s="32" t="s">
        <v>961</v>
      </c>
      <c r="E1579" s="33" t="s">
        <v>823</v>
      </c>
      <c r="F1579" s="34">
        <v>1535983</v>
      </c>
      <c r="G1579" s="34">
        <v>1535983</v>
      </c>
      <c r="H1579" s="35" t="s">
        <v>2521</v>
      </c>
    </row>
    <row r="1580" spans="1:8" ht="27" customHeight="1" x14ac:dyDescent="0.2">
      <c r="A1580" s="31" t="s">
        <v>2516</v>
      </c>
      <c r="B1580" s="32" t="s">
        <v>2517</v>
      </c>
      <c r="C1580" s="32" t="s">
        <v>779</v>
      </c>
      <c r="D1580" s="32" t="s">
        <v>927</v>
      </c>
      <c r="E1580" s="33" t="s">
        <v>780</v>
      </c>
      <c r="F1580" s="34">
        <v>998429</v>
      </c>
      <c r="G1580" s="34">
        <v>998429</v>
      </c>
      <c r="H1580" s="35" t="s">
        <v>2522</v>
      </c>
    </row>
    <row r="1581" spans="1:8" ht="27" customHeight="1" x14ac:dyDescent="0.2">
      <c r="A1581" s="31" t="s">
        <v>2523</v>
      </c>
      <c r="B1581" s="32" t="s">
        <v>2524</v>
      </c>
      <c r="C1581" s="32" t="s">
        <v>770</v>
      </c>
      <c r="D1581" s="32" t="s">
        <v>810</v>
      </c>
      <c r="E1581" s="33" t="s">
        <v>772</v>
      </c>
      <c r="F1581" s="34">
        <v>781908</v>
      </c>
      <c r="G1581" s="34">
        <v>886463</v>
      </c>
      <c r="H1581" s="35" t="s">
        <v>2525</v>
      </c>
    </row>
    <row r="1582" spans="1:8" ht="27" customHeight="1" x14ac:dyDescent="0.2">
      <c r="A1582" s="31" t="s">
        <v>2523</v>
      </c>
      <c r="B1582" s="32" t="s">
        <v>2524</v>
      </c>
      <c r="C1582" s="32" t="s">
        <v>831</v>
      </c>
      <c r="D1582" s="32" t="s">
        <v>2372</v>
      </c>
      <c r="E1582" s="33" t="s">
        <v>2526</v>
      </c>
      <c r="F1582" s="34">
        <v>0</v>
      </c>
      <c r="G1582" s="34">
        <v>624143</v>
      </c>
      <c r="H1582" s="35" t="s">
        <v>859</v>
      </c>
    </row>
    <row r="1583" spans="1:8" ht="27" customHeight="1" x14ac:dyDescent="0.2">
      <c r="A1583" s="31" t="s">
        <v>2523</v>
      </c>
      <c r="B1583" s="32" t="s">
        <v>2524</v>
      </c>
      <c r="C1583" s="32" t="s">
        <v>886</v>
      </c>
      <c r="D1583" s="32" t="s">
        <v>2527</v>
      </c>
      <c r="E1583" s="33" t="s">
        <v>887</v>
      </c>
      <c r="F1583" s="34">
        <v>250000</v>
      </c>
      <c r="G1583" s="34">
        <v>250000</v>
      </c>
      <c r="H1583" s="35" t="s">
        <v>859</v>
      </c>
    </row>
    <row r="1584" spans="1:8" ht="27" customHeight="1" x14ac:dyDescent="0.2">
      <c r="A1584" s="31" t="s">
        <v>2523</v>
      </c>
      <c r="B1584" s="32" t="s">
        <v>2524</v>
      </c>
      <c r="C1584" s="32" t="s">
        <v>796</v>
      </c>
      <c r="D1584" s="32" t="s">
        <v>835</v>
      </c>
      <c r="E1584" s="33" t="s">
        <v>823</v>
      </c>
      <c r="F1584" s="34">
        <v>700000</v>
      </c>
      <c r="G1584" s="34">
        <v>850000</v>
      </c>
      <c r="H1584" s="35" t="s">
        <v>859</v>
      </c>
    </row>
    <row r="1585" spans="1:8" ht="27" customHeight="1" x14ac:dyDescent="0.2">
      <c r="A1585" s="31" t="s">
        <v>2523</v>
      </c>
      <c r="B1585" s="32" t="s">
        <v>2524</v>
      </c>
      <c r="C1585" s="32" t="s">
        <v>776</v>
      </c>
      <c r="D1585" s="32" t="s">
        <v>812</v>
      </c>
      <c r="E1585" s="33" t="s">
        <v>777</v>
      </c>
      <c r="F1585" s="34">
        <v>270000</v>
      </c>
      <c r="G1585" s="34">
        <v>270000</v>
      </c>
      <c r="H1585" s="35" t="s">
        <v>2528</v>
      </c>
    </row>
    <row r="1586" spans="1:8" ht="27" customHeight="1" x14ac:dyDescent="0.2">
      <c r="A1586" s="31" t="s">
        <v>2523</v>
      </c>
      <c r="B1586" s="32" t="s">
        <v>2524</v>
      </c>
      <c r="C1586" s="32" t="s">
        <v>779</v>
      </c>
      <c r="D1586" s="32" t="s">
        <v>826</v>
      </c>
      <c r="E1586" s="33" t="s">
        <v>780</v>
      </c>
      <c r="F1586" s="34">
        <v>137690</v>
      </c>
      <c r="G1586" s="34">
        <v>205000</v>
      </c>
      <c r="H1586" s="35" t="s">
        <v>2529</v>
      </c>
    </row>
    <row r="1587" spans="1:8" ht="27" customHeight="1" x14ac:dyDescent="0.2">
      <c r="A1587" s="31" t="s">
        <v>2523</v>
      </c>
      <c r="B1587" s="32" t="s">
        <v>2524</v>
      </c>
      <c r="C1587" s="32" t="s">
        <v>782</v>
      </c>
      <c r="D1587" s="32" t="s">
        <v>980</v>
      </c>
      <c r="E1587" s="33" t="s">
        <v>784</v>
      </c>
      <c r="F1587" s="34">
        <v>200000</v>
      </c>
      <c r="G1587" s="34">
        <v>217500</v>
      </c>
      <c r="H1587" s="35" t="s">
        <v>2530</v>
      </c>
    </row>
    <row r="1588" spans="1:8" ht="27" customHeight="1" x14ac:dyDescent="0.2">
      <c r="A1588" s="31" t="s">
        <v>2531</v>
      </c>
      <c r="B1588" s="32" t="s">
        <v>2532</v>
      </c>
      <c r="C1588" s="32" t="s">
        <v>831</v>
      </c>
      <c r="D1588" s="32" t="s">
        <v>2533</v>
      </c>
      <c r="E1588" s="33" t="s">
        <v>2534</v>
      </c>
      <c r="F1588" s="34">
        <v>6365</v>
      </c>
      <c r="G1588" s="34">
        <v>6365</v>
      </c>
      <c r="H1588" s="35" t="s">
        <v>2535</v>
      </c>
    </row>
    <row r="1589" spans="1:8" ht="27" customHeight="1" x14ac:dyDescent="0.2">
      <c r="A1589" s="31" t="s">
        <v>2531</v>
      </c>
      <c r="B1589" s="32" t="s">
        <v>2532</v>
      </c>
      <c r="C1589" s="32" t="s">
        <v>860</v>
      </c>
      <c r="D1589" s="32" t="s">
        <v>911</v>
      </c>
      <c r="E1589" s="33" t="s">
        <v>861</v>
      </c>
      <c r="F1589" s="34">
        <v>69689</v>
      </c>
      <c r="G1589" s="34">
        <v>69689</v>
      </c>
      <c r="H1589" s="35" t="s">
        <v>2536</v>
      </c>
    </row>
    <row r="1590" spans="1:8" ht="27" customHeight="1" x14ac:dyDescent="0.2">
      <c r="A1590" s="31" t="s">
        <v>2531</v>
      </c>
      <c r="B1590" s="32" t="s">
        <v>2532</v>
      </c>
      <c r="C1590" s="32" t="s">
        <v>779</v>
      </c>
      <c r="D1590" s="32" t="s">
        <v>876</v>
      </c>
      <c r="E1590" s="33" t="s">
        <v>780</v>
      </c>
      <c r="F1590" s="34">
        <v>16898</v>
      </c>
      <c r="G1590" s="34">
        <v>16898</v>
      </c>
      <c r="H1590" s="35" t="s">
        <v>2537</v>
      </c>
    </row>
    <row r="1591" spans="1:8" ht="27" customHeight="1" x14ac:dyDescent="0.2">
      <c r="A1591" s="31" t="s">
        <v>2538</v>
      </c>
      <c r="B1591" s="32" t="s">
        <v>2539</v>
      </c>
      <c r="C1591" s="32" t="s">
        <v>763</v>
      </c>
      <c r="D1591" s="32" t="s">
        <v>816</v>
      </c>
      <c r="E1591" s="33" t="s">
        <v>764</v>
      </c>
      <c r="F1591" s="34">
        <v>149638</v>
      </c>
      <c r="G1591" s="34">
        <v>149638</v>
      </c>
      <c r="H1591" s="35" t="s">
        <v>2540</v>
      </c>
    </row>
    <row r="1592" spans="1:8" ht="27" customHeight="1" x14ac:dyDescent="0.2">
      <c r="A1592" s="31" t="s">
        <v>2538</v>
      </c>
      <c r="B1592" s="32" t="s">
        <v>2539</v>
      </c>
      <c r="C1592" s="32" t="s">
        <v>770</v>
      </c>
      <c r="D1592" s="32" t="s">
        <v>2541</v>
      </c>
      <c r="E1592" s="33" t="s">
        <v>772</v>
      </c>
      <c r="F1592" s="34">
        <v>282939</v>
      </c>
      <c r="G1592" s="34">
        <v>254463</v>
      </c>
      <c r="H1592" s="35" t="s">
        <v>2542</v>
      </c>
    </row>
    <row r="1593" spans="1:8" ht="27" customHeight="1" x14ac:dyDescent="0.2">
      <c r="A1593" s="31" t="s">
        <v>2538</v>
      </c>
      <c r="B1593" s="32" t="s">
        <v>2539</v>
      </c>
      <c r="C1593" s="32" t="s">
        <v>773</v>
      </c>
      <c r="D1593" s="32" t="s">
        <v>2543</v>
      </c>
      <c r="E1593" s="33" t="s">
        <v>775</v>
      </c>
      <c r="F1593" s="34">
        <v>343730</v>
      </c>
      <c r="G1593" s="34">
        <v>343730</v>
      </c>
      <c r="H1593" s="35" t="s">
        <v>2544</v>
      </c>
    </row>
    <row r="1594" spans="1:8" ht="27" customHeight="1" x14ac:dyDescent="0.2">
      <c r="A1594" s="31" t="s">
        <v>2538</v>
      </c>
      <c r="B1594" s="32" t="s">
        <v>2539</v>
      </c>
      <c r="C1594" s="32" t="s">
        <v>831</v>
      </c>
      <c r="D1594" s="32" t="s">
        <v>2545</v>
      </c>
      <c r="E1594" s="33" t="s">
        <v>2546</v>
      </c>
      <c r="F1594" s="34">
        <v>3891402</v>
      </c>
      <c r="G1594" s="34">
        <v>0</v>
      </c>
      <c r="H1594" s="35" t="s">
        <v>2547</v>
      </c>
    </row>
    <row r="1595" spans="1:8" ht="27" customHeight="1" x14ac:dyDescent="0.2">
      <c r="A1595" s="31" t="s">
        <v>2538</v>
      </c>
      <c r="B1595" s="32" t="s">
        <v>2539</v>
      </c>
      <c r="C1595" s="32" t="s">
        <v>796</v>
      </c>
      <c r="D1595" s="32" t="s">
        <v>2548</v>
      </c>
      <c r="E1595" s="33" t="s">
        <v>772</v>
      </c>
      <c r="F1595" s="34">
        <v>299470</v>
      </c>
      <c r="G1595" s="34">
        <v>299470</v>
      </c>
      <c r="H1595" s="35" t="s">
        <v>2549</v>
      </c>
    </row>
    <row r="1596" spans="1:8" ht="27" customHeight="1" x14ac:dyDescent="0.2">
      <c r="A1596" s="31" t="s">
        <v>2538</v>
      </c>
      <c r="B1596" s="32" t="s">
        <v>2539</v>
      </c>
      <c r="C1596" s="32" t="s">
        <v>776</v>
      </c>
      <c r="D1596" s="32" t="s">
        <v>2550</v>
      </c>
      <c r="E1596" s="33" t="s">
        <v>777</v>
      </c>
      <c r="F1596" s="34">
        <v>70000</v>
      </c>
      <c r="G1596" s="34">
        <v>70000</v>
      </c>
      <c r="H1596" s="35" t="s">
        <v>2551</v>
      </c>
    </row>
    <row r="1597" spans="1:8" ht="27" customHeight="1" x14ac:dyDescent="0.2">
      <c r="A1597" s="31" t="s">
        <v>2538</v>
      </c>
      <c r="B1597" s="32" t="s">
        <v>2539</v>
      </c>
      <c r="C1597" s="32" t="s">
        <v>779</v>
      </c>
      <c r="D1597" s="32" t="s">
        <v>1126</v>
      </c>
      <c r="E1597" s="33" t="s">
        <v>780</v>
      </c>
      <c r="F1597" s="34">
        <v>126820</v>
      </c>
      <c r="G1597" s="34">
        <v>126820</v>
      </c>
      <c r="H1597" s="35" t="s">
        <v>2552</v>
      </c>
    </row>
    <row r="1598" spans="1:8" ht="27" customHeight="1" x14ac:dyDescent="0.2">
      <c r="A1598" s="31" t="s">
        <v>2553</v>
      </c>
      <c r="B1598" s="32" t="s">
        <v>2554</v>
      </c>
      <c r="C1598" s="32" t="s">
        <v>763</v>
      </c>
      <c r="D1598" s="32" t="s">
        <v>816</v>
      </c>
      <c r="E1598" s="33" t="s">
        <v>764</v>
      </c>
      <c r="F1598" s="34">
        <v>212099</v>
      </c>
      <c r="G1598" s="34">
        <v>212124</v>
      </c>
      <c r="H1598" s="35" t="s">
        <v>859</v>
      </c>
    </row>
    <row r="1599" spans="1:8" ht="27" customHeight="1" x14ac:dyDescent="0.2">
      <c r="A1599" s="31" t="s">
        <v>2553</v>
      </c>
      <c r="B1599" s="32" t="s">
        <v>2554</v>
      </c>
      <c r="C1599" s="32" t="s">
        <v>770</v>
      </c>
      <c r="D1599" s="32" t="s">
        <v>1011</v>
      </c>
      <c r="E1599" s="33" t="s">
        <v>772</v>
      </c>
      <c r="F1599" s="34">
        <v>580672</v>
      </c>
      <c r="G1599" s="34">
        <v>592805</v>
      </c>
      <c r="H1599" s="35" t="s">
        <v>2555</v>
      </c>
    </row>
    <row r="1600" spans="1:8" ht="27" customHeight="1" x14ac:dyDescent="0.2">
      <c r="A1600" s="31" t="s">
        <v>2553</v>
      </c>
      <c r="B1600" s="32" t="s">
        <v>2554</v>
      </c>
      <c r="C1600" s="32" t="s">
        <v>844</v>
      </c>
      <c r="D1600" s="32" t="s">
        <v>973</v>
      </c>
      <c r="E1600" s="33" t="s">
        <v>846</v>
      </c>
      <c r="F1600" s="34">
        <v>172711</v>
      </c>
      <c r="G1600" s="34">
        <v>172721</v>
      </c>
      <c r="H1600" s="35" t="s">
        <v>2556</v>
      </c>
    </row>
    <row r="1601" spans="1:8" ht="27" customHeight="1" x14ac:dyDescent="0.2">
      <c r="A1601" s="31" t="s">
        <v>2553</v>
      </c>
      <c r="B1601" s="32" t="s">
        <v>2554</v>
      </c>
      <c r="C1601" s="32" t="s">
        <v>860</v>
      </c>
      <c r="D1601" s="32" t="s">
        <v>911</v>
      </c>
      <c r="E1601" s="33" t="s">
        <v>861</v>
      </c>
      <c r="F1601" s="34">
        <v>126400</v>
      </c>
      <c r="G1601" s="34">
        <v>126415</v>
      </c>
      <c r="H1601" s="35" t="s">
        <v>2557</v>
      </c>
    </row>
    <row r="1602" spans="1:8" ht="27" customHeight="1" x14ac:dyDescent="0.2">
      <c r="A1602" s="31" t="s">
        <v>2553</v>
      </c>
      <c r="B1602" s="32" t="s">
        <v>2554</v>
      </c>
      <c r="C1602" s="32" t="s">
        <v>796</v>
      </c>
      <c r="D1602" s="32" t="s">
        <v>835</v>
      </c>
      <c r="E1602" s="33" t="s">
        <v>823</v>
      </c>
      <c r="F1602" s="34">
        <v>222497</v>
      </c>
      <c r="G1602" s="34">
        <v>222507</v>
      </c>
      <c r="H1602" s="35" t="s">
        <v>2558</v>
      </c>
    </row>
    <row r="1603" spans="1:8" ht="27" customHeight="1" x14ac:dyDescent="0.2">
      <c r="A1603" s="31" t="s">
        <v>2553</v>
      </c>
      <c r="B1603" s="32" t="s">
        <v>2554</v>
      </c>
      <c r="C1603" s="32" t="s">
        <v>779</v>
      </c>
      <c r="D1603" s="32" t="s">
        <v>826</v>
      </c>
      <c r="E1603" s="33" t="s">
        <v>780</v>
      </c>
      <c r="F1603" s="34">
        <v>173428</v>
      </c>
      <c r="G1603" s="34">
        <v>173428</v>
      </c>
      <c r="H1603" s="35" t="s">
        <v>2559</v>
      </c>
    </row>
    <row r="1604" spans="1:8" ht="27" customHeight="1" x14ac:dyDescent="0.2">
      <c r="A1604" s="31" t="s">
        <v>2560</v>
      </c>
      <c r="B1604" s="32" t="s">
        <v>2561</v>
      </c>
      <c r="C1604" s="32" t="s">
        <v>763</v>
      </c>
      <c r="D1604" s="32" t="s">
        <v>2562</v>
      </c>
      <c r="E1604" s="33" t="s">
        <v>764</v>
      </c>
      <c r="F1604" s="34">
        <v>3712549</v>
      </c>
      <c r="G1604" s="34">
        <v>3713451</v>
      </c>
      <c r="H1604" s="35" t="s">
        <v>2563</v>
      </c>
    </row>
    <row r="1605" spans="1:8" ht="27" customHeight="1" x14ac:dyDescent="0.2">
      <c r="A1605" s="31" t="s">
        <v>2560</v>
      </c>
      <c r="B1605" s="32" t="s">
        <v>2561</v>
      </c>
      <c r="C1605" s="32" t="s">
        <v>770</v>
      </c>
      <c r="D1605" s="32" t="s">
        <v>2564</v>
      </c>
      <c r="E1605" s="33" t="s">
        <v>772</v>
      </c>
      <c r="F1605" s="34">
        <v>516111</v>
      </c>
      <c r="G1605" s="34">
        <v>516236</v>
      </c>
      <c r="H1605" s="35" t="s">
        <v>2565</v>
      </c>
    </row>
    <row r="1606" spans="1:8" ht="27" customHeight="1" x14ac:dyDescent="0.2">
      <c r="A1606" s="31" t="s">
        <v>2560</v>
      </c>
      <c r="B1606" s="32" t="s">
        <v>2561</v>
      </c>
      <c r="C1606" s="32" t="s">
        <v>844</v>
      </c>
      <c r="D1606" s="32" t="s">
        <v>972</v>
      </c>
      <c r="E1606" s="33" t="s">
        <v>846</v>
      </c>
      <c r="F1606" s="34">
        <v>239721</v>
      </c>
      <c r="G1606" s="34">
        <v>239778</v>
      </c>
      <c r="H1606" s="35" t="s">
        <v>2566</v>
      </c>
    </row>
    <row r="1607" spans="1:8" ht="27" customHeight="1" x14ac:dyDescent="0.2">
      <c r="A1607" s="31" t="s">
        <v>2560</v>
      </c>
      <c r="B1607" s="32" t="s">
        <v>2561</v>
      </c>
      <c r="C1607" s="32" t="s">
        <v>773</v>
      </c>
      <c r="D1607" s="32" t="s">
        <v>973</v>
      </c>
      <c r="E1607" s="33" t="s">
        <v>775</v>
      </c>
      <c r="F1607" s="34">
        <v>486229</v>
      </c>
      <c r="G1607" s="34">
        <v>486346</v>
      </c>
      <c r="H1607" s="35" t="s">
        <v>2567</v>
      </c>
    </row>
    <row r="1608" spans="1:8" ht="27" customHeight="1" x14ac:dyDescent="0.2">
      <c r="A1608" s="31" t="s">
        <v>2560</v>
      </c>
      <c r="B1608" s="32" t="s">
        <v>2561</v>
      </c>
      <c r="C1608" s="32" t="s">
        <v>796</v>
      </c>
      <c r="D1608" s="32" t="s">
        <v>835</v>
      </c>
      <c r="E1608" s="33" t="s">
        <v>823</v>
      </c>
      <c r="F1608" s="34">
        <v>1261734</v>
      </c>
      <c r="G1608" s="34">
        <v>1262041</v>
      </c>
      <c r="H1608" s="35" t="s">
        <v>2568</v>
      </c>
    </row>
    <row r="1609" spans="1:8" ht="27" customHeight="1" x14ac:dyDescent="0.2">
      <c r="A1609" s="31" t="s">
        <v>2560</v>
      </c>
      <c r="B1609" s="32" t="s">
        <v>2561</v>
      </c>
      <c r="C1609" s="32" t="s">
        <v>776</v>
      </c>
      <c r="D1609" s="32" t="s">
        <v>776</v>
      </c>
      <c r="E1609" s="33" t="s">
        <v>777</v>
      </c>
      <c r="F1609" s="34">
        <v>1149812</v>
      </c>
      <c r="G1609" s="34">
        <v>1150090</v>
      </c>
      <c r="H1609" s="35" t="s">
        <v>2569</v>
      </c>
    </row>
    <row r="1610" spans="1:8" ht="27" customHeight="1" x14ac:dyDescent="0.2">
      <c r="A1610" s="31" t="s">
        <v>2560</v>
      </c>
      <c r="B1610" s="32" t="s">
        <v>2561</v>
      </c>
      <c r="C1610" s="32" t="s">
        <v>779</v>
      </c>
      <c r="D1610" s="32" t="s">
        <v>826</v>
      </c>
      <c r="E1610" s="33" t="s">
        <v>780</v>
      </c>
      <c r="F1610" s="34">
        <v>186085</v>
      </c>
      <c r="G1610" s="34">
        <v>186129</v>
      </c>
      <c r="H1610" s="35" t="s">
        <v>2570</v>
      </c>
    </row>
    <row r="1611" spans="1:8" ht="27" customHeight="1" x14ac:dyDescent="0.2">
      <c r="A1611" s="31" t="s">
        <v>2560</v>
      </c>
      <c r="B1611" s="32" t="s">
        <v>2561</v>
      </c>
      <c r="C1611" s="32" t="s">
        <v>782</v>
      </c>
      <c r="D1611" s="32" t="s">
        <v>782</v>
      </c>
      <c r="E1611" s="33" t="s">
        <v>784</v>
      </c>
      <c r="F1611" s="34">
        <v>227669</v>
      </c>
      <c r="G1611" s="34">
        <v>227723</v>
      </c>
      <c r="H1611" s="35" t="s">
        <v>2571</v>
      </c>
    </row>
    <row r="1612" spans="1:8" ht="27" customHeight="1" x14ac:dyDescent="0.2">
      <c r="A1612" s="31" t="s">
        <v>2572</v>
      </c>
      <c r="B1612" s="32" t="s">
        <v>2573</v>
      </c>
      <c r="C1612" s="32" t="s">
        <v>770</v>
      </c>
      <c r="D1612" s="32" t="s">
        <v>1951</v>
      </c>
      <c r="E1612" s="33" t="s">
        <v>772</v>
      </c>
      <c r="F1612" s="34">
        <v>684645</v>
      </c>
      <c r="G1612" s="34">
        <v>664395</v>
      </c>
      <c r="H1612" s="35" t="s">
        <v>859</v>
      </c>
    </row>
    <row r="1613" spans="1:8" ht="27" customHeight="1" x14ac:dyDescent="0.2">
      <c r="A1613" s="31" t="s">
        <v>2572</v>
      </c>
      <c r="B1613" s="32" t="s">
        <v>2573</v>
      </c>
      <c r="C1613" s="32" t="s">
        <v>773</v>
      </c>
      <c r="D1613" s="32" t="s">
        <v>1951</v>
      </c>
      <c r="E1613" s="33" t="s">
        <v>775</v>
      </c>
      <c r="F1613" s="34">
        <v>432949</v>
      </c>
      <c r="G1613" s="34">
        <v>432949</v>
      </c>
      <c r="H1613" s="35" t="s">
        <v>859</v>
      </c>
    </row>
    <row r="1614" spans="1:8" ht="27" customHeight="1" x14ac:dyDescent="0.2">
      <c r="A1614" s="31" t="s">
        <v>2572</v>
      </c>
      <c r="B1614" s="32" t="s">
        <v>2573</v>
      </c>
      <c r="C1614" s="32" t="s">
        <v>796</v>
      </c>
      <c r="D1614" s="32" t="s">
        <v>1951</v>
      </c>
      <c r="E1614" s="33" t="s">
        <v>772</v>
      </c>
      <c r="F1614" s="34">
        <v>70756</v>
      </c>
      <c r="G1614" s="34">
        <v>73453</v>
      </c>
      <c r="H1614" s="35" t="s">
        <v>2574</v>
      </c>
    </row>
    <row r="1615" spans="1:8" ht="27" customHeight="1" x14ac:dyDescent="0.2">
      <c r="A1615" s="31" t="s">
        <v>2572</v>
      </c>
      <c r="B1615" s="32" t="s">
        <v>2573</v>
      </c>
      <c r="C1615" s="32" t="s">
        <v>776</v>
      </c>
      <c r="D1615" s="32" t="s">
        <v>1951</v>
      </c>
      <c r="E1615" s="33" t="s">
        <v>777</v>
      </c>
      <c r="F1615" s="34">
        <v>90135</v>
      </c>
      <c r="G1615" s="34">
        <v>135</v>
      </c>
      <c r="H1615" s="35" t="s">
        <v>859</v>
      </c>
    </row>
    <row r="1616" spans="1:8" ht="27" customHeight="1" x14ac:dyDescent="0.2">
      <c r="A1616" s="31" t="s">
        <v>2572</v>
      </c>
      <c r="B1616" s="32" t="s">
        <v>2573</v>
      </c>
      <c r="C1616" s="32" t="s">
        <v>779</v>
      </c>
      <c r="D1616" s="32" t="s">
        <v>1951</v>
      </c>
      <c r="E1616" s="33" t="s">
        <v>780</v>
      </c>
      <c r="F1616" s="34">
        <v>196832</v>
      </c>
      <c r="G1616" s="34">
        <v>196832</v>
      </c>
      <c r="H1616" s="35" t="s">
        <v>859</v>
      </c>
    </row>
    <row r="1617" spans="1:8" ht="27" customHeight="1" x14ac:dyDescent="0.2">
      <c r="A1617" s="31" t="s">
        <v>2575</v>
      </c>
      <c r="B1617" s="32" t="s">
        <v>527</v>
      </c>
      <c r="C1617" s="32" t="s">
        <v>763</v>
      </c>
      <c r="D1617" s="32" t="s">
        <v>2576</v>
      </c>
      <c r="E1617" s="33" t="s">
        <v>764</v>
      </c>
      <c r="F1617" s="34">
        <v>21698</v>
      </c>
      <c r="G1617" s="34">
        <v>21707</v>
      </c>
      <c r="H1617" s="35" t="s">
        <v>2577</v>
      </c>
    </row>
    <row r="1618" spans="1:8" ht="27" customHeight="1" x14ac:dyDescent="0.2">
      <c r="A1618" s="31" t="s">
        <v>2575</v>
      </c>
      <c r="B1618" s="32" t="s">
        <v>527</v>
      </c>
      <c r="C1618" s="32" t="s">
        <v>766</v>
      </c>
      <c r="D1618" s="32" t="s">
        <v>818</v>
      </c>
      <c r="E1618" s="33" t="s">
        <v>768</v>
      </c>
      <c r="F1618" s="34">
        <v>132937</v>
      </c>
      <c r="G1618" s="34">
        <v>100437</v>
      </c>
      <c r="H1618" s="35" t="s">
        <v>2578</v>
      </c>
    </row>
    <row r="1619" spans="1:8" ht="27" customHeight="1" x14ac:dyDescent="0.2">
      <c r="A1619" s="31" t="s">
        <v>2575</v>
      </c>
      <c r="B1619" s="32" t="s">
        <v>527</v>
      </c>
      <c r="C1619" s="32" t="s">
        <v>770</v>
      </c>
      <c r="D1619" s="32" t="s">
        <v>2579</v>
      </c>
      <c r="E1619" s="33" t="s">
        <v>772</v>
      </c>
      <c r="F1619" s="34">
        <v>794950</v>
      </c>
      <c r="G1619" s="34">
        <v>690986</v>
      </c>
      <c r="H1619" s="35" t="s">
        <v>2580</v>
      </c>
    </row>
    <row r="1620" spans="1:8" ht="27" customHeight="1" x14ac:dyDescent="0.2">
      <c r="A1620" s="31" t="s">
        <v>2575</v>
      </c>
      <c r="B1620" s="32" t="s">
        <v>527</v>
      </c>
      <c r="C1620" s="32" t="s">
        <v>773</v>
      </c>
      <c r="D1620" s="32" t="s">
        <v>973</v>
      </c>
      <c r="E1620" s="33" t="s">
        <v>775</v>
      </c>
      <c r="F1620" s="34">
        <v>659055</v>
      </c>
      <c r="G1620" s="34">
        <v>659339</v>
      </c>
      <c r="H1620" s="35" t="s">
        <v>2581</v>
      </c>
    </row>
    <row r="1621" spans="1:8" ht="27" customHeight="1" x14ac:dyDescent="0.2">
      <c r="A1621" s="31" t="s">
        <v>2575</v>
      </c>
      <c r="B1621" s="32" t="s">
        <v>527</v>
      </c>
      <c r="C1621" s="32" t="s">
        <v>886</v>
      </c>
      <c r="D1621" s="32" t="s">
        <v>1013</v>
      </c>
      <c r="E1621" s="33" t="s">
        <v>887</v>
      </c>
      <c r="F1621" s="34">
        <v>670981</v>
      </c>
      <c r="G1621" s="34">
        <v>671270</v>
      </c>
      <c r="H1621" s="35" t="s">
        <v>2582</v>
      </c>
    </row>
    <row r="1622" spans="1:8" ht="27" customHeight="1" x14ac:dyDescent="0.2">
      <c r="A1622" s="31" t="s">
        <v>2575</v>
      </c>
      <c r="B1622" s="32" t="s">
        <v>527</v>
      </c>
      <c r="C1622" s="32" t="s">
        <v>860</v>
      </c>
      <c r="D1622" s="32" t="s">
        <v>1027</v>
      </c>
      <c r="E1622" s="33" t="s">
        <v>861</v>
      </c>
      <c r="F1622" s="34">
        <v>558090</v>
      </c>
      <c r="G1622" s="34">
        <v>558331</v>
      </c>
      <c r="H1622" s="35" t="s">
        <v>2557</v>
      </c>
    </row>
    <row r="1623" spans="1:8" ht="27" customHeight="1" x14ac:dyDescent="0.2">
      <c r="A1623" s="31" t="s">
        <v>2575</v>
      </c>
      <c r="B1623" s="32" t="s">
        <v>527</v>
      </c>
      <c r="C1623" s="32" t="s">
        <v>796</v>
      </c>
      <c r="D1623" s="32" t="s">
        <v>2583</v>
      </c>
      <c r="E1623" s="33" t="s">
        <v>823</v>
      </c>
      <c r="F1623" s="34">
        <v>1576592</v>
      </c>
      <c r="G1623" s="34">
        <v>1474884</v>
      </c>
      <c r="H1623" s="35" t="s">
        <v>2584</v>
      </c>
    </row>
    <row r="1624" spans="1:8" ht="27" customHeight="1" x14ac:dyDescent="0.2">
      <c r="A1624" s="31" t="s">
        <v>2575</v>
      </c>
      <c r="B1624" s="32" t="s">
        <v>527</v>
      </c>
      <c r="C1624" s="32" t="s">
        <v>776</v>
      </c>
      <c r="D1624" s="32" t="s">
        <v>914</v>
      </c>
      <c r="E1624" s="33" t="s">
        <v>777</v>
      </c>
      <c r="F1624" s="34">
        <v>119617</v>
      </c>
      <c r="G1624" s="34">
        <v>119669</v>
      </c>
      <c r="H1624" s="35" t="s">
        <v>2585</v>
      </c>
    </row>
    <row r="1625" spans="1:8" ht="27" customHeight="1" x14ac:dyDescent="0.2">
      <c r="A1625" s="31" t="s">
        <v>2575</v>
      </c>
      <c r="B1625" s="32" t="s">
        <v>527</v>
      </c>
      <c r="C1625" s="32" t="s">
        <v>779</v>
      </c>
      <c r="D1625" s="32" t="s">
        <v>826</v>
      </c>
      <c r="E1625" s="33" t="s">
        <v>780</v>
      </c>
      <c r="F1625" s="34">
        <v>478274</v>
      </c>
      <c r="G1625" s="34">
        <v>478480</v>
      </c>
      <c r="H1625" s="35" t="s">
        <v>2586</v>
      </c>
    </row>
    <row r="1626" spans="1:8" ht="27" customHeight="1" x14ac:dyDescent="0.2">
      <c r="A1626" s="31" t="s">
        <v>2587</v>
      </c>
      <c r="B1626" s="32" t="s">
        <v>2588</v>
      </c>
      <c r="C1626" s="32" t="s">
        <v>763</v>
      </c>
      <c r="D1626" s="32" t="s">
        <v>816</v>
      </c>
      <c r="E1626" s="33" t="s">
        <v>764</v>
      </c>
      <c r="F1626" s="34">
        <v>153458</v>
      </c>
      <c r="G1626" s="34">
        <v>152946</v>
      </c>
      <c r="H1626" s="35" t="s">
        <v>2589</v>
      </c>
    </row>
    <row r="1627" spans="1:8" ht="27" customHeight="1" x14ac:dyDescent="0.2">
      <c r="A1627" s="31" t="s">
        <v>2587</v>
      </c>
      <c r="B1627" s="32" t="s">
        <v>2588</v>
      </c>
      <c r="C1627" s="32" t="s">
        <v>770</v>
      </c>
      <c r="D1627" s="32" t="s">
        <v>2590</v>
      </c>
      <c r="E1627" s="33" t="s">
        <v>772</v>
      </c>
      <c r="F1627" s="34">
        <v>749519</v>
      </c>
      <c r="G1627" s="34">
        <v>706870</v>
      </c>
      <c r="H1627" s="35" t="s">
        <v>2591</v>
      </c>
    </row>
    <row r="1628" spans="1:8" ht="27" customHeight="1" x14ac:dyDescent="0.2">
      <c r="A1628" s="31" t="s">
        <v>2587</v>
      </c>
      <c r="B1628" s="32" t="s">
        <v>2588</v>
      </c>
      <c r="C1628" s="32" t="s">
        <v>844</v>
      </c>
      <c r="D1628" s="32" t="s">
        <v>972</v>
      </c>
      <c r="E1628" s="33" t="s">
        <v>846</v>
      </c>
      <c r="F1628" s="34">
        <v>15062</v>
      </c>
      <c r="G1628" s="34">
        <v>13812</v>
      </c>
      <c r="H1628" s="35" t="s">
        <v>2589</v>
      </c>
    </row>
    <row r="1629" spans="1:8" ht="27" customHeight="1" x14ac:dyDescent="0.2">
      <c r="A1629" s="31" t="s">
        <v>2587</v>
      </c>
      <c r="B1629" s="32" t="s">
        <v>2588</v>
      </c>
      <c r="C1629" s="32" t="s">
        <v>773</v>
      </c>
      <c r="D1629" s="32" t="s">
        <v>2020</v>
      </c>
      <c r="E1629" s="33" t="s">
        <v>775</v>
      </c>
      <c r="F1629" s="34">
        <v>200958</v>
      </c>
      <c r="G1629" s="34">
        <v>200981</v>
      </c>
      <c r="H1629" s="35" t="s">
        <v>2589</v>
      </c>
    </row>
    <row r="1630" spans="1:8" ht="27" customHeight="1" x14ac:dyDescent="0.2">
      <c r="A1630" s="31" t="s">
        <v>2587</v>
      </c>
      <c r="B1630" s="32" t="s">
        <v>2588</v>
      </c>
      <c r="C1630" s="32" t="s">
        <v>886</v>
      </c>
      <c r="D1630" s="32" t="s">
        <v>951</v>
      </c>
      <c r="E1630" s="33" t="s">
        <v>887</v>
      </c>
      <c r="F1630" s="34">
        <v>100479</v>
      </c>
      <c r="G1630" s="34">
        <v>100491</v>
      </c>
      <c r="H1630" s="35" t="s">
        <v>2589</v>
      </c>
    </row>
    <row r="1631" spans="1:8" ht="27" customHeight="1" x14ac:dyDescent="0.2">
      <c r="A1631" s="31" t="s">
        <v>2587</v>
      </c>
      <c r="B1631" s="32" t="s">
        <v>2588</v>
      </c>
      <c r="C1631" s="32" t="s">
        <v>860</v>
      </c>
      <c r="D1631" s="32" t="s">
        <v>911</v>
      </c>
      <c r="E1631" s="33" t="s">
        <v>861</v>
      </c>
      <c r="F1631" s="34">
        <v>50240</v>
      </c>
      <c r="G1631" s="34">
        <v>50245</v>
      </c>
      <c r="H1631" s="35" t="s">
        <v>2589</v>
      </c>
    </row>
    <row r="1632" spans="1:8" ht="27" customHeight="1" x14ac:dyDescent="0.2">
      <c r="A1632" s="31" t="s">
        <v>2587</v>
      </c>
      <c r="B1632" s="32" t="s">
        <v>2588</v>
      </c>
      <c r="C1632" s="32" t="s">
        <v>796</v>
      </c>
      <c r="D1632" s="32" t="s">
        <v>961</v>
      </c>
      <c r="E1632" s="33" t="s">
        <v>772</v>
      </c>
      <c r="F1632" s="34">
        <v>752918</v>
      </c>
      <c r="G1632" s="34">
        <v>605447</v>
      </c>
      <c r="H1632" s="35" t="s">
        <v>2592</v>
      </c>
    </row>
    <row r="1633" spans="1:8" ht="27" customHeight="1" x14ac:dyDescent="0.2">
      <c r="A1633" s="31" t="s">
        <v>2587</v>
      </c>
      <c r="B1633" s="32" t="s">
        <v>2588</v>
      </c>
      <c r="C1633" s="32" t="s">
        <v>776</v>
      </c>
      <c r="D1633" s="32" t="s">
        <v>914</v>
      </c>
      <c r="E1633" s="33" t="s">
        <v>777</v>
      </c>
      <c r="F1633" s="34">
        <v>239541</v>
      </c>
      <c r="G1633" s="34">
        <v>389419</v>
      </c>
      <c r="H1633" s="35" t="s">
        <v>2593</v>
      </c>
    </row>
    <row r="1634" spans="1:8" ht="27" customHeight="1" x14ac:dyDescent="0.2">
      <c r="A1634" s="31" t="s">
        <v>2587</v>
      </c>
      <c r="B1634" s="32" t="s">
        <v>2588</v>
      </c>
      <c r="C1634" s="32" t="s">
        <v>779</v>
      </c>
      <c r="D1634" s="32" t="s">
        <v>876</v>
      </c>
      <c r="E1634" s="33" t="s">
        <v>780</v>
      </c>
      <c r="F1634" s="34">
        <v>225556</v>
      </c>
      <c r="G1634" s="34">
        <v>221707</v>
      </c>
      <c r="H1634" s="35" t="s">
        <v>2594</v>
      </c>
    </row>
    <row r="1635" spans="1:8" ht="27" customHeight="1" x14ac:dyDescent="0.2">
      <c r="A1635" s="31" t="s">
        <v>2595</v>
      </c>
      <c r="B1635" s="32" t="s">
        <v>2596</v>
      </c>
      <c r="C1635" s="32" t="s">
        <v>763</v>
      </c>
      <c r="D1635" s="32" t="s">
        <v>816</v>
      </c>
      <c r="E1635" s="33" t="s">
        <v>764</v>
      </c>
      <c r="F1635" s="34">
        <v>4636110</v>
      </c>
      <c r="G1635" s="34">
        <v>4636110</v>
      </c>
      <c r="H1635" s="35" t="s">
        <v>2597</v>
      </c>
    </row>
    <row r="1636" spans="1:8" ht="27" customHeight="1" x14ac:dyDescent="0.2">
      <c r="A1636" s="31" t="s">
        <v>2595</v>
      </c>
      <c r="B1636" s="32" t="s">
        <v>2596</v>
      </c>
      <c r="C1636" s="32" t="s">
        <v>770</v>
      </c>
      <c r="D1636" s="32" t="s">
        <v>794</v>
      </c>
      <c r="E1636" s="33" t="s">
        <v>772</v>
      </c>
      <c r="F1636" s="34">
        <v>500000</v>
      </c>
      <c r="G1636" s="34">
        <v>500000</v>
      </c>
      <c r="H1636" s="35" t="s">
        <v>859</v>
      </c>
    </row>
    <row r="1637" spans="1:8" ht="27" customHeight="1" x14ac:dyDescent="0.2">
      <c r="A1637" s="31" t="s">
        <v>2595</v>
      </c>
      <c r="B1637" s="32" t="s">
        <v>2596</v>
      </c>
      <c r="C1637" s="32" t="s">
        <v>860</v>
      </c>
      <c r="D1637" s="32" t="s">
        <v>860</v>
      </c>
      <c r="E1637" s="33" t="s">
        <v>861</v>
      </c>
      <c r="F1637" s="34">
        <v>767000</v>
      </c>
      <c r="G1637" s="34">
        <v>767000</v>
      </c>
      <c r="H1637" s="35" t="s">
        <v>859</v>
      </c>
    </row>
    <row r="1638" spans="1:8" ht="27" customHeight="1" x14ac:dyDescent="0.2">
      <c r="A1638" s="31" t="s">
        <v>2595</v>
      </c>
      <c r="B1638" s="32" t="s">
        <v>2596</v>
      </c>
      <c r="C1638" s="32" t="s">
        <v>796</v>
      </c>
      <c r="D1638" s="32" t="s">
        <v>2598</v>
      </c>
      <c r="E1638" s="33" t="s">
        <v>772</v>
      </c>
      <c r="F1638" s="34">
        <v>3000104</v>
      </c>
      <c r="G1638" s="34">
        <v>3000104</v>
      </c>
      <c r="H1638" s="35" t="s">
        <v>2599</v>
      </c>
    </row>
    <row r="1639" spans="1:8" ht="27" customHeight="1" x14ac:dyDescent="0.2">
      <c r="A1639" s="31" t="s">
        <v>2595</v>
      </c>
      <c r="B1639" s="32" t="s">
        <v>2596</v>
      </c>
      <c r="C1639" s="32" t="s">
        <v>776</v>
      </c>
      <c r="D1639" s="32" t="s">
        <v>1755</v>
      </c>
      <c r="E1639" s="33" t="s">
        <v>777</v>
      </c>
      <c r="F1639" s="34">
        <v>133431</v>
      </c>
      <c r="G1639" s="34">
        <v>133431</v>
      </c>
      <c r="H1639" s="35" t="s">
        <v>2600</v>
      </c>
    </row>
    <row r="1640" spans="1:8" ht="27" customHeight="1" x14ac:dyDescent="0.2">
      <c r="A1640" s="31" t="s">
        <v>2595</v>
      </c>
      <c r="B1640" s="32" t="s">
        <v>2596</v>
      </c>
      <c r="C1640" s="32" t="s">
        <v>779</v>
      </c>
      <c r="D1640" s="32" t="s">
        <v>802</v>
      </c>
      <c r="E1640" s="33" t="s">
        <v>780</v>
      </c>
      <c r="F1640" s="34">
        <v>70000</v>
      </c>
      <c r="G1640" s="34">
        <v>70000</v>
      </c>
      <c r="H1640" s="35" t="s">
        <v>859</v>
      </c>
    </row>
    <row r="1641" spans="1:8" ht="27" customHeight="1" x14ac:dyDescent="0.2">
      <c r="A1641" s="31" t="s">
        <v>2595</v>
      </c>
      <c r="B1641" s="32" t="s">
        <v>2596</v>
      </c>
      <c r="C1641" s="32" t="s">
        <v>782</v>
      </c>
      <c r="D1641" s="32" t="s">
        <v>901</v>
      </c>
      <c r="E1641" s="33" t="s">
        <v>784</v>
      </c>
      <c r="F1641" s="34">
        <v>400000</v>
      </c>
      <c r="G1641" s="34">
        <v>400000</v>
      </c>
      <c r="H1641" s="35" t="s">
        <v>859</v>
      </c>
    </row>
    <row r="1642" spans="1:8" ht="27" customHeight="1" x14ac:dyDescent="0.2">
      <c r="A1642" s="31" t="s">
        <v>2601</v>
      </c>
      <c r="B1642" s="32" t="s">
        <v>2602</v>
      </c>
      <c r="C1642" s="32" t="s">
        <v>763</v>
      </c>
      <c r="D1642" s="32" t="s">
        <v>933</v>
      </c>
      <c r="E1642" s="33" t="s">
        <v>764</v>
      </c>
      <c r="F1642" s="34">
        <v>200000</v>
      </c>
      <c r="G1642" s="34">
        <v>200000</v>
      </c>
      <c r="H1642" s="35" t="s">
        <v>2603</v>
      </c>
    </row>
    <row r="1643" spans="1:8" ht="27" customHeight="1" x14ac:dyDescent="0.2">
      <c r="A1643" s="31" t="s">
        <v>2601</v>
      </c>
      <c r="B1643" s="32" t="s">
        <v>2602</v>
      </c>
      <c r="C1643" s="32" t="s">
        <v>763</v>
      </c>
      <c r="D1643" s="32" t="s">
        <v>1009</v>
      </c>
      <c r="E1643" s="33" t="s">
        <v>764</v>
      </c>
      <c r="F1643" s="34">
        <v>1588605</v>
      </c>
      <c r="G1643" s="34">
        <v>1588605</v>
      </c>
      <c r="H1643" s="35" t="s">
        <v>2604</v>
      </c>
    </row>
    <row r="1644" spans="1:8" ht="27" customHeight="1" x14ac:dyDescent="0.2">
      <c r="A1644" s="31" t="s">
        <v>2601</v>
      </c>
      <c r="B1644" s="32" t="s">
        <v>2602</v>
      </c>
      <c r="C1644" s="32" t="s">
        <v>763</v>
      </c>
      <c r="D1644" s="32" t="s">
        <v>2605</v>
      </c>
      <c r="E1644" s="33" t="s">
        <v>764</v>
      </c>
      <c r="F1644" s="34">
        <v>8595130</v>
      </c>
      <c r="G1644" s="34">
        <v>8470130</v>
      </c>
      <c r="H1644" s="35" t="s">
        <v>2606</v>
      </c>
    </row>
    <row r="1645" spans="1:8" ht="27" customHeight="1" x14ac:dyDescent="0.2">
      <c r="A1645" s="31" t="s">
        <v>2601</v>
      </c>
      <c r="B1645" s="32" t="s">
        <v>2602</v>
      </c>
      <c r="C1645" s="32" t="s">
        <v>770</v>
      </c>
      <c r="D1645" s="32" t="s">
        <v>1720</v>
      </c>
      <c r="E1645" s="33" t="s">
        <v>772</v>
      </c>
      <c r="F1645" s="34">
        <v>613130</v>
      </c>
      <c r="G1645" s="34">
        <v>613130</v>
      </c>
      <c r="H1645" s="35" t="s">
        <v>2607</v>
      </c>
    </row>
    <row r="1646" spans="1:8" ht="27" customHeight="1" x14ac:dyDescent="0.2">
      <c r="A1646" s="31" t="s">
        <v>2601</v>
      </c>
      <c r="B1646" s="32" t="s">
        <v>2602</v>
      </c>
      <c r="C1646" s="32" t="s">
        <v>844</v>
      </c>
      <c r="D1646" s="32" t="s">
        <v>2608</v>
      </c>
      <c r="E1646" s="33" t="s">
        <v>846</v>
      </c>
      <c r="F1646" s="34">
        <v>100000</v>
      </c>
      <c r="G1646" s="34">
        <v>140000</v>
      </c>
      <c r="H1646" s="35" t="s">
        <v>2609</v>
      </c>
    </row>
    <row r="1647" spans="1:8" ht="27" customHeight="1" x14ac:dyDescent="0.2">
      <c r="A1647" s="31" t="s">
        <v>2601</v>
      </c>
      <c r="B1647" s="32" t="s">
        <v>2602</v>
      </c>
      <c r="C1647" s="32" t="s">
        <v>796</v>
      </c>
      <c r="D1647" s="32" t="s">
        <v>835</v>
      </c>
      <c r="E1647" s="33" t="s">
        <v>772</v>
      </c>
      <c r="F1647" s="34">
        <v>4023540</v>
      </c>
      <c r="G1647" s="34">
        <v>4023540</v>
      </c>
      <c r="H1647" s="35" t="s">
        <v>2610</v>
      </c>
    </row>
    <row r="1648" spans="1:8" ht="27" customHeight="1" x14ac:dyDescent="0.2">
      <c r="A1648" s="31" t="s">
        <v>2601</v>
      </c>
      <c r="B1648" s="32" t="s">
        <v>2602</v>
      </c>
      <c r="C1648" s="32" t="s">
        <v>776</v>
      </c>
      <c r="D1648" s="32" t="s">
        <v>812</v>
      </c>
      <c r="E1648" s="33" t="s">
        <v>777</v>
      </c>
      <c r="F1648" s="34">
        <v>310397</v>
      </c>
      <c r="G1648" s="34">
        <v>310397</v>
      </c>
      <c r="H1648" s="35" t="s">
        <v>2611</v>
      </c>
    </row>
    <row r="1649" spans="1:8" ht="27" customHeight="1" x14ac:dyDescent="0.2">
      <c r="A1649" s="31" t="s">
        <v>2601</v>
      </c>
      <c r="B1649" s="32" t="s">
        <v>2602</v>
      </c>
      <c r="C1649" s="32" t="s">
        <v>779</v>
      </c>
      <c r="D1649" s="32" t="s">
        <v>876</v>
      </c>
      <c r="E1649" s="33" t="s">
        <v>780</v>
      </c>
      <c r="F1649" s="34">
        <v>452771</v>
      </c>
      <c r="G1649" s="34">
        <v>452771</v>
      </c>
      <c r="H1649" s="35" t="s">
        <v>2612</v>
      </c>
    </row>
    <row r="1650" spans="1:8" ht="27" customHeight="1" x14ac:dyDescent="0.2">
      <c r="A1650" s="31" t="s">
        <v>2613</v>
      </c>
      <c r="B1650" s="32" t="s">
        <v>2614</v>
      </c>
      <c r="C1650" s="32" t="s">
        <v>763</v>
      </c>
      <c r="D1650" s="32" t="s">
        <v>2615</v>
      </c>
      <c r="E1650" s="33" t="s">
        <v>764</v>
      </c>
      <c r="F1650" s="34">
        <v>0</v>
      </c>
      <c r="G1650" s="34">
        <v>1000000</v>
      </c>
      <c r="H1650" s="35" t="s">
        <v>2480</v>
      </c>
    </row>
    <row r="1651" spans="1:8" ht="27" customHeight="1" x14ac:dyDescent="0.2">
      <c r="A1651" s="31" t="s">
        <v>2613</v>
      </c>
      <c r="B1651" s="32" t="s">
        <v>2614</v>
      </c>
      <c r="C1651" s="32" t="s">
        <v>763</v>
      </c>
      <c r="D1651" s="32" t="s">
        <v>2616</v>
      </c>
      <c r="E1651" s="33" t="s">
        <v>764</v>
      </c>
      <c r="F1651" s="34">
        <v>9501</v>
      </c>
      <c r="G1651" s="34">
        <v>9501</v>
      </c>
      <c r="H1651" s="35" t="s">
        <v>2480</v>
      </c>
    </row>
    <row r="1652" spans="1:8" ht="27" customHeight="1" x14ac:dyDescent="0.2">
      <c r="A1652" s="31" t="s">
        <v>2613</v>
      </c>
      <c r="B1652" s="32" t="s">
        <v>2614</v>
      </c>
      <c r="C1652" s="32" t="s">
        <v>770</v>
      </c>
      <c r="D1652" s="32" t="s">
        <v>1751</v>
      </c>
      <c r="E1652" s="33" t="s">
        <v>772</v>
      </c>
      <c r="F1652" s="34">
        <v>1232416</v>
      </c>
      <c r="G1652" s="34">
        <v>1200000</v>
      </c>
      <c r="H1652" s="35" t="s">
        <v>2617</v>
      </c>
    </row>
    <row r="1653" spans="1:8" ht="27" customHeight="1" x14ac:dyDescent="0.2">
      <c r="A1653" s="31" t="s">
        <v>2613</v>
      </c>
      <c r="B1653" s="32" t="s">
        <v>2614</v>
      </c>
      <c r="C1653" s="32" t="s">
        <v>796</v>
      </c>
      <c r="D1653" s="32" t="s">
        <v>1576</v>
      </c>
      <c r="E1653" s="33" t="s">
        <v>823</v>
      </c>
      <c r="F1653" s="34">
        <v>4788915</v>
      </c>
      <c r="G1653" s="34">
        <v>5788915</v>
      </c>
      <c r="H1653" s="35" t="s">
        <v>2618</v>
      </c>
    </row>
    <row r="1654" spans="1:8" ht="27" customHeight="1" x14ac:dyDescent="0.2">
      <c r="A1654" s="31" t="s">
        <v>2613</v>
      </c>
      <c r="B1654" s="32" t="s">
        <v>2614</v>
      </c>
      <c r="C1654" s="32" t="s">
        <v>776</v>
      </c>
      <c r="D1654" s="32" t="s">
        <v>776</v>
      </c>
      <c r="E1654" s="33" t="s">
        <v>777</v>
      </c>
      <c r="F1654" s="34">
        <v>963319</v>
      </c>
      <c r="G1654" s="34">
        <v>963319</v>
      </c>
      <c r="H1654" s="35" t="s">
        <v>2619</v>
      </c>
    </row>
    <row r="1655" spans="1:8" ht="27" customHeight="1" x14ac:dyDescent="0.2">
      <c r="A1655" s="31" t="s">
        <v>2613</v>
      </c>
      <c r="B1655" s="32" t="s">
        <v>2614</v>
      </c>
      <c r="C1655" s="32" t="s">
        <v>779</v>
      </c>
      <c r="D1655" s="32" t="s">
        <v>779</v>
      </c>
      <c r="E1655" s="33" t="s">
        <v>780</v>
      </c>
      <c r="F1655" s="34">
        <v>2893893</v>
      </c>
      <c r="G1655" s="34">
        <v>2893893</v>
      </c>
      <c r="H1655" s="35" t="s">
        <v>2620</v>
      </c>
    </row>
    <row r="1656" spans="1:8" ht="27" customHeight="1" x14ac:dyDescent="0.2">
      <c r="A1656" s="31" t="s">
        <v>2621</v>
      </c>
      <c r="B1656" s="32" t="s">
        <v>2622</v>
      </c>
      <c r="C1656" s="32" t="s">
        <v>763</v>
      </c>
      <c r="D1656" s="32" t="s">
        <v>2623</v>
      </c>
      <c r="E1656" s="33" t="s">
        <v>764</v>
      </c>
      <c r="F1656" s="34">
        <v>8006943</v>
      </c>
      <c r="G1656" s="34">
        <v>13006943</v>
      </c>
      <c r="H1656" s="35" t="s">
        <v>2624</v>
      </c>
    </row>
    <row r="1657" spans="1:8" ht="27" customHeight="1" x14ac:dyDescent="0.2">
      <c r="A1657" s="31" t="s">
        <v>2621</v>
      </c>
      <c r="B1657" s="32" t="s">
        <v>2622</v>
      </c>
      <c r="C1657" s="32" t="s">
        <v>763</v>
      </c>
      <c r="D1657" s="32" t="s">
        <v>2625</v>
      </c>
      <c r="E1657" s="33" t="s">
        <v>764</v>
      </c>
      <c r="F1657" s="34">
        <v>1975114</v>
      </c>
      <c r="G1657" s="34">
        <v>2775114</v>
      </c>
      <c r="H1657" s="35" t="s">
        <v>2626</v>
      </c>
    </row>
    <row r="1658" spans="1:8" ht="27" customHeight="1" x14ac:dyDescent="0.2">
      <c r="A1658" s="31" t="s">
        <v>2621</v>
      </c>
      <c r="B1658" s="32" t="s">
        <v>2622</v>
      </c>
      <c r="C1658" s="32" t="s">
        <v>844</v>
      </c>
      <c r="D1658" s="32" t="s">
        <v>972</v>
      </c>
      <c r="E1658" s="33" t="s">
        <v>846</v>
      </c>
      <c r="F1658" s="34">
        <v>757153</v>
      </c>
      <c r="G1658" s="34">
        <v>757153</v>
      </c>
      <c r="H1658" s="35" t="s">
        <v>2627</v>
      </c>
    </row>
    <row r="1659" spans="1:8" ht="27" customHeight="1" x14ac:dyDescent="0.2">
      <c r="A1659" s="31" t="s">
        <v>2621</v>
      </c>
      <c r="B1659" s="32" t="s">
        <v>2622</v>
      </c>
      <c r="C1659" s="32" t="s">
        <v>773</v>
      </c>
      <c r="D1659" s="32" t="s">
        <v>973</v>
      </c>
      <c r="E1659" s="33" t="s">
        <v>775</v>
      </c>
      <c r="F1659" s="34">
        <v>2523841</v>
      </c>
      <c r="G1659" s="34">
        <v>2523841</v>
      </c>
      <c r="H1659" s="35" t="s">
        <v>2628</v>
      </c>
    </row>
    <row r="1660" spans="1:8" ht="27" customHeight="1" x14ac:dyDescent="0.2">
      <c r="A1660" s="31" t="s">
        <v>2621</v>
      </c>
      <c r="B1660" s="32" t="s">
        <v>2622</v>
      </c>
      <c r="C1660" s="32" t="s">
        <v>796</v>
      </c>
      <c r="D1660" s="32" t="s">
        <v>811</v>
      </c>
      <c r="E1660" s="33" t="s">
        <v>823</v>
      </c>
      <c r="F1660" s="34">
        <v>4000865</v>
      </c>
      <c r="G1660" s="34">
        <v>5400865</v>
      </c>
      <c r="H1660" s="35" t="s">
        <v>2629</v>
      </c>
    </row>
    <row r="1661" spans="1:8" ht="27" customHeight="1" x14ac:dyDescent="0.2">
      <c r="A1661" s="31" t="s">
        <v>2621</v>
      </c>
      <c r="B1661" s="32" t="s">
        <v>2622</v>
      </c>
      <c r="C1661" s="32" t="s">
        <v>776</v>
      </c>
      <c r="D1661" s="32" t="s">
        <v>812</v>
      </c>
      <c r="E1661" s="33" t="s">
        <v>777</v>
      </c>
      <c r="F1661" s="34">
        <v>2523217</v>
      </c>
      <c r="G1661" s="34">
        <v>2523217</v>
      </c>
      <c r="H1661" s="35" t="s">
        <v>2630</v>
      </c>
    </row>
    <row r="1662" spans="1:8" ht="27" customHeight="1" x14ac:dyDescent="0.2">
      <c r="A1662" s="31" t="s">
        <v>2621</v>
      </c>
      <c r="B1662" s="32" t="s">
        <v>2622</v>
      </c>
      <c r="C1662" s="32" t="s">
        <v>779</v>
      </c>
      <c r="D1662" s="32" t="s">
        <v>876</v>
      </c>
      <c r="E1662" s="33" t="s">
        <v>780</v>
      </c>
      <c r="F1662" s="34">
        <v>1875762</v>
      </c>
      <c r="G1662" s="34">
        <v>1839123</v>
      </c>
      <c r="H1662" s="35" t="s">
        <v>2631</v>
      </c>
    </row>
    <row r="1663" spans="1:8" ht="27" customHeight="1" x14ac:dyDescent="0.2">
      <c r="A1663" s="31" t="s">
        <v>2621</v>
      </c>
      <c r="B1663" s="32" t="s">
        <v>2622</v>
      </c>
      <c r="C1663" s="32" t="s">
        <v>782</v>
      </c>
      <c r="D1663" s="32" t="s">
        <v>813</v>
      </c>
      <c r="E1663" s="33" t="s">
        <v>784</v>
      </c>
      <c r="F1663" s="34">
        <v>1141723</v>
      </c>
      <c r="G1663" s="34">
        <v>1591240</v>
      </c>
      <c r="H1663" s="35" t="s">
        <v>2632</v>
      </c>
    </row>
    <row r="1664" spans="1:8" ht="27" customHeight="1" x14ac:dyDescent="0.2">
      <c r="A1664" s="31" t="s">
        <v>2633</v>
      </c>
      <c r="B1664" s="32" t="s">
        <v>2634</v>
      </c>
      <c r="C1664" s="32" t="s">
        <v>763</v>
      </c>
      <c r="D1664" s="32" t="s">
        <v>933</v>
      </c>
      <c r="E1664" s="33" t="s">
        <v>764</v>
      </c>
      <c r="F1664" s="34">
        <v>1480836</v>
      </c>
      <c r="G1664" s="34">
        <v>1488485</v>
      </c>
      <c r="H1664" s="35" t="s">
        <v>2635</v>
      </c>
    </row>
    <row r="1665" spans="1:8" ht="27" customHeight="1" x14ac:dyDescent="0.2">
      <c r="A1665" s="31" t="s">
        <v>2633</v>
      </c>
      <c r="B1665" s="32" t="s">
        <v>2634</v>
      </c>
      <c r="C1665" s="32" t="s">
        <v>763</v>
      </c>
      <c r="D1665" s="32" t="s">
        <v>2636</v>
      </c>
      <c r="E1665" s="33" t="s">
        <v>764</v>
      </c>
      <c r="F1665" s="34">
        <v>1637548</v>
      </c>
      <c r="G1665" s="34">
        <v>1646008</v>
      </c>
      <c r="H1665" s="35" t="s">
        <v>2635</v>
      </c>
    </row>
    <row r="1666" spans="1:8" ht="27" customHeight="1" x14ac:dyDescent="0.2">
      <c r="A1666" s="31" t="s">
        <v>2633</v>
      </c>
      <c r="B1666" s="32" t="s">
        <v>2634</v>
      </c>
      <c r="C1666" s="32" t="s">
        <v>763</v>
      </c>
      <c r="D1666" s="32" t="s">
        <v>816</v>
      </c>
      <c r="E1666" s="33" t="s">
        <v>764</v>
      </c>
      <c r="F1666" s="34">
        <v>3477460</v>
      </c>
      <c r="G1666" s="34">
        <v>3495425</v>
      </c>
      <c r="H1666" s="35" t="s">
        <v>2635</v>
      </c>
    </row>
    <row r="1667" spans="1:8" ht="27" customHeight="1" x14ac:dyDescent="0.2">
      <c r="A1667" s="31" t="s">
        <v>2633</v>
      </c>
      <c r="B1667" s="32" t="s">
        <v>2634</v>
      </c>
      <c r="C1667" s="32" t="s">
        <v>770</v>
      </c>
      <c r="D1667" s="32" t="s">
        <v>810</v>
      </c>
      <c r="E1667" s="33" t="s">
        <v>772</v>
      </c>
      <c r="F1667" s="34">
        <v>253461</v>
      </c>
      <c r="G1667" s="34">
        <v>254770</v>
      </c>
      <c r="H1667" s="35" t="s">
        <v>2637</v>
      </c>
    </row>
    <row r="1668" spans="1:8" ht="27" customHeight="1" x14ac:dyDescent="0.2">
      <c r="A1668" s="31" t="s">
        <v>2633</v>
      </c>
      <c r="B1668" s="32" t="s">
        <v>2634</v>
      </c>
      <c r="C1668" s="32" t="s">
        <v>844</v>
      </c>
      <c r="D1668" s="32" t="s">
        <v>972</v>
      </c>
      <c r="E1668" s="33" t="s">
        <v>846</v>
      </c>
      <c r="F1668" s="34">
        <v>1413112</v>
      </c>
      <c r="G1668" s="34">
        <v>1420412</v>
      </c>
      <c r="H1668" s="35" t="s">
        <v>2638</v>
      </c>
    </row>
    <row r="1669" spans="1:8" ht="27" customHeight="1" x14ac:dyDescent="0.2">
      <c r="A1669" s="31" t="s">
        <v>2633</v>
      </c>
      <c r="B1669" s="32" t="s">
        <v>2634</v>
      </c>
      <c r="C1669" s="32" t="s">
        <v>773</v>
      </c>
      <c r="D1669" s="32" t="s">
        <v>973</v>
      </c>
      <c r="E1669" s="33" t="s">
        <v>775</v>
      </c>
      <c r="F1669" s="34">
        <v>1275405</v>
      </c>
      <c r="G1669" s="34">
        <v>1281994</v>
      </c>
      <c r="H1669" s="35" t="s">
        <v>2639</v>
      </c>
    </row>
    <row r="1670" spans="1:8" ht="27" customHeight="1" x14ac:dyDescent="0.2">
      <c r="A1670" s="31" t="s">
        <v>2633</v>
      </c>
      <c r="B1670" s="32" t="s">
        <v>2634</v>
      </c>
      <c r="C1670" s="32" t="s">
        <v>860</v>
      </c>
      <c r="D1670" s="32" t="s">
        <v>911</v>
      </c>
      <c r="E1670" s="33" t="s">
        <v>861</v>
      </c>
      <c r="F1670" s="34">
        <v>2573397</v>
      </c>
      <c r="G1670" s="34">
        <v>2586691</v>
      </c>
      <c r="H1670" s="35" t="s">
        <v>2640</v>
      </c>
    </row>
    <row r="1671" spans="1:8" ht="27" customHeight="1" x14ac:dyDescent="0.2">
      <c r="A1671" s="31" t="s">
        <v>2633</v>
      </c>
      <c r="B1671" s="32" t="s">
        <v>2634</v>
      </c>
      <c r="C1671" s="32" t="s">
        <v>796</v>
      </c>
      <c r="D1671" s="32" t="s">
        <v>811</v>
      </c>
      <c r="E1671" s="33" t="s">
        <v>823</v>
      </c>
      <c r="F1671" s="34">
        <v>9445636</v>
      </c>
      <c r="G1671" s="34">
        <v>9494432</v>
      </c>
      <c r="H1671" s="35" t="s">
        <v>2641</v>
      </c>
    </row>
    <row r="1672" spans="1:8" ht="27" customHeight="1" x14ac:dyDescent="0.2">
      <c r="A1672" s="31" t="s">
        <v>2633</v>
      </c>
      <c r="B1672" s="32" t="s">
        <v>2634</v>
      </c>
      <c r="C1672" s="32" t="s">
        <v>776</v>
      </c>
      <c r="D1672" s="32" t="s">
        <v>812</v>
      </c>
      <c r="E1672" s="33" t="s">
        <v>777</v>
      </c>
      <c r="F1672" s="34">
        <v>1647023</v>
      </c>
      <c r="G1672" s="34">
        <v>1655531</v>
      </c>
      <c r="H1672" s="35" t="s">
        <v>2642</v>
      </c>
    </row>
    <row r="1673" spans="1:8" ht="27" customHeight="1" x14ac:dyDescent="0.2">
      <c r="A1673" s="31" t="s">
        <v>2633</v>
      </c>
      <c r="B1673" s="32" t="s">
        <v>2634</v>
      </c>
      <c r="C1673" s="32" t="s">
        <v>779</v>
      </c>
      <c r="D1673" s="32" t="s">
        <v>876</v>
      </c>
      <c r="E1673" s="33" t="s">
        <v>780</v>
      </c>
      <c r="F1673" s="34">
        <v>1688753</v>
      </c>
      <c r="G1673" s="34">
        <v>1655477</v>
      </c>
      <c r="H1673" s="35" t="s">
        <v>2643</v>
      </c>
    </row>
    <row r="1674" spans="1:8" ht="27" customHeight="1" x14ac:dyDescent="0.2">
      <c r="A1674" s="31" t="s">
        <v>2633</v>
      </c>
      <c r="B1674" s="32" t="s">
        <v>2634</v>
      </c>
      <c r="C1674" s="32" t="s">
        <v>782</v>
      </c>
      <c r="D1674" s="32" t="s">
        <v>813</v>
      </c>
      <c r="E1674" s="33" t="s">
        <v>784</v>
      </c>
      <c r="F1674" s="34">
        <v>5305239</v>
      </c>
      <c r="G1674" s="34">
        <v>5332645</v>
      </c>
      <c r="H1674" s="35" t="s">
        <v>2644</v>
      </c>
    </row>
    <row r="1675" spans="1:8" ht="27" customHeight="1" x14ac:dyDescent="0.2">
      <c r="A1675" s="31" t="s">
        <v>2645</v>
      </c>
      <c r="B1675" s="32" t="s">
        <v>2646</v>
      </c>
      <c r="C1675" s="32" t="s">
        <v>763</v>
      </c>
      <c r="D1675" s="32" t="s">
        <v>2647</v>
      </c>
      <c r="E1675" s="33" t="s">
        <v>764</v>
      </c>
      <c r="F1675" s="34">
        <v>7865058</v>
      </c>
      <c r="G1675" s="34">
        <v>9375291</v>
      </c>
      <c r="H1675" s="35" t="s">
        <v>2648</v>
      </c>
    </row>
    <row r="1676" spans="1:8" ht="27" customHeight="1" x14ac:dyDescent="0.2">
      <c r="A1676" s="31" t="s">
        <v>2645</v>
      </c>
      <c r="B1676" s="32" t="s">
        <v>2646</v>
      </c>
      <c r="C1676" s="32" t="s">
        <v>796</v>
      </c>
      <c r="D1676" s="32" t="s">
        <v>811</v>
      </c>
      <c r="E1676" s="33" t="s">
        <v>823</v>
      </c>
      <c r="F1676" s="34">
        <v>6346701</v>
      </c>
      <c r="G1676" s="34">
        <v>5814614</v>
      </c>
      <c r="H1676" s="35" t="s">
        <v>2649</v>
      </c>
    </row>
    <row r="1677" spans="1:8" ht="27" customHeight="1" x14ac:dyDescent="0.2">
      <c r="A1677" s="31" t="s">
        <v>2645</v>
      </c>
      <c r="B1677" s="32" t="s">
        <v>2646</v>
      </c>
      <c r="C1677" s="32" t="s">
        <v>776</v>
      </c>
      <c r="D1677" s="32" t="s">
        <v>812</v>
      </c>
      <c r="E1677" s="33" t="s">
        <v>777</v>
      </c>
      <c r="F1677" s="34">
        <v>1227023</v>
      </c>
      <c r="G1677" s="34">
        <v>1137984</v>
      </c>
      <c r="H1677" s="35" t="s">
        <v>2650</v>
      </c>
    </row>
    <row r="1678" spans="1:8" ht="27" customHeight="1" x14ac:dyDescent="0.2">
      <c r="A1678" s="31" t="s">
        <v>2645</v>
      </c>
      <c r="B1678" s="32" t="s">
        <v>2646</v>
      </c>
      <c r="C1678" s="32" t="s">
        <v>779</v>
      </c>
      <c r="D1678" s="32" t="s">
        <v>876</v>
      </c>
      <c r="E1678" s="33" t="s">
        <v>780</v>
      </c>
      <c r="F1678" s="34">
        <v>303324</v>
      </c>
      <c r="G1678" s="34">
        <v>288219</v>
      </c>
      <c r="H1678" s="35" t="s">
        <v>2651</v>
      </c>
    </row>
    <row r="1679" spans="1:8" ht="27" customHeight="1" x14ac:dyDescent="0.2">
      <c r="A1679" s="31" t="s">
        <v>2645</v>
      </c>
      <c r="B1679" s="32" t="s">
        <v>2646</v>
      </c>
      <c r="C1679" s="32" t="s">
        <v>782</v>
      </c>
      <c r="D1679" s="32" t="s">
        <v>2652</v>
      </c>
      <c r="E1679" s="33" t="s">
        <v>784</v>
      </c>
      <c r="F1679" s="34">
        <v>389327</v>
      </c>
      <c r="G1679" s="34">
        <v>419094</v>
      </c>
      <c r="H1679" s="35" t="s">
        <v>2653</v>
      </c>
    </row>
    <row r="1680" spans="1:8" ht="27" customHeight="1" x14ac:dyDescent="0.2">
      <c r="A1680" s="31" t="s">
        <v>2654</v>
      </c>
      <c r="B1680" s="32" t="s">
        <v>2655</v>
      </c>
      <c r="C1680" s="32" t="s">
        <v>763</v>
      </c>
      <c r="D1680" s="32" t="s">
        <v>1335</v>
      </c>
      <c r="E1680" s="33" t="s">
        <v>764</v>
      </c>
      <c r="F1680" s="34">
        <v>1497213</v>
      </c>
      <c r="G1680" s="34">
        <v>1500000</v>
      </c>
      <c r="H1680" s="35" t="s">
        <v>2656</v>
      </c>
    </row>
    <row r="1681" spans="1:8" ht="27" customHeight="1" x14ac:dyDescent="0.2">
      <c r="A1681" s="31" t="s">
        <v>2654</v>
      </c>
      <c r="B1681" s="32" t="s">
        <v>2655</v>
      </c>
      <c r="C1681" s="32" t="s">
        <v>770</v>
      </c>
      <c r="D1681" s="32" t="s">
        <v>2657</v>
      </c>
      <c r="E1681" s="33" t="s">
        <v>772</v>
      </c>
      <c r="F1681" s="34">
        <v>1184998</v>
      </c>
      <c r="G1681" s="34">
        <v>1220000</v>
      </c>
      <c r="H1681" s="35" t="s">
        <v>2658</v>
      </c>
    </row>
    <row r="1682" spans="1:8" ht="27" customHeight="1" x14ac:dyDescent="0.2">
      <c r="A1682" s="31" t="s">
        <v>2654</v>
      </c>
      <c r="B1682" s="32" t="s">
        <v>2655</v>
      </c>
      <c r="C1682" s="32" t="s">
        <v>796</v>
      </c>
      <c r="D1682" s="32" t="s">
        <v>954</v>
      </c>
      <c r="E1682" s="33" t="s">
        <v>772</v>
      </c>
      <c r="F1682" s="34">
        <v>2244227</v>
      </c>
      <c r="G1682" s="34">
        <v>3055000</v>
      </c>
      <c r="H1682" s="35" t="s">
        <v>2659</v>
      </c>
    </row>
    <row r="1683" spans="1:8" ht="27" customHeight="1" x14ac:dyDescent="0.2">
      <c r="A1683" s="31" t="s">
        <v>2654</v>
      </c>
      <c r="B1683" s="32" t="s">
        <v>2655</v>
      </c>
      <c r="C1683" s="32" t="s">
        <v>776</v>
      </c>
      <c r="D1683" s="32" t="s">
        <v>914</v>
      </c>
      <c r="E1683" s="33" t="s">
        <v>777</v>
      </c>
      <c r="F1683" s="34">
        <v>380000</v>
      </c>
      <c r="G1683" s="34">
        <v>285000</v>
      </c>
      <c r="H1683" s="35" t="s">
        <v>2660</v>
      </c>
    </row>
    <row r="1684" spans="1:8" ht="27" customHeight="1" x14ac:dyDescent="0.2">
      <c r="A1684" s="31" t="s">
        <v>2654</v>
      </c>
      <c r="B1684" s="32" t="s">
        <v>2655</v>
      </c>
      <c r="C1684" s="32" t="s">
        <v>779</v>
      </c>
      <c r="D1684" s="32" t="s">
        <v>2514</v>
      </c>
      <c r="E1684" s="33" t="s">
        <v>780</v>
      </c>
      <c r="F1684" s="34">
        <v>200338</v>
      </c>
      <c r="G1684" s="34">
        <v>200338</v>
      </c>
      <c r="H1684" s="35" t="s">
        <v>2661</v>
      </c>
    </row>
    <row r="1685" spans="1:8" ht="27" customHeight="1" x14ac:dyDescent="0.2">
      <c r="A1685" s="31" t="s">
        <v>2654</v>
      </c>
      <c r="B1685" s="32" t="s">
        <v>2655</v>
      </c>
      <c r="C1685" s="32" t="s">
        <v>782</v>
      </c>
      <c r="D1685" s="32" t="s">
        <v>2662</v>
      </c>
      <c r="E1685" s="33" t="s">
        <v>784</v>
      </c>
      <c r="F1685" s="34">
        <v>255150</v>
      </c>
      <c r="G1685" s="34">
        <v>576588</v>
      </c>
      <c r="H1685" s="35" t="s">
        <v>2663</v>
      </c>
    </row>
    <row r="1686" spans="1:8" ht="27" customHeight="1" x14ac:dyDescent="0.2">
      <c r="A1686" s="31" t="s">
        <v>2664</v>
      </c>
      <c r="B1686" s="32" t="s">
        <v>2665</v>
      </c>
      <c r="C1686" s="32" t="s">
        <v>763</v>
      </c>
      <c r="D1686" s="32" t="s">
        <v>2666</v>
      </c>
      <c r="E1686" s="33" t="s">
        <v>764</v>
      </c>
      <c r="F1686" s="34">
        <v>335839</v>
      </c>
      <c r="G1686" s="34">
        <v>336052</v>
      </c>
      <c r="H1686" s="35" t="s">
        <v>1261</v>
      </c>
    </row>
    <row r="1687" spans="1:8" ht="27" customHeight="1" x14ac:dyDescent="0.2">
      <c r="A1687" s="31" t="s">
        <v>2664</v>
      </c>
      <c r="B1687" s="32" t="s">
        <v>2665</v>
      </c>
      <c r="C1687" s="32" t="s">
        <v>763</v>
      </c>
      <c r="D1687" s="32" t="s">
        <v>2667</v>
      </c>
      <c r="E1687" s="33" t="s">
        <v>764</v>
      </c>
      <c r="F1687" s="34">
        <v>788141</v>
      </c>
      <c r="G1687" s="34">
        <v>788609</v>
      </c>
      <c r="H1687" s="35" t="s">
        <v>2668</v>
      </c>
    </row>
    <row r="1688" spans="1:8" ht="27" customHeight="1" x14ac:dyDescent="0.2">
      <c r="A1688" s="31" t="s">
        <v>2664</v>
      </c>
      <c r="B1688" s="32" t="s">
        <v>2665</v>
      </c>
      <c r="C1688" s="32" t="s">
        <v>763</v>
      </c>
      <c r="D1688" s="32" t="s">
        <v>2669</v>
      </c>
      <c r="E1688" s="33" t="s">
        <v>764</v>
      </c>
      <c r="F1688" s="34">
        <v>3610757</v>
      </c>
      <c r="G1688" s="34">
        <v>612560</v>
      </c>
      <c r="H1688" s="35" t="s">
        <v>2670</v>
      </c>
    </row>
    <row r="1689" spans="1:8" ht="27" customHeight="1" x14ac:dyDescent="0.2">
      <c r="A1689" s="31" t="s">
        <v>2664</v>
      </c>
      <c r="B1689" s="32" t="s">
        <v>2665</v>
      </c>
      <c r="C1689" s="32" t="s">
        <v>766</v>
      </c>
      <c r="D1689" s="32" t="s">
        <v>767</v>
      </c>
      <c r="E1689" s="33" t="s">
        <v>768</v>
      </c>
      <c r="F1689" s="34">
        <v>993405</v>
      </c>
      <c r="G1689" s="34">
        <v>993900</v>
      </c>
      <c r="H1689" s="35" t="s">
        <v>1261</v>
      </c>
    </row>
    <row r="1690" spans="1:8" ht="27" customHeight="1" x14ac:dyDescent="0.2">
      <c r="A1690" s="31" t="s">
        <v>2664</v>
      </c>
      <c r="B1690" s="32" t="s">
        <v>2665</v>
      </c>
      <c r="C1690" s="32" t="s">
        <v>770</v>
      </c>
      <c r="D1690" s="32" t="s">
        <v>2671</v>
      </c>
      <c r="E1690" s="33" t="s">
        <v>772</v>
      </c>
      <c r="F1690" s="34">
        <v>3462043</v>
      </c>
      <c r="G1690" s="34">
        <v>3462043</v>
      </c>
      <c r="H1690" s="35" t="s">
        <v>2672</v>
      </c>
    </row>
    <row r="1691" spans="1:8" ht="27" customHeight="1" x14ac:dyDescent="0.2">
      <c r="A1691" s="31" t="s">
        <v>2664</v>
      </c>
      <c r="B1691" s="32" t="s">
        <v>2665</v>
      </c>
      <c r="C1691" s="32" t="s">
        <v>773</v>
      </c>
      <c r="D1691" s="32" t="s">
        <v>973</v>
      </c>
      <c r="E1691" s="33" t="s">
        <v>775</v>
      </c>
      <c r="F1691" s="34">
        <v>978003</v>
      </c>
      <c r="G1691" s="34">
        <v>978126</v>
      </c>
      <c r="H1691" s="35" t="s">
        <v>1261</v>
      </c>
    </row>
    <row r="1692" spans="1:8" ht="27" customHeight="1" x14ac:dyDescent="0.2">
      <c r="A1692" s="31" t="s">
        <v>2664</v>
      </c>
      <c r="B1692" s="32" t="s">
        <v>2665</v>
      </c>
      <c r="C1692" s="32" t="s">
        <v>796</v>
      </c>
      <c r="D1692" s="32" t="s">
        <v>811</v>
      </c>
      <c r="E1692" s="33" t="s">
        <v>823</v>
      </c>
      <c r="F1692" s="34">
        <v>3173575</v>
      </c>
      <c r="G1692" s="34">
        <v>3157617</v>
      </c>
      <c r="H1692" s="35" t="s">
        <v>2673</v>
      </c>
    </row>
    <row r="1693" spans="1:8" ht="27" customHeight="1" x14ac:dyDescent="0.2">
      <c r="A1693" s="31" t="s">
        <v>2664</v>
      </c>
      <c r="B1693" s="32" t="s">
        <v>2665</v>
      </c>
      <c r="C1693" s="32" t="s">
        <v>776</v>
      </c>
      <c r="D1693" s="32" t="s">
        <v>812</v>
      </c>
      <c r="E1693" s="33" t="s">
        <v>777</v>
      </c>
      <c r="F1693" s="34">
        <v>286306</v>
      </c>
      <c r="G1693" s="34">
        <v>286342</v>
      </c>
      <c r="H1693" s="35" t="s">
        <v>2674</v>
      </c>
    </row>
    <row r="1694" spans="1:8" ht="27" customHeight="1" x14ac:dyDescent="0.2">
      <c r="A1694" s="31" t="s">
        <v>2664</v>
      </c>
      <c r="B1694" s="32" t="s">
        <v>2665</v>
      </c>
      <c r="C1694" s="32" t="s">
        <v>779</v>
      </c>
      <c r="D1694" s="32" t="s">
        <v>826</v>
      </c>
      <c r="E1694" s="33" t="s">
        <v>780</v>
      </c>
      <c r="F1694" s="34">
        <v>699081</v>
      </c>
      <c r="G1694" s="34">
        <v>682259</v>
      </c>
      <c r="H1694" s="35" t="s">
        <v>2675</v>
      </c>
    </row>
    <row r="1695" spans="1:8" ht="27" customHeight="1" x14ac:dyDescent="0.2">
      <c r="A1695" s="31" t="s">
        <v>2664</v>
      </c>
      <c r="B1695" s="32" t="s">
        <v>2665</v>
      </c>
      <c r="C1695" s="32" t="s">
        <v>782</v>
      </c>
      <c r="D1695" s="32" t="s">
        <v>964</v>
      </c>
      <c r="E1695" s="33" t="s">
        <v>784</v>
      </c>
      <c r="F1695" s="34">
        <v>1615593</v>
      </c>
      <c r="G1695" s="34">
        <v>1615794</v>
      </c>
      <c r="H1695" s="35" t="s">
        <v>2676</v>
      </c>
    </row>
    <row r="1696" spans="1:8" ht="27" customHeight="1" x14ac:dyDescent="0.2">
      <c r="A1696" s="31" t="s">
        <v>2677</v>
      </c>
      <c r="B1696" s="32" t="s">
        <v>2678</v>
      </c>
      <c r="C1696" s="32" t="s">
        <v>763</v>
      </c>
      <c r="D1696" s="32" t="s">
        <v>816</v>
      </c>
      <c r="E1696" s="33" t="s">
        <v>764</v>
      </c>
      <c r="F1696" s="34">
        <v>3554</v>
      </c>
      <c r="G1696" s="34">
        <v>3573</v>
      </c>
      <c r="H1696" s="35" t="s">
        <v>2679</v>
      </c>
    </row>
    <row r="1697" spans="1:8" ht="27" customHeight="1" x14ac:dyDescent="0.2">
      <c r="A1697" s="31" t="s">
        <v>2677</v>
      </c>
      <c r="B1697" s="32" t="s">
        <v>2678</v>
      </c>
      <c r="C1697" s="32" t="s">
        <v>773</v>
      </c>
      <c r="D1697" s="32" t="s">
        <v>973</v>
      </c>
      <c r="E1697" s="33" t="s">
        <v>775</v>
      </c>
      <c r="F1697" s="34">
        <v>1078831</v>
      </c>
      <c r="G1697" s="34">
        <v>1084456</v>
      </c>
      <c r="H1697" s="35" t="s">
        <v>2679</v>
      </c>
    </row>
    <row r="1698" spans="1:8" ht="27" customHeight="1" x14ac:dyDescent="0.2">
      <c r="A1698" s="31" t="s">
        <v>2677</v>
      </c>
      <c r="B1698" s="32" t="s">
        <v>2678</v>
      </c>
      <c r="C1698" s="32" t="s">
        <v>796</v>
      </c>
      <c r="D1698" s="32" t="s">
        <v>1095</v>
      </c>
      <c r="E1698" s="33" t="s">
        <v>772</v>
      </c>
      <c r="F1698" s="34">
        <v>2808075</v>
      </c>
      <c r="G1698" s="34">
        <v>2822973</v>
      </c>
      <c r="H1698" s="35" t="s">
        <v>2680</v>
      </c>
    </row>
    <row r="1699" spans="1:8" ht="27" customHeight="1" x14ac:dyDescent="0.2">
      <c r="A1699" s="31" t="s">
        <v>2677</v>
      </c>
      <c r="B1699" s="32" t="s">
        <v>2678</v>
      </c>
      <c r="C1699" s="32" t="s">
        <v>779</v>
      </c>
      <c r="D1699" s="32" t="s">
        <v>876</v>
      </c>
      <c r="E1699" s="33" t="s">
        <v>780</v>
      </c>
      <c r="F1699" s="34">
        <v>362378</v>
      </c>
      <c r="G1699" s="34">
        <v>362603</v>
      </c>
      <c r="H1699" s="35" t="s">
        <v>2679</v>
      </c>
    </row>
    <row r="1700" spans="1:8" ht="27" customHeight="1" x14ac:dyDescent="0.2">
      <c r="A1700" s="31" t="s">
        <v>2681</v>
      </c>
      <c r="B1700" s="32" t="s">
        <v>2682</v>
      </c>
      <c r="C1700" s="32" t="s">
        <v>763</v>
      </c>
      <c r="D1700" s="32" t="s">
        <v>967</v>
      </c>
      <c r="E1700" s="33" t="s">
        <v>764</v>
      </c>
      <c r="F1700" s="34">
        <v>5000856</v>
      </c>
      <c r="G1700" s="34">
        <v>10567644</v>
      </c>
      <c r="H1700" s="35" t="s">
        <v>2480</v>
      </c>
    </row>
    <row r="1701" spans="1:8" ht="27" customHeight="1" x14ac:dyDescent="0.2">
      <c r="A1701" s="31" t="s">
        <v>2681</v>
      </c>
      <c r="B1701" s="32" t="s">
        <v>2682</v>
      </c>
      <c r="C1701" s="32" t="s">
        <v>763</v>
      </c>
      <c r="D1701" s="32" t="s">
        <v>930</v>
      </c>
      <c r="E1701" s="33" t="s">
        <v>764</v>
      </c>
      <c r="F1701" s="34">
        <v>3764704</v>
      </c>
      <c r="G1701" s="34">
        <v>5623592</v>
      </c>
      <c r="H1701" s="35" t="s">
        <v>2683</v>
      </c>
    </row>
    <row r="1702" spans="1:8" ht="27" customHeight="1" x14ac:dyDescent="0.2">
      <c r="A1702" s="31" t="s">
        <v>2681</v>
      </c>
      <c r="B1702" s="32" t="s">
        <v>2682</v>
      </c>
      <c r="C1702" s="32" t="s">
        <v>763</v>
      </c>
      <c r="D1702" s="32" t="s">
        <v>2684</v>
      </c>
      <c r="E1702" s="33" t="s">
        <v>764</v>
      </c>
      <c r="F1702" s="34">
        <v>12830387</v>
      </c>
      <c r="G1702" s="34">
        <v>5840848</v>
      </c>
      <c r="H1702" s="35" t="s">
        <v>2685</v>
      </c>
    </row>
    <row r="1703" spans="1:8" ht="27" customHeight="1" x14ac:dyDescent="0.2">
      <c r="A1703" s="31" t="s">
        <v>2681</v>
      </c>
      <c r="B1703" s="32" t="s">
        <v>2682</v>
      </c>
      <c r="C1703" s="32" t="s">
        <v>770</v>
      </c>
      <c r="D1703" s="32" t="s">
        <v>2686</v>
      </c>
      <c r="E1703" s="33" t="s">
        <v>772</v>
      </c>
      <c r="F1703" s="34">
        <v>79091</v>
      </c>
      <c r="G1703" s="34">
        <v>79149</v>
      </c>
      <c r="H1703" s="35" t="s">
        <v>2687</v>
      </c>
    </row>
    <row r="1704" spans="1:8" ht="27" customHeight="1" x14ac:dyDescent="0.2">
      <c r="A1704" s="31" t="s">
        <v>2681</v>
      </c>
      <c r="B1704" s="32" t="s">
        <v>2682</v>
      </c>
      <c r="C1704" s="32" t="s">
        <v>844</v>
      </c>
      <c r="D1704" s="32" t="s">
        <v>1025</v>
      </c>
      <c r="E1704" s="33" t="s">
        <v>846</v>
      </c>
      <c r="F1704" s="34">
        <v>503361</v>
      </c>
      <c r="G1704" s="34">
        <v>503731</v>
      </c>
      <c r="H1704" s="35" t="s">
        <v>2688</v>
      </c>
    </row>
    <row r="1705" spans="1:8" ht="27" customHeight="1" x14ac:dyDescent="0.2">
      <c r="A1705" s="31" t="s">
        <v>2681</v>
      </c>
      <c r="B1705" s="32" t="s">
        <v>2682</v>
      </c>
      <c r="C1705" s="32" t="s">
        <v>796</v>
      </c>
      <c r="D1705" s="32" t="s">
        <v>2689</v>
      </c>
      <c r="E1705" s="33" t="s">
        <v>823</v>
      </c>
      <c r="F1705" s="34">
        <v>5531872</v>
      </c>
      <c r="G1705" s="34">
        <v>5436062</v>
      </c>
      <c r="H1705" s="35" t="s">
        <v>2690</v>
      </c>
    </row>
    <row r="1706" spans="1:8" ht="27" customHeight="1" x14ac:dyDescent="0.2">
      <c r="A1706" s="31" t="s">
        <v>2681</v>
      </c>
      <c r="B1706" s="32" t="s">
        <v>2682</v>
      </c>
      <c r="C1706" s="32" t="s">
        <v>776</v>
      </c>
      <c r="D1706" s="32" t="s">
        <v>914</v>
      </c>
      <c r="E1706" s="33" t="s">
        <v>777</v>
      </c>
      <c r="F1706" s="34">
        <v>712563</v>
      </c>
      <c r="G1706" s="34">
        <v>713115</v>
      </c>
      <c r="H1706" s="35" t="s">
        <v>2691</v>
      </c>
    </row>
    <row r="1707" spans="1:8" ht="27" customHeight="1" x14ac:dyDescent="0.2">
      <c r="A1707" s="31" t="s">
        <v>2681</v>
      </c>
      <c r="B1707" s="32" t="s">
        <v>2682</v>
      </c>
      <c r="C1707" s="32" t="s">
        <v>779</v>
      </c>
      <c r="D1707" s="32" t="s">
        <v>876</v>
      </c>
      <c r="E1707" s="33" t="s">
        <v>780</v>
      </c>
      <c r="F1707" s="34">
        <v>147869</v>
      </c>
      <c r="G1707" s="34">
        <v>147978</v>
      </c>
      <c r="H1707" s="35" t="s">
        <v>2692</v>
      </c>
    </row>
    <row r="1708" spans="1:8" ht="27" customHeight="1" x14ac:dyDescent="0.2">
      <c r="A1708" s="31" t="s">
        <v>2681</v>
      </c>
      <c r="B1708" s="32" t="s">
        <v>2682</v>
      </c>
      <c r="C1708" s="32" t="s">
        <v>782</v>
      </c>
      <c r="D1708" s="32" t="s">
        <v>813</v>
      </c>
      <c r="E1708" s="33" t="s">
        <v>784</v>
      </c>
      <c r="F1708" s="34">
        <v>654793</v>
      </c>
      <c r="G1708" s="34">
        <v>655274</v>
      </c>
      <c r="H1708" s="35" t="s">
        <v>2693</v>
      </c>
    </row>
    <row r="1709" spans="1:8" ht="27" customHeight="1" x14ac:dyDescent="0.2">
      <c r="A1709" s="31" t="s">
        <v>2694</v>
      </c>
      <c r="B1709" s="32" t="s">
        <v>2695</v>
      </c>
      <c r="C1709" s="32" t="s">
        <v>763</v>
      </c>
      <c r="D1709" s="32" t="s">
        <v>2696</v>
      </c>
      <c r="E1709" s="33" t="s">
        <v>764</v>
      </c>
      <c r="F1709" s="34">
        <v>4398975</v>
      </c>
      <c r="G1709" s="34">
        <v>3429000</v>
      </c>
      <c r="H1709" s="35" t="s">
        <v>2697</v>
      </c>
    </row>
    <row r="1710" spans="1:8" ht="27" customHeight="1" x14ac:dyDescent="0.2">
      <c r="A1710" s="31" t="s">
        <v>2694</v>
      </c>
      <c r="B1710" s="32" t="s">
        <v>2695</v>
      </c>
      <c r="C1710" s="32" t="s">
        <v>763</v>
      </c>
      <c r="D1710" s="32" t="s">
        <v>1805</v>
      </c>
      <c r="E1710" s="33" t="s">
        <v>764</v>
      </c>
      <c r="F1710" s="34">
        <v>4885</v>
      </c>
      <c r="G1710" s="34">
        <v>5000</v>
      </c>
      <c r="H1710" s="35" t="s">
        <v>2698</v>
      </c>
    </row>
    <row r="1711" spans="1:8" ht="27" customHeight="1" x14ac:dyDescent="0.2">
      <c r="A1711" s="31" t="s">
        <v>2694</v>
      </c>
      <c r="B1711" s="32" t="s">
        <v>2695</v>
      </c>
      <c r="C1711" s="32" t="s">
        <v>763</v>
      </c>
      <c r="D1711" s="32" t="s">
        <v>2699</v>
      </c>
      <c r="E1711" s="33" t="s">
        <v>764</v>
      </c>
      <c r="F1711" s="34">
        <v>641989</v>
      </c>
      <c r="G1711" s="34">
        <v>647000</v>
      </c>
      <c r="H1711" s="35" t="s">
        <v>2698</v>
      </c>
    </row>
    <row r="1712" spans="1:8" ht="27" customHeight="1" x14ac:dyDescent="0.2">
      <c r="A1712" s="31" t="s">
        <v>2694</v>
      </c>
      <c r="B1712" s="32" t="s">
        <v>2695</v>
      </c>
      <c r="C1712" s="32" t="s">
        <v>763</v>
      </c>
      <c r="D1712" s="32" t="s">
        <v>2700</v>
      </c>
      <c r="E1712" s="33" t="s">
        <v>764</v>
      </c>
      <c r="F1712" s="34">
        <v>0</v>
      </c>
      <c r="G1712" s="34">
        <v>1000000</v>
      </c>
      <c r="H1712" s="35" t="s">
        <v>2701</v>
      </c>
    </row>
    <row r="1713" spans="1:8" ht="27" customHeight="1" x14ac:dyDescent="0.2">
      <c r="A1713" s="31" t="s">
        <v>2694</v>
      </c>
      <c r="B1713" s="32" t="s">
        <v>2695</v>
      </c>
      <c r="C1713" s="32" t="s">
        <v>770</v>
      </c>
      <c r="D1713" s="32" t="s">
        <v>1011</v>
      </c>
      <c r="E1713" s="33" t="s">
        <v>772</v>
      </c>
      <c r="F1713" s="34">
        <v>1697006</v>
      </c>
      <c r="G1713" s="34">
        <v>1600000</v>
      </c>
      <c r="H1713" s="35" t="s">
        <v>2702</v>
      </c>
    </row>
    <row r="1714" spans="1:8" ht="27" customHeight="1" x14ac:dyDescent="0.2">
      <c r="A1714" s="31" t="s">
        <v>2694</v>
      </c>
      <c r="B1714" s="32" t="s">
        <v>2695</v>
      </c>
      <c r="C1714" s="32" t="s">
        <v>844</v>
      </c>
      <c r="D1714" s="32" t="s">
        <v>844</v>
      </c>
      <c r="E1714" s="33" t="s">
        <v>846</v>
      </c>
      <c r="F1714" s="34">
        <v>849871</v>
      </c>
      <c r="G1714" s="34">
        <v>855000</v>
      </c>
      <c r="H1714" s="35" t="s">
        <v>2698</v>
      </c>
    </row>
    <row r="1715" spans="1:8" ht="27" customHeight="1" x14ac:dyDescent="0.2">
      <c r="A1715" s="31" t="s">
        <v>2694</v>
      </c>
      <c r="B1715" s="32" t="s">
        <v>2695</v>
      </c>
      <c r="C1715" s="32" t="s">
        <v>773</v>
      </c>
      <c r="D1715" s="32" t="s">
        <v>773</v>
      </c>
      <c r="E1715" s="33" t="s">
        <v>775</v>
      </c>
      <c r="F1715" s="34">
        <v>2482933</v>
      </c>
      <c r="G1715" s="34">
        <v>2420000</v>
      </c>
      <c r="H1715" s="35" t="s">
        <v>2703</v>
      </c>
    </row>
    <row r="1716" spans="1:8" ht="27" customHeight="1" x14ac:dyDescent="0.2">
      <c r="A1716" s="31" t="s">
        <v>2694</v>
      </c>
      <c r="B1716" s="32" t="s">
        <v>2695</v>
      </c>
      <c r="C1716" s="32" t="s">
        <v>860</v>
      </c>
      <c r="D1716" s="32" t="s">
        <v>860</v>
      </c>
      <c r="E1716" s="33" t="s">
        <v>861</v>
      </c>
      <c r="F1716" s="34">
        <v>1626986</v>
      </c>
      <c r="G1716" s="34">
        <v>1635500</v>
      </c>
      <c r="H1716" s="35" t="s">
        <v>2698</v>
      </c>
    </row>
    <row r="1717" spans="1:8" ht="27" customHeight="1" x14ac:dyDescent="0.2">
      <c r="A1717" s="31" t="s">
        <v>2694</v>
      </c>
      <c r="B1717" s="32" t="s">
        <v>2695</v>
      </c>
      <c r="C1717" s="32" t="s">
        <v>796</v>
      </c>
      <c r="D1717" s="32" t="s">
        <v>1444</v>
      </c>
      <c r="E1717" s="33" t="s">
        <v>823</v>
      </c>
      <c r="F1717" s="34">
        <v>7505314</v>
      </c>
      <c r="G1717" s="34">
        <v>7505314</v>
      </c>
      <c r="H1717" s="35" t="s">
        <v>2704</v>
      </c>
    </row>
    <row r="1718" spans="1:8" ht="27" customHeight="1" x14ac:dyDescent="0.2">
      <c r="A1718" s="31" t="s">
        <v>2694</v>
      </c>
      <c r="B1718" s="32" t="s">
        <v>2695</v>
      </c>
      <c r="C1718" s="32" t="s">
        <v>776</v>
      </c>
      <c r="D1718" s="32" t="s">
        <v>776</v>
      </c>
      <c r="E1718" s="33" t="s">
        <v>777</v>
      </c>
      <c r="F1718" s="34">
        <v>225365</v>
      </c>
      <c r="G1718" s="34">
        <v>490000</v>
      </c>
      <c r="H1718" s="35" t="s">
        <v>2705</v>
      </c>
    </row>
    <row r="1719" spans="1:8" ht="27" customHeight="1" x14ac:dyDescent="0.2">
      <c r="A1719" s="31" t="s">
        <v>2694</v>
      </c>
      <c r="B1719" s="32" t="s">
        <v>2695</v>
      </c>
      <c r="C1719" s="32" t="s">
        <v>779</v>
      </c>
      <c r="D1719" s="32" t="s">
        <v>802</v>
      </c>
      <c r="E1719" s="33" t="s">
        <v>780</v>
      </c>
      <c r="F1719" s="34">
        <v>456451</v>
      </c>
      <c r="G1719" s="34">
        <v>457000</v>
      </c>
      <c r="H1719" s="35" t="s">
        <v>2706</v>
      </c>
    </row>
    <row r="1720" spans="1:8" ht="27" customHeight="1" x14ac:dyDescent="0.2">
      <c r="A1720" s="31" t="s">
        <v>2707</v>
      </c>
      <c r="B1720" s="32" t="s">
        <v>2708</v>
      </c>
      <c r="C1720" s="32" t="s">
        <v>763</v>
      </c>
      <c r="D1720" s="32" t="s">
        <v>2709</v>
      </c>
      <c r="E1720" s="33" t="s">
        <v>764</v>
      </c>
      <c r="F1720" s="34">
        <v>1200839</v>
      </c>
      <c r="G1720" s="34">
        <v>1200839</v>
      </c>
      <c r="H1720" s="35" t="s">
        <v>859</v>
      </c>
    </row>
    <row r="1721" spans="1:8" ht="27" customHeight="1" x14ac:dyDescent="0.2">
      <c r="A1721" s="31" t="s">
        <v>2707</v>
      </c>
      <c r="B1721" s="32" t="s">
        <v>2708</v>
      </c>
      <c r="C1721" s="32" t="s">
        <v>766</v>
      </c>
      <c r="D1721" s="32" t="s">
        <v>832</v>
      </c>
      <c r="E1721" s="33" t="s">
        <v>768</v>
      </c>
      <c r="F1721" s="34">
        <v>1509133</v>
      </c>
      <c r="G1721" s="34">
        <v>1309133</v>
      </c>
      <c r="H1721" s="35" t="s">
        <v>2710</v>
      </c>
    </row>
    <row r="1722" spans="1:8" ht="27" customHeight="1" x14ac:dyDescent="0.2">
      <c r="A1722" s="31" t="s">
        <v>2707</v>
      </c>
      <c r="B1722" s="32" t="s">
        <v>2708</v>
      </c>
      <c r="C1722" s="32" t="s">
        <v>770</v>
      </c>
      <c r="D1722" s="32" t="s">
        <v>810</v>
      </c>
      <c r="E1722" s="33" t="s">
        <v>772</v>
      </c>
      <c r="F1722" s="34">
        <v>305373</v>
      </c>
      <c r="G1722" s="34">
        <v>305373</v>
      </c>
      <c r="H1722" s="35" t="s">
        <v>859</v>
      </c>
    </row>
    <row r="1723" spans="1:8" ht="27" customHeight="1" x14ac:dyDescent="0.2">
      <c r="A1723" s="31" t="s">
        <v>2707</v>
      </c>
      <c r="B1723" s="32" t="s">
        <v>2708</v>
      </c>
      <c r="C1723" s="32" t="s">
        <v>884</v>
      </c>
      <c r="D1723" s="32" t="s">
        <v>2711</v>
      </c>
      <c r="E1723" s="33" t="s">
        <v>885</v>
      </c>
      <c r="F1723" s="34">
        <v>0</v>
      </c>
      <c r="G1723" s="34">
        <v>0</v>
      </c>
      <c r="H1723" s="35" t="s">
        <v>859</v>
      </c>
    </row>
    <row r="1724" spans="1:8" ht="27" customHeight="1" x14ac:dyDescent="0.2">
      <c r="A1724" s="31" t="s">
        <v>2707</v>
      </c>
      <c r="B1724" s="32" t="s">
        <v>2708</v>
      </c>
      <c r="C1724" s="32" t="s">
        <v>844</v>
      </c>
      <c r="D1724" s="32" t="s">
        <v>972</v>
      </c>
      <c r="E1724" s="33" t="s">
        <v>846</v>
      </c>
      <c r="F1724" s="34">
        <v>502099</v>
      </c>
      <c r="G1724" s="34">
        <v>502099</v>
      </c>
      <c r="H1724" s="35" t="s">
        <v>859</v>
      </c>
    </row>
    <row r="1725" spans="1:8" ht="27" customHeight="1" x14ac:dyDescent="0.2">
      <c r="A1725" s="31" t="s">
        <v>2707</v>
      </c>
      <c r="B1725" s="32" t="s">
        <v>2708</v>
      </c>
      <c r="C1725" s="32" t="s">
        <v>773</v>
      </c>
      <c r="D1725" s="32" t="s">
        <v>2711</v>
      </c>
      <c r="E1725" s="33" t="s">
        <v>775</v>
      </c>
      <c r="F1725" s="34">
        <v>0</v>
      </c>
      <c r="G1725" s="34">
        <v>0</v>
      </c>
      <c r="H1725" s="35" t="s">
        <v>859</v>
      </c>
    </row>
    <row r="1726" spans="1:8" ht="27" customHeight="1" x14ac:dyDescent="0.2">
      <c r="A1726" s="31" t="s">
        <v>2707</v>
      </c>
      <c r="B1726" s="32" t="s">
        <v>2708</v>
      </c>
      <c r="C1726" s="32" t="s">
        <v>831</v>
      </c>
      <c r="D1726" s="32" t="s">
        <v>2711</v>
      </c>
      <c r="E1726" s="33"/>
      <c r="F1726" s="34">
        <v>0</v>
      </c>
      <c r="G1726" s="34">
        <v>0</v>
      </c>
      <c r="H1726" s="35" t="s">
        <v>859</v>
      </c>
    </row>
    <row r="1727" spans="1:8" ht="27" customHeight="1" x14ac:dyDescent="0.2">
      <c r="A1727" s="31" t="s">
        <v>2707</v>
      </c>
      <c r="B1727" s="32" t="s">
        <v>2708</v>
      </c>
      <c r="C1727" s="32" t="s">
        <v>886</v>
      </c>
      <c r="D1727" s="32" t="s">
        <v>2711</v>
      </c>
      <c r="E1727" s="33" t="s">
        <v>887</v>
      </c>
      <c r="F1727" s="34">
        <v>0</v>
      </c>
      <c r="G1727" s="34">
        <v>0</v>
      </c>
      <c r="H1727" s="35" t="s">
        <v>859</v>
      </c>
    </row>
    <row r="1728" spans="1:8" ht="27" customHeight="1" x14ac:dyDescent="0.2">
      <c r="A1728" s="31" t="s">
        <v>2707</v>
      </c>
      <c r="B1728" s="32" t="s">
        <v>2708</v>
      </c>
      <c r="C1728" s="32" t="s">
        <v>860</v>
      </c>
      <c r="D1728" s="32" t="s">
        <v>2711</v>
      </c>
      <c r="E1728" s="33" t="s">
        <v>861</v>
      </c>
      <c r="F1728" s="34">
        <v>0</v>
      </c>
      <c r="G1728" s="34">
        <v>0</v>
      </c>
      <c r="H1728" s="35" t="s">
        <v>859</v>
      </c>
    </row>
    <row r="1729" spans="1:8" ht="27" customHeight="1" x14ac:dyDescent="0.2">
      <c r="A1729" s="31" t="s">
        <v>2707</v>
      </c>
      <c r="B1729" s="32" t="s">
        <v>2708</v>
      </c>
      <c r="C1729" s="32" t="s">
        <v>796</v>
      </c>
      <c r="D1729" s="32" t="s">
        <v>811</v>
      </c>
      <c r="E1729" s="33" t="s">
        <v>772</v>
      </c>
      <c r="F1729" s="34">
        <v>2300441</v>
      </c>
      <c r="G1729" s="34">
        <v>2135441</v>
      </c>
      <c r="H1729" s="35" t="s">
        <v>2712</v>
      </c>
    </row>
    <row r="1730" spans="1:8" ht="27" customHeight="1" x14ac:dyDescent="0.2">
      <c r="A1730" s="31" t="s">
        <v>2707</v>
      </c>
      <c r="B1730" s="32" t="s">
        <v>2708</v>
      </c>
      <c r="C1730" s="32" t="s">
        <v>776</v>
      </c>
      <c r="D1730" s="32" t="s">
        <v>812</v>
      </c>
      <c r="E1730" s="33" t="s">
        <v>777</v>
      </c>
      <c r="F1730" s="34">
        <v>1931233</v>
      </c>
      <c r="G1730" s="34">
        <v>1931233</v>
      </c>
      <c r="H1730" s="35" t="s">
        <v>859</v>
      </c>
    </row>
    <row r="1731" spans="1:8" ht="27" customHeight="1" x14ac:dyDescent="0.2">
      <c r="A1731" s="31" t="s">
        <v>2707</v>
      </c>
      <c r="B1731" s="32" t="s">
        <v>2708</v>
      </c>
      <c r="C1731" s="32" t="s">
        <v>798</v>
      </c>
      <c r="D1731" s="32" t="s">
        <v>2711</v>
      </c>
      <c r="E1731" s="33" t="s">
        <v>800</v>
      </c>
      <c r="F1731" s="34">
        <v>0</v>
      </c>
      <c r="G1731" s="34">
        <v>0</v>
      </c>
      <c r="H1731" s="35" t="s">
        <v>859</v>
      </c>
    </row>
    <row r="1732" spans="1:8" ht="27" customHeight="1" x14ac:dyDescent="0.2">
      <c r="A1732" s="31" t="s">
        <v>2707</v>
      </c>
      <c r="B1732" s="32" t="s">
        <v>2708</v>
      </c>
      <c r="C1732" s="32" t="s">
        <v>892</v>
      </c>
      <c r="D1732" s="32" t="s">
        <v>2711</v>
      </c>
      <c r="E1732" s="33" t="s">
        <v>893</v>
      </c>
      <c r="F1732" s="34">
        <v>0</v>
      </c>
      <c r="G1732" s="34">
        <v>0</v>
      </c>
      <c r="H1732" s="35" t="s">
        <v>859</v>
      </c>
    </row>
    <row r="1733" spans="1:8" ht="27" customHeight="1" x14ac:dyDescent="0.2">
      <c r="A1733" s="31" t="s">
        <v>2707</v>
      </c>
      <c r="B1733" s="32" t="s">
        <v>2708</v>
      </c>
      <c r="C1733" s="32" t="s">
        <v>779</v>
      </c>
      <c r="D1733" s="32" t="s">
        <v>876</v>
      </c>
      <c r="E1733" s="33" t="s">
        <v>780</v>
      </c>
      <c r="F1733" s="34">
        <v>1039079</v>
      </c>
      <c r="G1733" s="34">
        <v>1030079</v>
      </c>
      <c r="H1733" s="35" t="s">
        <v>2713</v>
      </c>
    </row>
    <row r="1734" spans="1:8" ht="27" customHeight="1" x14ac:dyDescent="0.2">
      <c r="A1734" s="31" t="s">
        <v>2707</v>
      </c>
      <c r="B1734" s="32" t="s">
        <v>2708</v>
      </c>
      <c r="C1734" s="32" t="s">
        <v>782</v>
      </c>
      <c r="D1734" s="32" t="s">
        <v>1539</v>
      </c>
      <c r="E1734" s="33" t="s">
        <v>784</v>
      </c>
      <c r="F1734" s="34">
        <v>618281</v>
      </c>
      <c r="G1734" s="34">
        <v>518281</v>
      </c>
      <c r="H1734" s="35" t="s">
        <v>2714</v>
      </c>
    </row>
    <row r="1735" spans="1:8" ht="27" customHeight="1" x14ac:dyDescent="0.2">
      <c r="A1735" s="31" t="s">
        <v>2715</v>
      </c>
      <c r="B1735" s="32" t="s">
        <v>2716</v>
      </c>
      <c r="C1735" s="32" t="s">
        <v>763</v>
      </c>
      <c r="D1735" s="32" t="s">
        <v>2562</v>
      </c>
      <c r="E1735" s="33" t="s">
        <v>764</v>
      </c>
      <c r="F1735" s="34">
        <v>14100038</v>
      </c>
      <c r="G1735" s="34">
        <v>14100038</v>
      </c>
      <c r="H1735" s="35" t="s">
        <v>2717</v>
      </c>
    </row>
    <row r="1736" spans="1:8" ht="27" customHeight="1" x14ac:dyDescent="0.2">
      <c r="A1736" s="31" t="s">
        <v>2715</v>
      </c>
      <c r="B1736" s="32" t="s">
        <v>2716</v>
      </c>
      <c r="C1736" s="32" t="s">
        <v>763</v>
      </c>
      <c r="D1736" s="32" t="s">
        <v>2718</v>
      </c>
      <c r="E1736" s="33" t="s">
        <v>764</v>
      </c>
      <c r="F1736" s="34">
        <v>1501617</v>
      </c>
      <c r="G1736" s="34">
        <v>1501617</v>
      </c>
      <c r="H1736" s="35" t="s">
        <v>2481</v>
      </c>
    </row>
    <row r="1737" spans="1:8" ht="27" customHeight="1" x14ac:dyDescent="0.2">
      <c r="A1737" s="31" t="s">
        <v>2715</v>
      </c>
      <c r="B1737" s="32" t="s">
        <v>2716</v>
      </c>
      <c r="C1737" s="32" t="s">
        <v>763</v>
      </c>
      <c r="D1737" s="32" t="s">
        <v>933</v>
      </c>
      <c r="E1737" s="33" t="s">
        <v>764</v>
      </c>
      <c r="F1737" s="34">
        <v>5133091</v>
      </c>
      <c r="G1737" s="34">
        <v>3809044</v>
      </c>
      <c r="H1737" s="35" t="s">
        <v>2719</v>
      </c>
    </row>
    <row r="1738" spans="1:8" ht="27" customHeight="1" x14ac:dyDescent="0.2">
      <c r="A1738" s="31" t="s">
        <v>2715</v>
      </c>
      <c r="B1738" s="32" t="s">
        <v>2716</v>
      </c>
      <c r="C1738" s="32" t="s">
        <v>766</v>
      </c>
      <c r="D1738" s="32" t="s">
        <v>808</v>
      </c>
      <c r="E1738" s="33" t="s">
        <v>768</v>
      </c>
      <c r="F1738" s="34">
        <v>1159619</v>
      </c>
      <c r="G1738" s="34">
        <v>1159619</v>
      </c>
      <c r="H1738" s="35" t="s">
        <v>2481</v>
      </c>
    </row>
    <row r="1739" spans="1:8" ht="27" customHeight="1" x14ac:dyDescent="0.2">
      <c r="A1739" s="31" t="s">
        <v>2715</v>
      </c>
      <c r="B1739" s="32" t="s">
        <v>2716</v>
      </c>
      <c r="C1739" s="32" t="s">
        <v>770</v>
      </c>
      <c r="D1739" s="32" t="s">
        <v>2720</v>
      </c>
      <c r="E1739" s="33" t="s">
        <v>772</v>
      </c>
      <c r="F1739" s="34">
        <v>2059919</v>
      </c>
      <c r="G1739" s="34">
        <v>1659919</v>
      </c>
      <c r="H1739" s="35" t="s">
        <v>2721</v>
      </c>
    </row>
    <row r="1740" spans="1:8" ht="27" customHeight="1" x14ac:dyDescent="0.2">
      <c r="A1740" s="31" t="s">
        <v>2715</v>
      </c>
      <c r="B1740" s="32" t="s">
        <v>2716</v>
      </c>
      <c r="C1740" s="32" t="s">
        <v>844</v>
      </c>
      <c r="D1740" s="32" t="s">
        <v>972</v>
      </c>
      <c r="E1740" s="33" t="s">
        <v>846</v>
      </c>
      <c r="F1740" s="34">
        <v>1220527</v>
      </c>
      <c r="G1740" s="34">
        <v>1220527</v>
      </c>
      <c r="H1740" s="35" t="s">
        <v>2481</v>
      </c>
    </row>
    <row r="1741" spans="1:8" ht="27" customHeight="1" x14ac:dyDescent="0.2">
      <c r="A1741" s="31" t="s">
        <v>2715</v>
      </c>
      <c r="B1741" s="32" t="s">
        <v>2716</v>
      </c>
      <c r="C1741" s="32" t="s">
        <v>773</v>
      </c>
      <c r="D1741" s="32" t="s">
        <v>973</v>
      </c>
      <c r="E1741" s="33" t="s">
        <v>775</v>
      </c>
      <c r="F1741" s="34">
        <v>1684337</v>
      </c>
      <c r="G1741" s="34">
        <v>1634337</v>
      </c>
      <c r="H1741" s="35" t="s">
        <v>2722</v>
      </c>
    </row>
    <row r="1742" spans="1:8" ht="27" customHeight="1" x14ac:dyDescent="0.2">
      <c r="A1742" s="31" t="s">
        <v>2715</v>
      </c>
      <c r="B1742" s="32" t="s">
        <v>2716</v>
      </c>
      <c r="C1742" s="32" t="s">
        <v>796</v>
      </c>
      <c r="D1742" s="32" t="s">
        <v>811</v>
      </c>
      <c r="E1742" s="33" t="s">
        <v>823</v>
      </c>
      <c r="F1742" s="34">
        <v>2003404</v>
      </c>
      <c r="G1742" s="34">
        <v>1800404</v>
      </c>
      <c r="H1742" s="35" t="s">
        <v>2723</v>
      </c>
    </row>
    <row r="1743" spans="1:8" ht="27" customHeight="1" x14ac:dyDescent="0.2">
      <c r="A1743" s="31" t="s">
        <v>2715</v>
      </c>
      <c r="B1743" s="32" t="s">
        <v>2716</v>
      </c>
      <c r="C1743" s="32" t="s">
        <v>776</v>
      </c>
      <c r="D1743" s="32" t="s">
        <v>914</v>
      </c>
      <c r="E1743" s="33" t="s">
        <v>777</v>
      </c>
      <c r="F1743" s="34">
        <v>738415</v>
      </c>
      <c r="G1743" s="34">
        <v>926958</v>
      </c>
      <c r="H1743" s="35" t="s">
        <v>2481</v>
      </c>
    </row>
    <row r="1744" spans="1:8" ht="27" customHeight="1" x14ac:dyDescent="0.2">
      <c r="A1744" s="31" t="s">
        <v>2715</v>
      </c>
      <c r="B1744" s="32" t="s">
        <v>2716</v>
      </c>
      <c r="C1744" s="32" t="s">
        <v>779</v>
      </c>
      <c r="D1744" s="32" t="s">
        <v>876</v>
      </c>
      <c r="E1744" s="33" t="s">
        <v>780</v>
      </c>
      <c r="F1744" s="34">
        <v>392483</v>
      </c>
      <c r="G1744" s="34">
        <v>352483</v>
      </c>
      <c r="H1744" s="35" t="s">
        <v>2724</v>
      </c>
    </row>
    <row r="1745" spans="1:8" ht="27" customHeight="1" x14ac:dyDescent="0.2">
      <c r="A1745" s="31" t="s">
        <v>2715</v>
      </c>
      <c r="B1745" s="32" t="s">
        <v>2716</v>
      </c>
      <c r="C1745" s="32" t="s">
        <v>782</v>
      </c>
      <c r="D1745" s="32" t="s">
        <v>964</v>
      </c>
      <c r="E1745" s="33" t="s">
        <v>784</v>
      </c>
      <c r="F1745" s="34">
        <v>180111</v>
      </c>
      <c r="G1745" s="34">
        <v>160111</v>
      </c>
      <c r="H1745" s="35" t="s">
        <v>2725</v>
      </c>
    </row>
    <row r="1746" spans="1:8" ht="27" customHeight="1" x14ac:dyDescent="0.2">
      <c r="A1746" s="31" t="s">
        <v>2726</v>
      </c>
      <c r="B1746" s="32" t="s">
        <v>2727</v>
      </c>
      <c r="C1746" s="32" t="s">
        <v>763</v>
      </c>
      <c r="D1746" s="32" t="s">
        <v>2728</v>
      </c>
      <c r="E1746" s="33" t="s">
        <v>764</v>
      </c>
      <c r="F1746" s="34">
        <v>4670205</v>
      </c>
      <c r="G1746" s="34">
        <v>4075374</v>
      </c>
      <c r="H1746" s="35" t="s">
        <v>2480</v>
      </c>
    </row>
    <row r="1747" spans="1:8" ht="27" customHeight="1" x14ac:dyDescent="0.2">
      <c r="A1747" s="31" t="s">
        <v>2726</v>
      </c>
      <c r="B1747" s="32" t="s">
        <v>2727</v>
      </c>
      <c r="C1747" s="32" t="s">
        <v>770</v>
      </c>
      <c r="D1747" s="32" t="s">
        <v>1136</v>
      </c>
      <c r="E1747" s="33" t="s">
        <v>772</v>
      </c>
      <c r="F1747" s="34">
        <v>2090315</v>
      </c>
      <c r="G1747" s="34">
        <v>2090315</v>
      </c>
      <c r="H1747" s="35" t="s">
        <v>2729</v>
      </c>
    </row>
    <row r="1748" spans="1:8" ht="27" customHeight="1" x14ac:dyDescent="0.2">
      <c r="A1748" s="31" t="s">
        <v>2726</v>
      </c>
      <c r="B1748" s="32" t="s">
        <v>2727</v>
      </c>
      <c r="C1748" s="32" t="s">
        <v>860</v>
      </c>
      <c r="D1748" s="32" t="s">
        <v>897</v>
      </c>
      <c r="E1748" s="33" t="s">
        <v>861</v>
      </c>
      <c r="F1748" s="34">
        <v>3800000</v>
      </c>
      <c r="G1748" s="34">
        <v>3838000</v>
      </c>
      <c r="H1748" s="35" t="s">
        <v>2480</v>
      </c>
    </row>
    <row r="1749" spans="1:8" ht="27" customHeight="1" x14ac:dyDescent="0.2">
      <c r="A1749" s="31" t="s">
        <v>2726</v>
      </c>
      <c r="B1749" s="32" t="s">
        <v>2727</v>
      </c>
      <c r="C1749" s="32" t="s">
        <v>796</v>
      </c>
      <c r="D1749" s="32" t="s">
        <v>835</v>
      </c>
      <c r="E1749" s="33" t="s">
        <v>772</v>
      </c>
      <c r="F1749" s="34">
        <v>5341105</v>
      </c>
      <c r="G1749" s="34">
        <v>5341105</v>
      </c>
      <c r="H1749" s="35" t="s">
        <v>2730</v>
      </c>
    </row>
    <row r="1750" spans="1:8" ht="27" customHeight="1" x14ac:dyDescent="0.2">
      <c r="A1750" s="31" t="s">
        <v>2726</v>
      </c>
      <c r="B1750" s="32" t="s">
        <v>2727</v>
      </c>
      <c r="C1750" s="32" t="s">
        <v>776</v>
      </c>
      <c r="D1750" s="32" t="s">
        <v>812</v>
      </c>
      <c r="E1750" s="33" t="s">
        <v>777</v>
      </c>
      <c r="F1750" s="34">
        <v>511940</v>
      </c>
      <c r="G1750" s="34">
        <v>503997</v>
      </c>
      <c r="H1750" s="35" t="s">
        <v>2619</v>
      </c>
    </row>
    <row r="1751" spans="1:8" ht="27" customHeight="1" x14ac:dyDescent="0.2">
      <c r="A1751" s="31" t="s">
        <v>2726</v>
      </c>
      <c r="B1751" s="32" t="s">
        <v>2727</v>
      </c>
      <c r="C1751" s="32" t="s">
        <v>779</v>
      </c>
      <c r="D1751" s="32" t="s">
        <v>876</v>
      </c>
      <c r="E1751" s="33" t="s">
        <v>780</v>
      </c>
      <c r="F1751" s="34">
        <v>731017</v>
      </c>
      <c r="G1751" s="34">
        <v>731028</v>
      </c>
      <c r="H1751" s="35" t="s">
        <v>2731</v>
      </c>
    </row>
    <row r="1752" spans="1:8" ht="27" customHeight="1" x14ac:dyDescent="0.2">
      <c r="A1752" s="31" t="s">
        <v>2726</v>
      </c>
      <c r="B1752" s="32" t="s">
        <v>2727</v>
      </c>
      <c r="C1752" s="32" t="s">
        <v>782</v>
      </c>
      <c r="D1752" s="32" t="s">
        <v>813</v>
      </c>
      <c r="E1752" s="33" t="s">
        <v>784</v>
      </c>
      <c r="F1752" s="34">
        <v>2257053</v>
      </c>
      <c r="G1752" s="34">
        <v>2257086</v>
      </c>
      <c r="H1752" s="35" t="s">
        <v>2732</v>
      </c>
    </row>
    <row r="1753" spans="1:8" ht="27" customHeight="1" x14ac:dyDescent="0.2">
      <c r="A1753" s="31" t="s">
        <v>2733</v>
      </c>
      <c r="B1753" s="32" t="s">
        <v>2734</v>
      </c>
      <c r="C1753" s="32" t="s">
        <v>763</v>
      </c>
      <c r="D1753" s="32" t="s">
        <v>933</v>
      </c>
      <c r="E1753" s="33" t="s">
        <v>764</v>
      </c>
      <c r="F1753" s="34">
        <v>3715484</v>
      </c>
      <c r="G1753" s="34">
        <v>3715484</v>
      </c>
      <c r="H1753" s="35" t="s">
        <v>2735</v>
      </c>
    </row>
    <row r="1754" spans="1:8" ht="27" customHeight="1" x14ac:dyDescent="0.2">
      <c r="A1754" s="31" t="s">
        <v>2733</v>
      </c>
      <c r="B1754" s="32" t="s">
        <v>2734</v>
      </c>
      <c r="C1754" s="32" t="s">
        <v>763</v>
      </c>
      <c r="D1754" s="32" t="s">
        <v>2576</v>
      </c>
      <c r="E1754" s="33" t="s">
        <v>764</v>
      </c>
      <c r="F1754" s="34">
        <v>3938595</v>
      </c>
      <c r="G1754" s="34">
        <v>3938595</v>
      </c>
      <c r="H1754" s="35" t="s">
        <v>2480</v>
      </c>
    </row>
    <row r="1755" spans="1:8" ht="27" customHeight="1" x14ac:dyDescent="0.2">
      <c r="A1755" s="31" t="s">
        <v>2733</v>
      </c>
      <c r="B1755" s="32" t="s">
        <v>2734</v>
      </c>
      <c r="C1755" s="32" t="s">
        <v>770</v>
      </c>
      <c r="D1755" s="32" t="s">
        <v>810</v>
      </c>
      <c r="E1755" s="33" t="s">
        <v>772</v>
      </c>
      <c r="F1755" s="34">
        <v>3849581</v>
      </c>
      <c r="G1755" s="34">
        <v>3849581</v>
      </c>
      <c r="H1755" s="35" t="s">
        <v>2736</v>
      </c>
    </row>
    <row r="1756" spans="1:8" ht="27" customHeight="1" x14ac:dyDescent="0.2">
      <c r="A1756" s="31" t="s">
        <v>2733</v>
      </c>
      <c r="B1756" s="32" t="s">
        <v>2734</v>
      </c>
      <c r="C1756" s="32" t="s">
        <v>796</v>
      </c>
      <c r="D1756" s="32" t="s">
        <v>796</v>
      </c>
      <c r="E1756" s="33" t="s">
        <v>772</v>
      </c>
      <c r="F1756" s="34">
        <v>2020285</v>
      </c>
      <c r="G1756" s="34">
        <v>3720285</v>
      </c>
      <c r="H1756" s="35" t="s">
        <v>2737</v>
      </c>
    </row>
    <row r="1757" spans="1:8" ht="27" customHeight="1" x14ac:dyDescent="0.2">
      <c r="A1757" s="31" t="s">
        <v>2733</v>
      </c>
      <c r="B1757" s="32" t="s">
        <v>2734</v>
      </c>
      <c r="C1757" s="32" t="s">
        <v>776</v>
      </c>
      <c r="D1757" s="32" t="s">
        <v>812</v>
      </c>
      <c r="E1757" s="33" t="s">
        <v>777</v>
      </c>
      <c r="F1757" s="34">
        <v>2126892</v>
      </c>
      <c r="G1757" s="34">
        <v>2126892</v>
      </c>
      <c r="H1757" s="35" t="s">
        <v>2738</v>
      </c>
    </row>
    <row r="1758" spans="1:8" ht="27" customHeight="1" x14ac:dyDescent="0.2">
      <c r="A1758" s="31" t="s">
        <v>2733</v>
      </c>
      <c r="B1758" s="32" t="s">
        <v>2734</v>
      </c>
      <c r="C1758" s="32" t="s">
        <v>779</v>
      </c>
      <c r="D1758" s="32" t="s">
        <v>876</v>
      </c>
      <c r="E1758" s="33" t="s">
        <v>780</v>
      </c>
      <c r="F1758" s="34">
        <v>2004995</v>
      </c>
      <c r="G1758" s="34">
        <v>304995</v>
      </c>
      <c r="H1758" s="35" t="s">
        <v>2692</v>
      </c>
    </row>
    <row r="1759" spans="1:8" ht="27" customHeight="1" x14ac:dyDescent="0.2">
      <c r="A1759" s="31" t="s">
        <v>2733</v>
      </c>
      <c r="B1759" s="32" t="s">
        <v>2734</v>
      </c>
      <c r="C1759" s="32" t="s">
        <v>782</v>
      </c>
      <c r="D1759" s="32" t="s">
        <v>964</v>
      </c>
      <c r="E1759" s="33" t="s">
        <v>784</v>
      </c>
      <c r="F1759" s="34">
        <v>1989991</v>
      </c>
      <c r="G1759" s="34">
        <v>1989991</v>
      </c>
      <c r="H1759" s="35" t="s">
        <v>2739</v>
      </c>
    </row>
    <row r="1760" spans="1:8" ht="27" customHeight="1" x14ac:dyDescent="0.2">
      <c r="A1760" s="31" t="s">
        <v>2740</v>
      </c>
      <c r="B1760" s="32" t="s">
        <v>2741</v>
      </c>
      <c r="C1760" s="32" t="s">
        <v>763</v>
      </c>
      <c r="D1760" s="32" t="s">
        <v>2684</v>
      </c>
      <c r="E1760" s="33" t="s">
        <v>764</v>
      </c>
      <c r="F1760" s="34">
        <v>2300000</v>
      </c>
      <c r="G1760" s="34">
        <v>2300000</v>
      </c>
      <c r="H1760" s="35" t="s">
        <v>2742</v>
      </c>
    </row>
    <row r="1761" spans="1:8" ht="27" customHeight="1" x14ac:dyDescent="0.2">
      <c r="A1761" s="31" t="s">
        <v>2740</v>
      </c>
      <c r="B1761" s="32" t="s">
        <v>2741</v>
      </c>
      <c r="C1761" s="32" t="s">
        <v>770</v>
      </c>
      <c r="D1761" s="32" t="s">
        <v>935</v>
      </c>
      <c r="E1761" s="33" t="s">
        <v>772</v>
      </c>
      <c r="F1761" s="34">
        <v>85546</v>
      </c>
      <c r="G1761" s="34">
        <v>85546</v>
      </c>
      <c r="H1761" s="35" t="s">
        <v>2607</v>
      </c>
    </row>
    <row r="1762" spans="1:8" ht="27" customHeight="1" x14ac:dyDescent="0.2">
      <c r="A1762" s="31" t="s">
        <v>2740</v>
      </c>
      <c r="B1762" s="32" t="s">
        <v>2741</v>
      </c>
      <c r="C1762" s="32" t="s">
        <v>844</v>
      </c>
      <c r="D1762" s="32" t="s">
        <v>844</v>
      </c>
      <c r="E1762" s="33" t="s">
        <v>846</v>
      </c>
      <c r="F1762" s="34">
        <v>6715302</v>
      </c>
      <c r="G1762" s="34">
        <v>6715302</v>
      </c>
      <c r="H1762" s="35" t="s">
        <v>2743</v>
      </c>
    </row>
    <row r="1763" spans="1:8" ht="27" customHeight="1" x14ac:dyDescent="0.2">
      <c r="A1763" s="31" t="s">
        <v>2740</v>
      </c>
      <c r="B1763" s="32" t="s">
        <v>2741</v>
      </c>
      <c r="C1763" s="32" t="s">
        <v>773</v>
      </c>
      <c r="D1763" s="32" t="s">
        <v>773</v>
      </c>
      <c r="E1763" s="33" t="s">
        <v>775</v>
      </c>
      <c r="F1763" s="34">
        <v>1770043</v>
      </c>
      <c r="G1763" s="34">
        <v>1770043</v>
      </c>
      <c r="H1763" s="35" t="s">
        <v>2744</v>
      </c>
    </row>
    <row r="1764" spans="1:8" ht="27" customHeight="1" x14ac:dyDescent="0.2">
      <c r="A1764" s="31" t="s">
        <v>2740</v>
      </c>
      <c r="B1764" s="32" t="s">
        <v>2741</v>
      </c>
      <c r="C1764" s="32" t="s">
        <v>796</v>
      </c>
      <c r="D1764" s="32" t="s">
        <v>796</v>
      </c>
      <c r="E1764" s="33" t="s">
        <v>772</v>
      </c>
      <c r="F1764" s="34">
        <v>10450027</v>
      </c>
      <c r="G1764" s="34">
        <v>9250027</v>
      </c>
      <c r="H1764" s="35" t="s">
        <v>2745</v>
      </c>
    </row>
    <row r="1765" spans="1:8" ht="27" customHeight="1" x14ac:dyDescent="0.2">
      <c r="A1765" s="31" t="s">
        <v>2740</v>
      </c>
      <c r="B1765" s="32" t="s">
        <v>2741</v>
      </c>
      <c r="C1765" s="32" t="s">
        <v>776</v>
      </c>
      <c r="D1765" s="32" t="s">
        <v>776</v>
      </c>
      <c r="E1765" s="33" t="s">
        <v>777</v>
      </c>
      <c r="F1765" s="34">
        <v>171545</v>
      </c>
      <c r="G1765" s="34">
        <v>174545</v>
      </c>
      <c r="H1765" s="35" t="s">
        <v>2746</v>
      </c>
    </row>
    <row r="1766" spans="1:8" ht="27" customHeight="1" x14ac:dyDescent="0.2">
      <c r="A1766" s="31" t="s">
        <v>2740</v>
      </c>
      <c r="B1766" s="32" t="s">
        <v>2741</v>
      </c>
      <c r="C1766" s="32" t="s">
        <v>779</v>
      </c>
      <c r="D1766" s="32" t="s">
        <v>2747</v>
      </c>
      <c r="E1766" s="33" t="s">
        <v>780</v>
      </c>
      <c r="F1766" s="34">
        <v>1471300</v>
      </c>
      <c r="G1766" s="34">
        <v>1471300</v>
      </c>
      <c r="H1766" s="35" t="s">
        <v>2748</v>
      </c>
    </row>
    <row r="1767" spans="1:8" ht="27" customHeight="1" x14ac:dyDescent="0.2">
      <c r="A1767" s="31" t="s">
        <v>2740</v>
      </c>
      <c r="B1767" s="32" t="s">
        <v>2741</v>
      </c>
      <c r="C1767" s="32" t="s">
        <v>782</v>
      </c>
      <c r="D1767" s="32" t="s">
        <v>782</v>
      </c>
      <c r="E1767" s="33" t="s">
        <v>784</v>
      </c>
      <c r="F1767" s="34">
        <v>442791</v>
      </c>
      <c r="G1767" s="34">
        <v>442791</v>
      </c>
      <c r="H1767" s="35" t="s">
        <v>2749</v>
      </c>
    </row>
    <row r="1768" spans="1:8" ht="27" customHeight="1" x14ac:dyDescent="0.2">
      <c r="A1768" s="31" t="s">
        <v>2750</v>
      </c>
      <c r="B1768" s="32" t="s">
        <v>2751</v>
      </c>
      <c r="C1768" s="32" t="s">
        <v>763</v>
      </c>
      <c r="D1768" s="32" t="s">
        <v>816</v>
      </c>
      <c r="E1768" s="33" t="s">
        <v>764</v>
      </c>
      <c r="F1768" s="34">
        <v>4772417</v>
      </c>
      <c r="G1768" s="34">
        <v>5011608</v>
      </c>
      <c r="H1768" s="35" t="s">
        <v>2480</v>
      </c>
    </row>
    <row r="1769" spans="1:8" ht="27" customHeight="1" x14ac:dyDescent="0.2">
      <c r="A1769" s="31" t="s">
        <v>2750</v>
      </c>
      <c r="B1769" s="32" t="s">
        <v>2751</v>
      </c>
      <c r="C1769" s="32" t="s">
        <v>766</v>
      </c>
      <c r="D1769" s="32" t="s">
        <v>832</v>
      </c>
      <c r="E1769" s="33" t="s">
        <v>768</v>
      </c>
      <c r="F1769" s="34">
        <v>1985787</v>
      </c>
      <c r="G1769" s="34">
        <v>1985787</v>
      </c>
      <c r="H1769" s="35" t="s">
        <v>2752</v>
      </c>
    </row>
    <row r="1770" spans="1:8" ht="27" customHeight="1" x14ac:dyDescent="0.2">
      <c r="A1770" s="31" t="s">
        <v>2750</v>
      </c>
      <c r="B1770" s="32" t="s">
        <v>2751</v>
      </c>
      <c r="C1770" s="32" t="s">
        <v>770</v>
      </c>
      <c r="D1770" s="32" t="s">
        <v>919</v>
      </c>
      <c r="E1770" s="33" t="s">
        <v>772</v>
      </c>
      <c r="F1770" s="34">
        <v>1005808</v>
      </c>
      <c r="G1770" s="34">
        <v>1000000</v>
      </c>
      <c r="H1770" s="35" t="s">
        <v>2753</v>
      </c>
    </row>
    <row r="1771" spans="1:8" ht="27" customHeight="1" x14ac:dyDescent="0.2">
      <c r="A1771" s="31" t="s">
        <v>2750</v>
      </c>
      <c r="B1771" s="32" t="s">
        <v>2751</v>
      </c>
      <c r="C1771" s="32" t="s">
        <v>884</v>
      </c>
      <c r="D1771" s="32" t="s">
        <v>765</v>
      </c>
      <c r="E1771" s="33" t="s">
        <v>885</v>
      </c>
      <c r="F1771" s="34">
        <v>0</v>
      </c>
      <c r="G1771" s="34">
        <v>0</v>
      </c>
      <c r="H1771" s="35" t="s">
        <v>765</v>
      </c>
    </row>
    <row r="1772" spans="1:8" ht="27" customHeight="1" x14ac:dyDescent="0.2">
      <c r="A1772" s="31" t="s">
        <v>2750</v>
      </c>
      <c r="B1772" s="32" t="s">
        <v>2751</v>
      </c>
      <c r="C1772" s="32" t="s">
        <v>844</v>
      </c>
      <c r="D1772" s="32" t="s">
        <v>765</v>
      </c>
      <c r="E1772" s="33" t="s">
        <v>846</v>
      </c>
      <c r="F1772" s="34">
        <v>0</v>
      </c>
      <c r="G1772" s="34">
        <v>0</v>
      </c>
      <c r="H1772" s="35" t="s">
        <v>765</v>
      </c>
    </row>
    <row r="1773" spans="1:8" ht="27" customHeight="1" x14ac:dyDescent="0.2">
      <c r="A1773" s="31" t="s">
        <v>2750</v>
      </c>
      <c r="B1773" s="32" t="s">
        <v>2751</v>
      </c>
      <c r="C1773" s="32" t="s">
        <v>773</v>
      </c>
      <c r="D1773" s="32" t="s">
        <v>973</v>
      </c>
      <c r="E1773" s="33" t="s">
        <v>775</v>
      </c>
      <c r="F1773" s="34">
        <v>45027</v>
      </c>
      <c r="G1773" s="34">
        <v>294977</v>
      </c>
      <c r="H1773" s="35" t="s">
        <v>2754</v>
      </c>
    </row>
    <row r="1774" spans="1:8" ht="27" customHeight="1" x14ac:dyDescent="0.2">
      <c r="A1774" s="31" t="s">
        <v>2750</v>
      </c>
      <c r="B1774" s="32" t="s">
        <v>2751</v>
      </c>
      <c r="C1774" s="32" t="s">
        <v>831</v>
      </c>
      <c r="D1774" s="32" t="s">
        <v>765</v>
      </c>
      <c r="E1774" s="33" t="s">
        <v>765</v>
      </c>
      <c r="F1774" s="34">
        <v>0</v>
      </c>
      <c r="G1774" s="34">
        <v>0</v>
      </c>
      <c r="H1774" s="35" t="s">
        <v>765</v>
      </c>
    </row>
    <row r="1775" spans="1:8" ht="27" customHeight="1" x14ac:dyDescent="0.2">
      <c r="A1775" s="31" t="s">
        <v>2750</v>
      </c>
      <c r="B1775" s="32" t="s">
        <v>2751</v>
      </c>
      <c r="C1775" s="32" t="s">
        <v>886</v>
      </c>
      <c r="D1775" s="32" t="s">
        <v>765</v>
      </c>
      <c r="E1775" s="33" t="s">
        <v>887</v>
      </c>
      <c r="F1775" s="34">
        <v>0</v>
      </c>
      <c r="G1775" s="34">
        <v>0</v>
      </c>
      <c r="H1775" s="35" t="s">
        <v>765</v>
      </c>
    </row>
    <row r="1776" spans="1:8" ht="27" customHeight="1" x14ac:dyDescent="0.2">
      <c r="A1776" s="31" t="s">
        <v>2750</v>
      </c>
      <c r="B1776" s="32" t="s">
        <v>2751</v>
      </c>
      <c r="C1776" s="32" t="s">
        <v>860</v>
      </c>
      <c r="D1776" s="32" t="s">
        <v>911</v>
      </c>
      <c r="E1776" s="33" t="s">
        <v>861</v>
      </c>
      <c r="F1776" s="34">
        <v>57914</v>
      </c>
      <c r="G1776" s="34">
        <v>57914</v>
      </c>
      <c r="H1776" s="35" t="s">
        <v>2755</v>
      </c>
    </row>
    <row r="1777" spans="1:8" ht="27" customHeight="1" x14ac:dyDescent="0.2">
      <c r="A1777" s="31" t="s">
        <v>2750</v>
      </c>
      <c r="B1777" s="32" t="s">
        <v>2751</v>
      </c>
      <c r="C1777" s="32" t="s">
        <v>796</v>
      </c>
      <c r="D1777" s="32" t="s">
        <v>811</v>
      </c>
      <c r="E1777" s="33" t="s">
        <v>772</v>
      </c>
      <c r="F1777" s="34">
        <v>7107264</v>
      </c>
      <c r="G1777" s="34">
        <v>7107264</v>
      </c>
      <c r="H1777" s="35" t="s">
        <v>2756</v>
      </c>
    </row>
    <row r="1778" spans="1:8" ht="27" customHeight="1" x14ac:dyDescent="0.2">
      <c r="A1778" s="31" t="s">
        <v>2750</v>
      </c>
      <c r="B1778" s="32" t="s">
        <v>2751</v>
      </c>
      <c r="C1778" s="32" t="s">
        <v>776</v>
      </c>
      <c r="D1778" s="32" t="s">
        <v>812</v>
      </c>
      <c r="E1778" s="33" t="s">
        <v>777</v>
      </c>
      <c r="F1778" s="34">
        <v>2905540</v>
      </c>
      <c r="G1778" s="34">
        <v>2905540</v>
      </c>
      <c r="H1778" s="35" t="s">
        <v>2650</v>
      </c>
    </row>
    <row r="1779" spans="1:8" ht="27" customHeight="1" x14ac:dyDescent="0.2">
      <c r="A1779" s="31" t="s">
        <v>2750</v>
      </c>
      <c r="B1779" s="32" t="s">
        <v>2751</v>
      </c>
      <c r="C1779" s="32" t="s">
        <v>798</v>
      </c>
      <c r="D1779" s="32" t="s">
        <v>765</v>
      </c>
      <c r="E1779" s="33" t="s">
        <v>800</v>
      </c>
      <c r="F1779" s="34">
        <v>0</v>
      </c>
      <c r="G1779" s="34">
        <v>0</v>
      </c>
      <c r="H1779" s="35" t="s">
        <v>765</v>
      </c>
    </row>
    <row r="1780" spans="1:8" ht="27" customHeight="1" x14ac:dyDescent="0.2">
      <c r="A1780" s="31" t="s">
        <v>2750</v>
      </c>
      <c r="B1780" s="32" t="s">
        <v>2751</v>
      </c>
      <c r="C1780" s="32" t="s">
        <v>892</v>
      </c>
      <c r="D1780" s="32" t="s">
        <v>765</v>
      </c>
      <c r="E1780" s="33" t="s">
        <v>893</v>
      </c>
      <c r="F1780" s="34">
        <v>0</v>
      </c>
      <c r="G1780" s="34">
        <v>0</v>
      </c>
      <c r="H1780" s="35" t="s">
        <v>765</v>
      </c>
    </row>
    <row r="1781" spans="1:8" ht="27" customHeight="1" x14ac:dyDescent="0.2">
      <c r="A1781" s="31" t="s">
        <v>2750</v>
      </c>
      <c r="B1781" s="32" t="s">
        <v>2751</v>
      </c>
      <c r="C1781" s="32" t="s">
        <v>779</v>
      </c>
      <c r="D1781" s="32" t="s">
        <v>826</v>
      </c>
      <c r="E1781" s="33" t="s">
        <v>780</v>
      </c>
      <c r="F1781" s="34">
        <v>941617</v>
      </c>
      <c r="G1781" s="34">
        <v>941617</v>
      </c>
      <c r="H1781" s="35" t="s">
        <v>2757</v>
      </c>
    </row>
    <row r="1782" spans="1:8" ht="27" customHeight="1" x14ac:dyDescent="0.2">
      <c r="A1782" s="31" t="s">
        <v>2750</v>
      </c>
      <c r="B1782" s="32" t="s">
        <v>2751</v>
      </c>
      <c r="C1782" s="32" t="s">
        <v>782</v>
      </c>
      <c r="D1782" s="32" t="s">
        <v>813</v>
      </c>
      <c r="E1782" s="33" t="s">
        <v>784</v>
      </c>
      <c r="F1782" s="34">
        <v>1004101</v>
      </c>
      <c r="G1782" s="34">
        <v>1004101</v>
      </c>
      <c r="H1782" s="35" t="s">
        <v>2758</v>
      </c>
    </row>
    <row r="1783" spans="1:8" ht="27" customHeight="1" x14ac:dyDescent="0.2">
      <c r="A1783" s="31" t="s">
        <v>2759</v>
      </c>
      <c r="B1783" s="32" t="s">
        <v>2760</v>
      </c>
      <c r="C1783" s="32" t="s">
        <v>763</v>
      </c>
      <c r="D1783" s="32" t="s">
        <v>2761</v>
      </c>
      <c r="E1783" s="33" t="s">
        <v>764</v>
      </c>
      <c r="F1783" s="34">
        <v>484306</v>
      </c>
      <c r="G1783" s="34">
        <v>484306</v>
      </c>
      <c r="H1783" s="35" t="s">
        <v>2762</v>
      </c>
    </row>
    <row r="1784" spans="1:8" ht="27" customHeight="1" x14ac:dyDescent="0.2">
      <c r="A1784" s="31" t="s">
        <v>2759</v>
      </c>
      <c r="B1784" s="32" t="s">
        <v>2760</v>
      </c>
      <c r="C1784" s="32" t="s">
        <v>763</v>
      </c>
      <c r="D1784" s="32" t="s">
        <v>816</v>
      </c>
      <c r="E1784" s="33" t="s">
        <v>764</v>
      </c>
      <c r="F1784" s="34">
        <v>31583</v>
      </c>
      <c r="G1784" s="34">
        <v>331583</v>
      </c>
      <c r="H1784" s="35" t="s">
        <v>2763</v>
      </c>
    </row>
    <row r="1785" spans="1:8" ht="27" customHeight="1" x14ac:dyDescent="0.2">
      <c r="A1785" s="31" t="s">
        <v>2759</v>
      </c>
      <c r="B1785" s="32" t="s">
        <v>2760</v>
      </c>
      <c r="C1785" s="32" t="s">
        <v>763</v>
      </c>
      <c r="D1785" s="32" t="s">
        <v>2764</v>
      </c>
      <c r="E1785" s="33" t="s">
        <v>764</v>
      </c>
      <c r="F1785" s="34">
        <v>828704</v>
      </c>
      <c r="G1785" s="34">
        <v>873245</v>
      </c>
      <c r="H1785" s="35" t="s">
        <v>2765</v>
      </c>
    </row>
    <row r="1786" spans="1:8" ht="27" customHeight="1" x14ac:dyDescent="0.2">
      <c r="A1786" s="31" t="s">
        <v>2759</v>
      </c>
      <c r="B1786" s="32" t="s">
        <v>2760</v>
      </c>
      <c r="C1786" s="32" t="s">
        <v>770</v>
      </c>
      <c r="D1786" s="32" t="s">
        <v>2766</v>
      </c>
      <c r="E1786" s="33" t="s">
        <v>772</v>
      </c>
      <c r="F1786" s="34">
        <v>103838</v>
      </c>
      <c r="G1786" s="34">
        <v>103838</v>
      </c>
      <c r="H1786" s="35" t="s">
        <v>2767</v>
      </c>
    </row>
    <row r="1787" spans="1:8" ht="27" customHeight="1" x14ac:dyDescent="0.2">
      <c r="A1787" s="31" t="s">
        <v>2759</v>
      </c>
      <c r="B1787" s="32" t="s">
        <v>2760</v>
      </c>
      <c r="C1787" s="32" t="s">
        <v>860</v>
      </c>
      <c r="D1787" s="32" t="s">
        <v>1027</v>
      </c>
      <c r="E1787" s="33" t="s">
        <v>861</v>
      </c>
      <c r="F1787" s="34">
        <v>1364</v>
      </c>
      <c r="G1787" s="34">
        <v>1364</v>
      </c>
      <c r="H1787" s="35" t="s">
        <v>2763</v>
      </c>
    </row>
    <row r="1788" spans="1:8" ht="27" customHeight="1" x14ac:dyDescent="0.2">
      <c r="A1788" s="31" t="s">
        <v>2759</v>
      </c>
      <c r="B1788" s="32" t="s">
        <v>2760</v>
      </c>
      <c r="C1788" s="32" t="s">
        <v>796</v>
      </c>
      <c r="D1788" s="32" t="s">
        <v>1149</v>
      </c>
      <c r="E1788" s="33" t="s">
        <v>772</v>
      </c>
      <c r="F1788" s="34">
        <v>738759</v>
      </c>
      <c r="G1788" s="34">
        <v>788759</v>
      </c>
      <c r="H1788" s="35" t="s">
        <v>2768</v>
      </c>
    </row>
    <row r="1789" spans="1:8" ht="27" customHeight="1" x14ac:dyDescent="0.2">
      <c r="A1789" s="31" t="s">
        <v>2759</v>
      </c>
      <c r="B1789" s="32" t="s">
        <v>2760</v>
      </c>
      <c r="C1789" s="32" t="s">
        <v>776</v>
      </c>
      <c r="D1789" s="32" t="s">
        <v>914</v>
      </c>
      <c r="E1789" s="33" t="s">
        <v>777</v>
      </c>
      <c r="F1789" s="34">
        <v>35189</v>
      </c>
      <c r="G1789" s="34">
        <v>35189</v>
      </c>
      <c r="H1789" s="35" t="s">
        <v>2763</v>
      </c>
    </row>
    <row r="1790" spans="1:8" ht="27" customHeight="1" x14ac:dyDescent="0.2">
      <c r="A1790" s="31" t="s">
        <v>2759</v>
      </c>
      <c r="B1790" s="32" t="s">
        <v>2760</v>
      </c>
      <c r="C1790" s="32" t="s">
        <v>779</v>
      </c>
      <c r="D1790" s="32" t="s">
        <v>826</v>
      </c>
      <c r="E1790" s="33" t="s">
        <v>780</v>
      </c>
      <c r="F1790" s="34">
        <v>62582</v>
      </c>
      <c r="G1790" s="34">
        <v>62582</v>
      </c>
      <c r="H1790" s="35" t="s">
        <v>2763</v>
      </c>
    </row>
    <row r="1791" spans="1:8" ht="27" customHeight="1" x14ac:dyDescent="0.2">
      <c r="A1791" s="31" t="s">
        <v>2759</v>
      </c>
      <c r="B1791" s="32" t="s">
        <v>2760</v>
      </c>
      <c r="C1791" s="32" t="s">
        <v>782</v>
      </c>
      <c r="D1791" s="32" t="s">
        <v>964</v>
      </c>
      <c r="E1791" s="33" t="s">
        <v>784</v>
      </c>
      <c r="F1791" s="34">
        <v>69996</v>
      </c>
      <c r="G1791" s="34">
        <v>69996</v>
      </c>
      <c r="H1791" s="35" t="s">
        <v>2763</v>
      </c>
    </row>
    <row r="1792" spans="1:8" ht="27" customHeight="1" x14ac:dyDescent="0.2">
      <c r="A1792" s="31" t="s">
        <v>2769</v>
      </c>
      <c r="B1792" s="32" t="s">
        <v>2770</v>
      </c>
      <c r="C1792" s="32" t="s">
        <v>770</v>
      </c>
      <c r="D1792" s="32" t="s">
        <v>770</v>
      </c>
      <c r="E1792" s="33" t="s">
        <v>772</v>
      </c>
      <c r="F1792" s="34">
        <v>1026160</v>
      </c>
      <c r="G1792" s="34">
        <v>1026160</v>
      </c>
      <c r="H1792" s="35" t="s">
        <v>2771</v>
      </c>
    </row>
    <row r="1793" spans="1:8" ht="27" customHeight="1" x14ac:dyDescent="0.2">
      <c r="A1793" s="31" t="s">
        <v>2769</v>
      </c>
      <c r="B1793" s="32" t="s">
        <v>2770</v>
      </c>
      <c r="C1793" s="32" t="s">
        <v>860</v>
      </c>
      <c r="D1793" s="32" t="s">
        <v>860</v>
      </c>
      <c r="E1793" s="33" t="s">
        <v>861</v>
      </c>
      <c r="F1793" s="34">
        <v>1045000</v>
      </c>
      <c r="G1793" s="34">
        <v>899000</v>
      </c>
      <c r="H1793" s="35" t="s">
        <v>2772</v>
      </c>
    </row>
    <row r="1794" spans="1:8" ht="27" customHeight="1" x14ac:dyDescent="0.2">
      <c r="A1794" s="31" t="s">
        <v>2769</v>
      </c>
      <c r="B1794" s="32" t="s">
        <v>2770</v>
      </c>
      <c r="C1794" s="32" t="s">
        <v>796</v>
      </c>
      <c r="D1794" s="32" t="s">
        <v>2773</v>
      </c>
      <c r="E1794" s="33" t="s">
        <v>823</v>
      </c>
      <c r="F1794" s="34">
        <v>2108669</v>
      </c>
      <c r="G1794" s="34">
        <v>2108669</v>
      </c>
      <c r="H1794" s="35" t="s">
        <v>2774</v>
      </c>
    </row>
    <row r="1795" spans="1:8" ht="27" customHeight="1" x14ac:dyDescent="0.2">
      <c r="A1795" s="31" t="s">
        <v>2769</v>
      </c>
      <c r="B1795" s="32" t="s">
        <v>2770</v>
      </c>
      <c r="C1795" s="32" t="s">
        <v>776</v>
      </c>
      <c r="D1795" s="32" t="s">
        <v>776</v>
      </c>
      <c r="E1795" s="33" t="s">
        <v>777</v>
      </c>
      <c r="F1795" s="34">
        <v>62201</v>
      </c>
      <c r="G1795" s="34">
        <v>62201</v>
      </c>
      <c r="H1795" s="35" t="s">
        <v>1724</v>
      </c>
    </row>
    <row r="1796" spans="1:8" ht="27" customHeight="1" x14ac:dyDescent="0.2">
      <c r="A1796" s="31" t="s">
        <v>2769</v>
      </c>
      <c r="B1796" s="32" t="s">
        <v>2770</v>
      </c>
      <c r="C1796" s="32" t="s">
        <v>779</v>
      </c>
      <c r="D1796" s="32" t="s">
        <v>876</v>
      </c>
      <c r="E1796" s="33" t="s">
        <v>780</v>
      </c>
      <c r="F1796" s="34">
        <v>100000</v>
      </c>
      <c r="G1796" s="34">
        <v>100000</v>
      </c>
      <c r="H1796" s="35" t="s">
        <v>2775</v>
      </c>
    </row>
    <row r="1797" spans="1:8" ht="27" customHeight="1" x14ac:dyDescent="0.2">
      <c r="A1797" s="31" t="s">
        <v>2776</v>
      </c>
      <c r="B1797" s="32" t="s">
        <v>2777</v>
      </c>
      <c r="C1797" s="32" t="s">
        <v>763</v>
      </c>
      <c r="D1797" s="32" t="s">
        <v>816</v>
      </c>
      <c r="E1797" s="33" t="s">
        <v>764</v>
      </c>
      <c r="F1797" s="34">
        <v>801916</v>
      </c>
      <c r="G1797" s="34">
        <v>801916</v>
      </c>
      <c r="H1797" s="35" t="s">
        <v>2778</v>
      </c>
    </row>
    <row r="1798" spans="1:8" ht="27" customHeight="1" x14ac:dyDescent="0.2">
      <c r="A1798" s="31" t="s">
        <v>2776</v>
      </c>
      <c r="B1798" s="32" t="s">
        <v>2777</v>
      </c>
      <c r="C1798" s="32" t="s">
        <v>763</v>
      </c>
      <c r="D1798" s="32" t="s">
        <v>2779</v>
      </c>
      <c r="E1798" s="33" t="s">
        <v>764</v>
      </c>
      <c r="F1798" s="34">
        <v>341828</v>
      </c>
      <c r="G1798" s="34">
        <v>341828</v>
      </c>
      <c r="H1798" s="35" t="s">
        <v>2780</v>
      </c>
    </row>
    <row r="1799" spans="1:8" ht="27" customHeight="1" x14ac:dyDescent="0.2">
      <c r="A1799" s="31" t="s">
        <v>2776</v>
      </c>
      <c r="B1799" s="32" t="s">
        <v>2777</v>
      </c>
      <c r="C1799" s="32" t="s">
        <v>770</v>
      </c>
      <c r="D1799" s="32" t="s">
        <v>1136</v>
      </c>
      <c r="E1799" s="33" t="s">
        <v>772</v>
      </c>
      <c r="F1799" s="34">
        <v>58601</v>
      </c>
      <c r="G1799" s="34">
        <v>58601</v>
      </c>
      <c r="H1799" s="35" t="s">
        <v>2781</v>
      </c>
    </row>
    <row r="1800" spans="1:8" ht="27" customHeight="1" x14ac:dyDescent="0.2">
      <c r="A1800" s="31" t="s">
        <v>2776</v>
      </c>
      <c r="B1800" s="32" t="s">
        <v>2777</v>
      </c>
      <c r="C1800" s="32" t="s">
        <v>860</v>
      </c>
      <c r="D1800" s="32" t="s">
        <v>911</v>
      </c>
      <c r="E1800" s="33" t="s">
        <v>861</v>
      </c>
      <c r="F1800" s="34">
        <v>63478</v>
      </c>
      <c r="G1800" s="34">
        <v>63478</v>
      </c>
      <c r="H1800" s="35" t="s">
        <v>859</v>
      </c>
    </row>
    <row r="1801" spans="1:8" ht="27" customHeight="1" x14ac:dyDescent="0.2">
      <c r="A1801" s="31" t="s">
        <v>2776</v>
      </c>
      <c r="B1801" s="32" t="s">
        <v>2777</v>
      </c>
      <c r="C1801" s="32" t="s">
        <v>796</v>
      </c>
      <c r="D1801" s="32" t="s">
        <v>835</v>
      </c>
      <c r="E1801" s="33" t="s">
        <v>823</v>
      </c>
      <c r="F1801" s="34">
        <v>1787786</v>
      </c>
      <c r="G1801" s="34">
        <v>1412786</v>
      </c>
      <c r="H1801" s="35" t="s">
        <v>2782</v>
      </c>
    </row>
    <row r="1802" spans="1:8" ht="27" customHeight="1" x14ac:dyDescent="0.2">
      <c r="A1802" s="31" t="s">
        <v>2776</v>
      </c>
      <c r="B1802" s="32" t="s">
        <v>2777</v>
      </c>
      <c r="C1802" s="32" t="s">
        <v>779</v>
      </c>
      <c r="D1802" s="32" t="s">
        <v>826</v>
      </c>
      <c r="E1802" s="33" t="s">
        <v>780</v>
      </c>
      <c r="F1802" s="34">
        <v>111800</v>
      </c>
      <c r="G1802" s="34">
        <v>111800</v>
      </c>
      <c r="H1802" s="35" t="s">
        <v>2783</v>
      </c>
    </row>
    <row r="1803" spans="1:8" ht="27" customHeight="1" x14ac:dyDescent="0.2">
      <c r="A1803" s="31" t="s">
        <v>2784</v>
      </c>
      <c r="B1803" s="32" t="s">
        <v>2785</v>
      </c>
      <c r="C1803" s="32" t="s">
        <v>763</v>
      </c>
      <c r="D1803" s="32" t="s">
        <v>763</v>
      </c>
      <c r="E1803" s="33" t="s">
        <v>764</v>
      </c>
      <c r="F1803" s="34">
        <v>100000</v>
      </c>
      <c r="G1803" s="34">
        <v>100000</v>
      </c>
      <c r="H1803" s="35" t="s">
        <v>2786</v>
      </c>
    </row>
    <row r="1804" spans="1:8" ht="27" customHeight="1" x14ac:dyDescent="0.2">
      <c r="A1804" s="31" t="s">
        <v>2784</v>
      </c>
      <c r="B1804" s="32" t="s">
        <v>2785</v>
      </c>
      <c r="C1804" s="32" t="s">
        <v>766</v>
      </c>
      <c r="D1804" s="32" t="s">
        <v>767</v>
      </c>
      <c r="E1804" s="33" t="s">
        <v>768</v>
      </c>
      <c r="F1804" s="34">
        <v>821410</v>
      </c>
      <c r="G1804" s="34">
        <v>675000</v>
      </c>
      <c r="H1804" s="35" t="s">
        <v>2787</v>
      </c>
    </row>
    <row r="1805" spans="1:8" ht="27" customHeight="1" x14ac:dyDescent="0.2">
      <c r="A1805" s="31" t="s">
        <v>2784</v>
      </c>
      <c r="B1805" s="32" t="s">
        <v>2785</v>
      </c>
      <c r="C1805" s="32" t="s">
        <v>770</v>
      </c>
      <c r="D1805" s="32" t="s">
        <v>2788</v>
      </c>
      <c r="E1805" s="33" t="s">
        <v>772</v>
      </c>
      <c r="F1805" s="34">
        <v>300000</v>
      </c>
      <c r="G1805" s="34">
        <v>300000</v>
      </c>
      <c r="H1805" s="35" t="s">
        <v>2789</v>
      </c>
    </row>
    <row r="1806" spans="1:8" ht="27" customHeight="1" x14ac:dyDescent="0.2">
      <c r="A1806" s="31" t="s">
        <v>2784</v>
      </c>
      <c r="B1806" s="32" t="s">
        <v>2785</v>
      </c>
      <c r="C1806" s="32" t="s">
        <v>776</v>
      </c>
      <c r="D1806" s="32" t="s">
        <v>1755</v>
      </c>
      <c r="E1806" s="33" t="s">
        <v>777</v>
      </c>
      <c r="F1806" s="34">
        <v>200000</v>
      </c>
      <c r="G1806" s="34">
        <v>200000</v>
      </c>
      <c r="H1806" s="35" t="s">
        <v>2790</v>
      </c>
    </row>
    <row r="1807" spans="1:8" ht="27" customHeight="1" x14ac:dyDescent="0.2">
      <c r="A1807" s="31" t="s">
        <v>2791</v>
      </c>
      <c r="B1807" s="32" t="s">
        <v>292</v>
      </c>
      <c r="C1807" s="32" t="s">
        <v>763</v>
      </c>
      <c r="D1807" s="32" t="s">
        <v>2792</v>
      </c>
      <c r="E1807" s="33" t="s">
        <v>764</v>
      </c>
      <c r="F1807" s="34">
        <v>1601955</v>
      </c>
      <c r="G1807" s="34">
        <v>1601955</v>
      </c>
      <c r="H1807" s="35" t="s">
        <v>2793</v>
      </c>
    </row>
    <row r="1808" spans="1:8" ht="27" customHeight="1" x14ac:dyDescent="0.2">
      <c r="A1808" s="31" t="s">
        <v>2791</v>
      </c>
      <c r="B1808" s="32" t="s">
        <v>292</v>
      </c>
      <c r="C1808" s="32" t="s">
        <v>770</v>
      </c>
      <c r="D1808" s="32" t="s">
        <v>2794</v>
      </c>
      <c r="E1808" s="33" t="s">
        <v>772</v>
      </c>
      <c r="F1808" s="34">
        <v>575972</v>
      </c>
      <c r="G1808" s="34">
        <v>575972</v>
      </c>
      <c r="H1808" s="35" t="s">
        <v>2795</v>
      </c>
    </row>
    <row r="1809" spans="1:8" ht="27" customHeight="1" x14ac:dyDescent="0.2">
      <c r="A1809" s="31" t="s">
        <v>2791</v>
      </c>
      <c r="B1809" s="32" t="s">
        <v>292</v>
      </c>
      <c r="C1809" s="32" t="s">
        <v>796</v>
      </c>
      <c r="D1809" s="32" t="s">
        <v>954</v>
      </c>
      <c r="E1809" s="33" t="s">
        <v>823</v>
      </c>
      <c r="F1809" s="34">
        <v>380982</v>
      </c>
      <c r="G1809" s="34">
        <v>380982</v>
      </c>
      <c r="H1809" s="35" t="s">
        <v>2796</v>
      </c>
    </row>
    <row r="1810" spans="1:8" ht="27" customHeight="1" x14ac:dyDescent="0.2">
      <c r="A1810" s="31" t="s">
        <v>2791</v>
      </c>
      <c r="B1810" s="32" t="s">
        <v>292</v>
      </c>
      <c r="C1810" s="32" t="s">
        <v>779</v>
      </c>
      <c r="D1810" s="32" t="s">
        <v>826</v>
      </c>
      <c r="E1810" s="33" t="s">
        <v>780</v>
      </c>
      <c r="F1810" s="34">
        <v>43000</v>
      </c>
      <c r="G1810" s="34">
        <v>43000</v>
      </c>
      <c r="H1810" s="35" t="s">
        <v>2797</v>
      </c>
    </row>
    <row r="1811" spans="1:8" ht="27" customHeight="1" x14ac:dyDescent="0.2">
      <c r="A1811" s="31" t="s">
        <v>2791</v>
      </c>
      <c r="B1811" s="32" t="s">
        <v>292</v>
      </c>
      <c r="C1811" s="32" t="s">
        <v>782</v>
      </c>
      <c r="D1811" s="32" t="s">
        <v>813</v>
      </c>
      <c r="E1811" s="33" t="s">
        <v>784</v>
      </c>
      <c r="F1811" s="34">
        <v>100000</v>
      </c>
      <c r="G1811" s="34">
        <v>100000</v>
      </c>
      <c r="H1811" s="35" t="s">
        <v>2798</v>
      </c>
    </row>
    <row r="1812" spans="1:8" ht="27" customHeight="1" x14ac:dyDescent="0.2">
      <c r="A1812" s="31" t="s">
        <v>2799</v>
      </c>
      <c r="B1812" s="32" t="s">
        <v>2800</v>
      </c>
      <c r="C1812" s="32" t="s">
        <v>763</v>
      </c>
      <c r="D1812" s="32" t="s">
        <v>816</v>
      </c>
      <c r="E1812" s="33" t="s">
        <v>764</v>
      </c>
      <c r="F1812" s="34">
        <v>3199970</v>
      </c>
      <c r="G1812" s="34">
        <v>3199970</v>
      </c>
      <c r="H1812" s="35" t="s">
        <v>2801</v>
      </c>
    </row>
    <row r="1813" spans="1:8" ht="27" customHeight="1" x14ac:dyDescent="0.2">
      <c r="A1813" s="31" t="s">
        <v>2799</v>
      </c>
      <c r="B1813" s="32" t="s">
        <v>2800</v>
      </c>
      <c r="C1813" s="32" t="s">
        <v>766</v>
      </c>
      <c r="D1813" s="32" t="s">
        <v>832</v>
      </c>
      <c r="E1813" s="33" t="s">
        <v>768</v>
      </c>
      <c r="F1813" s="34">
        <v>1411924</v>
      </c>
      <c r="G1813" s="34">
        <v>1412284</v>
      </c>
      <c r="H1813" s="35" t="s">
        <v>2802</v>
      </c>
    </row>
    <row r="1814" spans="1:8" ht="27" customHeight="1" x14ac:dyDescent="0.2">
      <c r="A1814" s="31" t="s">
        <v>2799</v>
      </c>
      <c r="B1814" s="32" t="s">
        <v>2800</v>
      </c>
      <c r="C1814" s="32" t="s">
        <v>770</v>
      </c>
      <c r="D1814" s="32" t="s">
        <v>2803</v>
      </c>
      <c r="E1814" s="33" t="s">
        <v>772</v>
      </c>
      <c r="F1814" s="34">
        <v>331716</v>
      </c>
      <c r="G1814" s="34">
        <v>331716</v>
      </c>
      <c r="H1814" s="35" t="s">
        <v>2804</v>
      </c>
    </row>
    <row r="1815" spans="1:8" ht="27" customHeight="1" x14ac:dyDescent="0.2">
      <c r="A1815" s="31" t="s">
        <v>2799</v>
      </c>
      <c r="B1815" s="32" t="s">
        <v>2800</v>
      </c>
      <c r="C1815" s="32" t="s">
        <v>844</v>
      </c>
      <c r="D1815" s="32" t="s">
        <v>972</v>
      </c>
      <c r="E1815" s="33" t="s">
        <v>846</v>
      </c>
      <c r="F1815" s="34">
        <v>200000</v>
      </c>
      <c r="G1815" s="34">
        <v>200000</v>
      </c>
      <c r="H1815" s="35" t="s">
        <v>2805</v>
      </c>
    </row>
    <row r="1816" spans="1:8" ht="27" customHeight="1" x14ac:dyDescent="0.2">
      <c r="A1816" s="31" t="s">
        <v>2799</v>
      </c>
      <c r="B1816" s="32" t="s">
        <v>2800</v>
      </c>
      <c r="C1816" s="32" t="s">
        <v>773</v>
      </c>
      <c r="D1816" s="32" t="s">
        <v>1025</v>
      </c>
      <c r="E1816" s="33" t="s">
        <v>775</v>
      </c>
      <c r="F1816" s="34">
        <v>100000</v>
      </c>
      <c r="G1816" s="34">
        <v>100000</v>
      </c>
      <c r="H1816" s="35" t="s">
        <v>2806</v>
      </c>
    </row>
    <row r="1817" spans="1:8" ht="27" customHeight="1" x14ac:dyDescent="0.2">
      <c r="A1817" s="31" t="s">
        <v>2799</v>
      </c>
      <c r="B1817" s="32" t="s">
        <v>2800</v>
      </c>
      <c r="C1817" s="32" t="s">
        <v>831</v>
      </c>
      <c r="D1817" s="32" t="s">
        <v>2807</v>
      </c>
      <c r="E1817" s="33" t="s">
        <v>2808</v>
      </c>
      <c r="F1817" s="34">
        <v>1881089</v>
      </c>
      <c r="G1817" s="34">
        <v>1881089</v>
      </c>
      <c r="H1817" s="35" t="s">
        <v>2809</v>
      </c>
    </row>
    <row r="1818" spans="1:8" ht="27" customHeight="1" x14ac:dyDescent="0.2">
      <c r="A1818" s="31" t="s">
        <v>2799</v>
      </c>
      <c r="B1818" s="32" t="s">
        <v>2800</v>
      </c>
      <c r="C1818" s="32" t="s">
        <v>886</v>
      </c>
      <c r="D1818" s="32" t="s">
        <v>1013</v>
      </c>
      <c r="E1818" s="33" t="s">
        <v>887</v>
      </c>
      <c r="F1818" s="34">
        <v>50000</v>
      </c>
      <c r="G1818" s="34">
        <v>50000</v>
      </c>
      <c r="H1818" s="35" t="s">
        <v>2810</v>
      </c>
    </row>
    <row r="1819" spans="1:8" ht="27" customHeight="1" x14ac:dyDescent="0.2">
      <c r="A1819" s="31" t="s">
        <v>2799</v>
      </c>
      <c r="B1819" s="32" t="s">
        <v>2800</v>
      </c>
      <c r="C1819" s="32" t="s">
        <v>860</v>
      </c>
      <c r="D1819" s="32" t="s">
        <v>1027</v>
      </c>
      <c r="E1819" s="33" t="s">
        <v>861</v>
      </c>
      <c r="F1819" s="34">
        <v>4367</v>
      </c>
      <c r="G1819" s="34">
        <v>4367</v>
      </c>
      <c r="H1819" s="35" t="s">
        <v>2811</v>
      </c>
    </row>
    <row r="1820" spans="1:8" ht="27" customHeight="1" x14ac:dyDescent="0.2">
      <c r="A1820" s="31" t="s">
        <v>2799</v>
      </c>
      <c r="B1820" s="32" t="s">
        <v>2800</v>
      </c>
      <c r="C1820" s="32" t="s">
        <v>796</v>
      </c>
      <c r="D1820" s="32" t="s">
        <v>2812</v>
      </c>
      <c r="E1820" s="33" t="s">
        <v>772</v>
      </c>
      <c r="F1820" s="34">
        <v>1752796</v>
      </c>
      <c r="G1820" s="34">
        <v>1752796</v>
      </c>
      <c r="H1820" s="35" t="s">
        <v>2813</v>
      </c>
    </row>
    <row r="1821" spans="1:8" ht="27" customHeight="1" x14ac:dyDescent="0.2">
      <c r="A1821" s="31" t="s">
        <v>2799</v>
      </c>
      <c r="B1821" s="32" t="s">
        <v>2800</v>
      </c>
      <c r="C1821" s="32" t="s">
        <v>776</v>
      </c>
      <c r="D1821" s="32" t="s">
        <v>914</v>
      </c>
      <c r="E1821" s="33" t="s">
        <v>777</v>
      </c>
      <c r="F1821" s="34">
        <v>11731</v>
      </c>
      <c r="G1821" s="34">
        <v>11731</v>
      </c>
      <c r="H1821" s="35" t="s">
        <v>2814</v>
      </c>
    </row>
    <row r="1822" spans="1:8" ht="27" customHeight="1" x14ac:dyDescent="0.2">
      <c r="A1822" s="31" t="s">
        <v>2799</v>
      </c>
      <c r="B1822" s="32" t="s">
        <v>2800</v>
      </c>
      <c r="C1822" s="32" t="s">
        <v>779</v>
      </c>
      <c r="D1822" s="32" t="s">
        <v>826</v>
      </c>
      <c r="E1822" s="33" t="s">
        <v>780</v>
      </c>
      <c r="F1822" s="34">
        <v>102417</v>
      </c>
      <c r="G1822" s="34">
        <v>102417</v>
      </c>
      <c r="H1822" s="35" t="s">
        <v>1672</v>
      </c>
    </row>
    <row r="1823" spans="1:8" ht="27" customHeight="1" x14ac:dyDescent="0.2">
      <c r="A1823" s="31" t="s">
        <v>2799</v>
      </c>
      <c r="B1823" s="32" t="s">
        <v>2800</v>
      </c>
      <c r="C1823" s="32" t="s">
        <v>782</v>
      </c>
      <c r="D1823" s="32" t="s">
        <v>2206</v>
      </c>
      <c r="E1823" s="33" t="s">
        <v>784</v>
      </c>
      <c r="F1823" s="34">
        <v>201080</v>
      </c>
      <c r="G1823" s="34">
        <v>201080</v>
      </c>
      <c r="H1823" s="35" t="s">
        <v>2815</v>
      </c>
    </row>
    <row r="1824" spans="1:8" ht="27" customHeight="1" x14ac:dyDescent="0.2">
      <c r="A1824" s="31" t="s">
        <v>2816</v>
      </c>
      <c r="B1824" s="32" t="s">
        <v>2817</v>
      </c>
      <c r="C1824" s="32" t="s">
        <v>770</v>
      </c>
      <c r="D1824" s="32" t="s">
        <v>2657</v>
      </c>
      <c r="E1824" s="33" t="s">
        <v>772</v>
      </c>
      <c r="F1824" s="34">
        <v>1407285</v>
      </c>
      <c r="G1824" s="34">
        <v>1647527</v>
      </c>
      <c r="H1824" s="35" t="s">
        <v>2818</v>
      </c>
    </row>
    <row r="1825" spans="1:8" ht="27" customHeight="1" x14ac:dyDescent="0.2">
      <c r="A1825" s="31" t="s">
        <v>2816</v>
      </c>
      <c r="B1825" s="32" t="s">
        <v>2817</v>
      </c>
      <c r="C1825" s="32" t="s">
        <v>796</v>
      </c>
      <c r="D1825" s="32" t="s">
        <v>811</v>
      </c>
      <c r="E1825" s="33" t="s">
        <v>823</v>
      </c>
      <c r="F1825" s="34">
        <v>1206525</v>
      </c>
      <c r="G1825" s="34">
        <v>456525</v>
      </c>
      <c r="H1825" s="35" t="s">
        <v>2819</v>
      </c>
    </row>
    <row r="1826" spans="1:8" ht="27" customHeight="1" x14ac:dyDescent="0.2">
      <c r="A1826" s="31" t="s">
        <v>2816</v>
      </c>
      <c r="B1826" s="32" t="s">
        <v>2817</v>
      </c>
      <c r="C1826" s="32" t="s">
        <v>776</v>
      </c>
      <c r="D1826" s="32" t="s">
        <v>2820</v>
      </c>
      <c r="E1826" s="33" t="s">
        <v>777</v>
      </c>
      <c r="F1826" s="34">
        <v>6448177</v>
      </c>
      <c r="G1826" s="34">
        <v>6770622</v>
      </c>
      <c r="H1826" s="35" t="s">
        <v>2821</v>
      </c>
    </row>
    <row r="1827" spans="1:8" ht="27" customHeight="1" x14ac:dyDescent="0.2">
      <c r="A1827" s="31" t="s">
        <v>2816</v>
      </c>
      <c r="B1827" s="32" t="s">
        <v>2817</v>
      </c>
      <c r="C1827" s="32" t="s">
        <v>779</v>
      </c>
      <c r="D1827" s="32" t="s">
        <v>927</v>
      </c>
      <c r="E1827" s="33" t="s">
        <v>780</v>
      </c>
      <c r="F1827" s="34">
        <v>110323</v>
      </c>
      <c r="G1827" s="34">
        <v>115323</v>
      </c>
      <c r="H1827" s="35" t="s">
        <v>1227</v>
      </c>
    </row>
    <row r="1828" spans="1:8" ht="27" customHeight="1" x14ac:dyDescent="0.2">
      <c r="A1828" s="31" t="s">
        <v>2816</v>
      </c>
      <c r="B1828" s="32" t="s">
        <v>2817</v>
      </c>
      <c r="C1828" s="32" t="s">
        <v>782</v>
      </c>
      <c r="D1828" s="32" t="s">
        <v>2662</v>
      </c>
      <c r="E1828" s="33" t="s">
        <v>784</v>
      </c>
      <c r="F1828" s="34">
        <v>1535086</v>
      </c>
      <c r="G1828" s="34">
        <v>1535086</v>
      </c>
      <c r="H1828" s="35" t="s">
        <v>2822</v>
      </c>
    </row>
    <row r="1829" spans="1:8" ht="27" customHeight="1" x14ac:dyDescent="0.2">
      <c r="A1829" s="31" t="s">
        <v>2823</v>
      </c>
      <c r="B1829" s="32" t="s">
        <v>354</v>
      </c>
      <c r="C1829" s="32" t="s">
        <v>763</v>
      </c>
      <c r="D1829" s="32" t="s">
        <v>763</v>
      </c>
      <c r="E1829" s="33" t="s">
        <v>764</v>
      </c>
      <c r="F1829" s="34">
        <v>0</v>
      </c>
      <c r="G1829" s="34">
        <v>0</v>
      </c>
      <c r="H1829" s="35" t="s">
        <v>829</v>
      </c>
    </row>
    <row r="1830" spans="1:8" ht="27" customHeight="1" x14ac:dyDescent="0.2">
      <c r="A1830" s="31" t="s">
        <v>2823</v>
      </c>
      <c r="B1830" s="32" t="s">
        <v>354</v>
      </c>
      <c r="C1830" s="32" t="s">
        <v>766</v>
      </c>
      <c r="D1830" s="32" t="s">
        <v>808</v>
      </c>
      <c r="E1830" s="33" t="s">
        <v>768</v>
      </c>
      <c r="F1830" s="34">
        <v>1656927</v>
      </c>
      <c r="G1830" s="34">
        <v>1656927</v>
      </c>
      <c r="H1830" s="35" t="s">
        <v>2824</v>
      </c>
    </row>
    <row r="1831" spans="1:8" ht="27" customHeight="1" x14ac:dyDescent="0.2">
      <c r="A1831" s="31" t="s">
        <v>2823</v>
      </c>
      <c r="B1831" s="32" t="s">
        <v>354</v>
      </c>
      <c r="C1831" s="32" t="s">
        <v>770</v>
      </c>
      <c r="D1831" s="32" t="s">
        <v>770</v>
      </c>
      <c r="E1831" s="33" t="s">
        <v>772</v>
      </c>
      <c r="F1831" s="34">
        <v>2797541</v>
      </c>
      <c r="G1831" s="34">
        <v>2797541</v>
      </c>
      <c r="H1831" s="35" t="s">
        <v>829</v>
      </c>
    </row>
    <row r="1832" spans="1:8" ht="27" customHeight="1" x14ac:dyDescent="0.2">
      <c r="A1832" s="31" t="s">
        <v>2823</v>
      </c>
      <c r="B1832" s="32" t="s">
        <v>354</v>
      </c>
      <c r="C1832" s="32" t="s">
        <v>884</v>
      </c>
      <c r="D1832" s="32" t="s">
        <v>1365</v>
      </c>
      <c r="E1832" s="33" t="s">
        <v>885</v>
      </c>
      <c r="F1832" s="34">
        <v>0</v>
      </c>
      <c r="G1832" s="34">
        <v>0</v>
      </c>
      <c r="H1832" s="35" t="s">
        <v>829</v>
      </c>
    </row>
    <row r="1833" spans="1:8" ht="27" customHeight="1" x14ac:dyDescent="0.2">
      <c r="A1833" s="31" t="s">
        <v>2823</v>
      </c>
      <c r="B1833" s="32" t="s">
        <v>354</v>
      </c>
      <c r="C1833" s="32" t="s">
        <v>844</v>
      </c>
      <c r="D1833" s="32" t="s">
        <v>844</v>
      </c>
      <c r="E1833" s="33" t="s">
        <v>846</v>
      </c>
      <c r="F1833" s="34">
        <v>403112</v>
      </c>
      <c r="G1833" s="34">
        <v>403112</v>
      </c>
      <c r="H1833" s="35" t="s">
        <v>829</v>
      </c>
    </row>
    <row r="1834" spans="1:8" ht="27" customHeight="1" x14ac:dyDescent="0.2">
      <c r="A1834" s="31" t="s">
        <v>2823</v>
      </c>
      <c r="B1834" s="32" t="s">
        <v>354</v>
      </c>
      <c r="C1834" s="32" t="s">
        <v>773</v>
      </c>
      <c r="D1834" s="32" t="s">
        <v>773</v>
      </c>
      <c r="E1834" s="33" t="s">
        <v>775</v>
      </c>
      <c r="F1834" s="34">
        <v>0</v>
      </c>
      <c r="G1834" s="34">
        <v>0</v>
      </c>
      <c r="H1834" s="35" t="s">
        <v>829</v>
      </c>
    </row>
    <row r="1835" spans="1:8" ht="27" customHeight="1" x14ac:dyDescent="0.2">
      <c r="A1835" s="31" t="s">
        <v>2823</v>
      </c>
      <c r="B1835" s="32" t="s">
        <v>354</v>
      </c>
      <c r="C1835" s="32" t="s">
        <v>831</v>
      </c>
      <c r="D1835" s="32" t="s">
        <v>2825</v>
      </c>
      <c r="E1835" s="33"/>
      <c r="F1835" s="34">
        <v>0</v>
      </c>
      <c r="G1835" s="34">
        <v>0</v>
      </c>
      <c r="H1835" s="35" t="s">
        <v>829</v>
      </c>
    </row>
    <row r="1836" spans="1:8" ht="27" customHeight="1" x14ac:dyDescent="0.2">
      <c r="A1836" s="31" t="s">
        <v>2823</v>
      </c>
      <c r="B1836" s="32" t="s">
        <v>354</v>
      </c>
      <c r="C1836" s="32" t="s">
        <v>886</v>
      </c>
      <c r="D1836" s="32" t="s">
        <v>886</v>
      </c>
      <c r="E1836" s="33" t="s">
        <v>887</v>
      </c>
      <c r="F1836" s="34">
        <v>0</v>
      </c>
      <c r="G1836" s="34">
        <v>0</v>
      </c>
      <c r="H1836" s="35" t="s">
        <v>829</v>
      </c>
    </row>
    <row r="1837" spans="1:8" ht="27" customHeight="1" x14ac:dyDescent="0.2">
      <c r="A1837" s="31" t="s">
        <v>2823</v>
      </c>
      <c r="B1837" s="32" t="s">
        <v>354</v>
      </c>
      <c r="C1837" s="32" t="s">
        <v>860</v>
      </c>
      <c r="D1837" s="32" t="s">
        <v>860</v>
      </c>
      <c r="E1837" s="33" t="s">
        <v>861</v>
      </c>
      <c r="F1837" s="34">
        <v>0</v>
      </c>
      <c r="G1837" s="34">
        <v>0</v>
      </c>
      <c r="H1837" s="35" t="s">
        <v>829</v>
      </c>
    </row>
    <row r="1838" spans="1:8" ht="27" customHeight="1" x14ac:dyDescent="0.2">
      <c r="A1838" s="31" t="s">
        <v>2823</v>
      </c>
      <c r="B1838" s="32" t="s">
        <v>354</v>
      </c>
      <c r="C1838" s="32" t="s">
        <v>796</v>
      </c>
      <c r="D1838" s="32" t="s">
        <v>796</v>
      </c>
      <c r="E1838" s="33" t="s">
        <v>823</v>
      </c>
      <c r="F1838" s="34">
        <v>804117</v>
      </c>
      <c r="G1838" s="34">
        <v>804117</v>
      </c>
      <c r="H1838" s="35" t="s">
        <v>829</v>
      </c>
    </row>
    <row r="1839" spans="1:8" ht="27" customHeight="1" x14ac:dyDescent="0.2">
      <c r="A1839" s="31" t="s">
        <v>2823</v>
      </c>
      <c r="B1839" s="32" t="s">
        <v>354</v>
      </c>
      <c r="C1839" s="32" t="s">
        <v>776</v>
      </c>
      <c r="D1839" s="32" t="s">
        <v>776</v>
      </c>
      <c r="E1839" s="33" t="s">
        <v>777</v>
      </c>
      <c r="F1839" s="34">
        <v>0</v>
      </c>
      <c r="G1839" s="34">
        <v>0</v>
      </c>
      <c r="H1839" s="35" t="s">
        <v>829</v>
      </c>
    </row>
    <row r="1840" spans="1:8" ht="27" customHeight="1" x14ac:dyDescent="0.2">
      <c r="A1840" s="31" t="s">
        <v>2823</v>
      </c>
      <c r="B1840" s="32" t="s">
        <v>354</v>
      </c>
      <c r="C1840" s="32" t="s">
        <v>798</v>
      </c>
      <c r="D1840" s="32" t="s">
        <v>1014</v>
      </c>
      <c r="E1840" s="33" t="s">
        <v>800</v>
      </c>
      <c r="F1840" s="34">
        <v>0</v>
      </c>
      <c r="G1840" s="34">
        <v>0</v>
      </c>
      <c r="H1840" s="35" t="s">
        <v>829</v>
      </c>
    </row>
    <row r="1841" spans="1:8" ht="27" customHeight="1" x14ac:dyDescent="0.2">
      <c r="A1841" s="31" t="s">
        <v>2823</v>
      </c>
      <c r="B1841" s="32" t="s">
        <v>354</v>
      </c>
      <c r="C1841" s="32" t="s">
        <v>892</v>
      </c>
      <c r="D1841" s="32" t="s">
        <v>1226</v>
      </c>
      <c r="E1841" s="33" t="s">
        <v>893</v>
      </c>
      <c r="F1841" s="34">
        <v>0</v>
      </c>
      <c r="G1841" s="34">
        <v>0</v>
      </c>
      <c r="H1841" s="35" t="s">
        <v>829</v>
      </c>
    </row>
    <row r="1842" spans="1:8" ht="27" customHeight="1" x14ac:dyDescent="0.2">
      <c r="A1842" s="31" t="s">
        <v>2823</v>
      </c>
      <c r="B1842" s="32" t="s">
        <v>354</v>
      </c>
      <c r="C1842" s="32" t="s">
        <v>779</v>
      </c>
      <c r="D1842" s="32" t="s">
        <v>779</v>
      </c>
      <c r="E1842" s="33" t="s">
        <v>780</v>
      </c>
      <c r="F1842" s="34">
        <v>1282778</v>
      </c>
      <c r="G1842" s="34">
        <v>1282778</v>
      </c>
      <c r="H1842" s="35" t="s">
        <v>829</v>
      </c>
    </row>
    <row r="1843" spans="1:8" ht="27" customHeight="1" x14ac:dyDescent="0.2">
      <c r="A1843" s="31" t="s">
        <v>2823</v>
      </c>
      <c r="B1843" s="32" t="s">
        <v>354</v>
      </c>
      <c r="C1843" s="32" t="s">
        <v>782</v>
      </c>
      <c r="D1843" s="32" t="s">
        <v>782</v>
      </c>
      <c r="E1843" s="33" t="s">
        <v>784</v>
      </c>
      <c r="F1843" s="34">
        <v>1211009</v>
      </c>
      <c r="G1843" s="34">
        <v>1211009</v>
      </c>
      <c r="H1843" s="35" t="s">
        <v>829</v>
      </c>
    </row>
    <row r="1844" spans="1:8" ht="27" customHeight="1" x14ac:dyDescent="0.2">
      <c r="A1844" s="31" t="s">
        <v>2826</v>
      </c>
      <c r="B1844" s="32" t="s">
        <v>690</v>
      </c>
      <c r="C1844" s="32" t="s">
        <v>844</v>
      </c>
      <c r="D1844" s="32" t="s">
        <v>2827</v>
      </c>
      <c r="E1844" s="33" t="s">
        <v>846</v>
      </c>
      <c r="F1844" s="34">
        <v>3943303</v>
      </c>
      <c r="G1844" s="34">
        <v>3949217</v>
      </c>
      <c r="H1844" s="35" t="s">
        <v>829</v>
      </c>
    </row>
    <row r="1845" spans="1:8" ht="27" customHeight="1" x14ac:dyDescent="0.2">
      <c r="A1845" s="31" t="s">
        <v>2826</v>
      </c>
      <c r="B1845" s="32" t="s">
        <v>690</v>
      </c>
      <c r="C1845" s="32" t="s">
        <v>796</v>
      </c>
      <c r="D1845" s="32" t="s">
        <v>2828</v>
      </c>
      <c r="E1845" s="33" t="s">
        <v>823</v>
      </c>
      <c r="F1845" s="34">
        <v>8571947</v>
      </c>
      <c r="G1845" s="34">
        <v>8584805</v>
      </c>
      <c r="H1845" s="35" t="s">
        <v>829</v>
      </c>
    </row>
    <row r="1846" spans="1:8" ht="27" customHeight="1" x14ac:dyDescent="0.2">
      <c r="A1846" s="31" t="s">
        <v>2826</v>
      </c>
      <c r="B1846" s="32" t="s">
        <v>690</v>
      </c>
      <c r="C1846" s="32" t="s">
        <v>779</v>
      </c>
      <c r="D1846" s="32" t="s">
        <v>2829</v>
      </c>
      <c r="E1846" s="33" t="s">
        <v>780</v>
      </c>
      <c r="F1846" s="34">
        <v>508395</v>
      </c>
      <c r="G1846" s="34">
        <v>509158</v>
      </c>
      <c r="H1846" s="35" t="s">
        <v>829</v>
      </c>
    </row>
    <row r="1847" spans="1:8" ht="27" customHeight="1" x14ac:dyDescent="0.2">
      <c r="A1847" s="31" t="s">
        <v>2826</v>
      </c>
      <c r="B1847" s="32" t="s">
        <v>690</v>
      </c>
      <c r="C1847" s="32" t="s">
        <v>782</v>
      </c>
      <c r="D1847" s="32" t="s">
        <v>2830</v>
      </c>
      <c r="E1847" s="33" t="s">
        <v>784</v>
      </c>
      <c r="F1847" s="34">
        <v>5076760</v>
      </c>
      <c r="G1847" s="34">
        <v>5084375</v>
      </c>
      <c r="H1847" s="35" t="s">
        <v>829</v>
      </c>
    </row>
    <row r="1848" spans="1:8" ht="27" customHeight="1" x14ac:dyDescent="0.2">
      <c r="A1848" s="31" t="s">
        <v>2831</v>
      </c>
      <c r="B1848" s="32" t="s">
        <v>2832</v>
      </c>
      <c r="C1848" s="32" t="s">
        <v>766</v>
      </c>
      <c r="D1848" s="32" t="s">
        <v>2833</v>
      </c>
      <c r="E1848" s="33" t="s">
        <v>768</v>
      </c>
      <c r="F1848" s="34">
        <v>2058500</v>
      </c>
      <c r="G1848" s="34">
        <v>2062500</v>
      </c>
      <c r="H1848" s="35" t="s">
        <v>2834</v>
      </c>
    </row>
    <row r="1849" spans="1:8" ht="27" customHeight="1" x14ac:dyDescent="0.2">
      <c r="A1849" s="31" t="s">
        <v>2831</v>
      </c>
      <c r="B1849" s="32" t="s">
        <v>2832</v>
      </c>
      <c r="C1849" s="32" t="s">
        <v>770</v>
      </c>
      <c r="D1849" s="32" t="s">
        <v>770</v>
      </c>
      <c r="E1849" s="33" t="s">
        <v>772</v>
      </c>
      <c r="F1849" s="34">
        <v>4904842</v>
      </c>
      <c r="G1849" s="34">
        <v>3511842</v>
      </c>
      <c r="H1849" s="35" t="s">
        <v>2835</v>
      </c>
    </row>
    <row r="1850" spans="1:8" ht="27" customHeight="1" x14ac:dyDescent="0.2">
      <c r="A1850" s="31" t="s">
        <v>2831</v>
      </c>
      <c r="B1850" s="32" t="s">
        <v>2832</v>
      </c>
      <c r="C1850" s="32" t="s">
        <v>884</v>
      </c>
      <c r="D1850" s="32" t="s">
        <v>2836</v>
      </c>
      <c r="E1850" s="33" t="s">
        <v>885</v>
      </c>
      <c r="F1850" s="34">
        <v>1316301</v>
      </c>
      <c r="G1850" s="34">
        <v>1019801</v>
      </c>
      <c r="H1850" s="35" t="s">
        <v>2837</v>
      </c>
    </row>
    <row r="1851" spans="1:8" ht="27" customHeight="1" x14ac:dyDescent="0.2">
      <c r="A1851" s="31" t="s">
        <v>2831</v>
      </c>
      <c r="B1851" s="32" t="s">
        <v>2832</v>
      </c>
      <c r="C1851" s="32" t="s">
        <v>844</v>
      </c>
      <c r="D1851" s="32" t="s">
        <v>2838</v>
      </c>
      <c r="E1851" s="33" t="s">
        <v>846</v>
      </c>
      <c r="F1851" s="34">
        <v>2973534</v>
      </c>
      <c r="G1851" s="34">
        <v>2547034</v>
      </c>
      <c r="H1851" s="35" t="s">
        <v>2839</v>
      </c>
    </row>
    <row r="1852" spans="1:8" ht="27" customHeight="1" x14ac:dyDescent="0.2">
      <c r="A1852" s="31" t="s">
        <v>2831</v>
      </c>
      <c r="B1852" s="32" t="s">
        <v>2832</v>
      </c>
      <c r="C1852" s="32" t="s">
        <v>860</v>
      </c>
      <c r="D1852" s="32" t="s">
        <v>2840</v>
      </c>
      <c r="E1852" s="33" t="s">
        <v>861</v>
      </c>
      <c r="F1852" s="34">
        <v>1154444</v>
      </c>
      <c r="G1852" s="34">
        <v>1051444</v>
      </c>
      <c r="H1852" s="35" t="s">
        <v>859</v>
      </c>
    </row>
    <row r="1853" spans="1:8" ht="27" customHeight="1" x14ac:dyDescent="0.2">
      <c r="A1853" s="31" t="s">
        <v>2831</v>
      </c>
      <c r="B1853" s="32" t="s">
        <v>2832</v>
      </c>
      <c r="C1853" s="32" t="s">
        <v>796</v>
      </c>
      <c r="D1853" s="32" t="s">
        <v>862</v>
      </c>
      <c r="E1853" s="33" t="s">
        <v>823</v>
      </c>
      <c r="F1853" s="34">
        <v>3506300</v>
      </c>
      <c r="G1853" s="34">
        <v>3512800</v>
      </c>
      <c r="H1853" s="35" t="s">
        <v>859</v>
      </c>
    </row>
    <row r="1854" spans="1:8" ht="27" customHeight="1" x14ac:dyDescent="0.2">
      <c r="A1854" s="31" t="s">
        <v>2831</v>
      </c>
      <c r="B1854" s="32" t="s">
        <v>2832</v>
      </c>
      <c r="C1854" s="32" t="s">
        <v>779</v>
      </c>
      <c r="D1854" s="32" t="s">
        <v>779</v>
      </c>
      <c r="E1854" s="33" t="s">
        <v>780</v>
      </c>
      <c r="F1854" s="34">
        <v>252545</v>
      </c>
      <c r="G1854" s="34">
        <v>252995</v>
      </c>
      <c r="H1854" s="35" t="s">
        <v>859</v>
      </c>
    </row>
    <row r="1855" spans="1:8" ht="27" customHeight="1" x14ac:dyDescent="0.2">
      <c r="A1855" s="31" t="s">
        <v>2831</v>
      </c>
      <c r="B1855" s="32" t="s">
        <v>2832</v>
      </c>
      <c r="C1855" s="32" t="s">
        <v>782</v>
      </c>
      <c r="D1855" s="32" t="s">
        <v>1975</v>
      </c>
      <c r="E1855" s="33" t="s">
        <v>784</v>
      </c>
      <c r="F1855" s="34">
        <v>1404494</v>
      </c>
      <c r="G1855" s="34">
        <v>976994</v>
      </c>
      <c r="H1855" s="35" t="s">
        <v>2841</v>
      </c>
    </row>
    <row r="1856" spans="1:8" ht="27" customHeight="1" x14ac:dyDescent="0.2">
      <c r="A1856" s="31" t="s">
        <v>2842</v>
      </c>
      <c r="B1856" s="32" t="s">
        <v>2843</v>
      </c>
      <c r="C1856" s="32" t="s">
        <v>770</v>
      </c>
      <c r="D1856" s="32" t="s">
        <v>830</v>
      </c>
      <c r="E1856" s="33" t="s">
        <v>772</v>
      </c>
      <c r="F1856" s="34">
        <v>453218</v>
      </c>
      <c r="G1856" s="34">
        <v>453218</v>
      </c>
      <c r="H1856" s="35" t="s">
        <v>2844</v>
      </c>
    </row>
    <row r="1857" spans="1:8" ht="27" customHeight="1" x14ac:dyDescent="0.2">
      <c r="A1857" s="31" t="s">
        <v>2842</v>
      </c>
      <c r="B1857" s="32" t="s">
        <v>2843</v>
      </c>
      <c r="C1857" s="32" t="s">
        <v>796</v>
      </c>
      <c r="D1857" s="32" t="s">
        <v>2845</v>
      </c>
      <c r="E1857" s="33" t="s">
        <v>772</v>
      </c>
      <c r="F1857" s="34">
        <v>1193154</v>
      </c>
      <c r="G1857" s="34">
        <v>1193154</v>
      </c>
      <c r="H1857" s="35" t="s">
        <v>2846</v>
      </c>
    </row>
    <row r="1858" spans="1:8" ht="27" customHeight="1" x14ac:dyDescent="0.2">
      <c r="A1858" s="31" t="s">
        <v>2842</v>
      </c>
      <c r="B1858" s="32" t="s">
        <v>2843</v>
      </c>
      <c r="C1858" s="32" t="s">
        <v>779</v>
      </c>
      <c r="D1858" s="32" t="s">
        <v>826</v>
      </c>
      <c r="E1858" s="33" t="s">
        <v>780</v>
      </c>
      <c r="F1858" s="34">
        <v>187190</v>
      </c>
      <c r="G1858" s="34">
        <v>187190</v>
      </c>
      <c r="H1858" s="35" t="s">
        <v>2847</v>
      </c>
    </row>
    <row r="1859" spans="1:8" ht="27" customHeight="1" x14ac:dyDescent="0.2">
      <c r="A1859" s="31" t="s">
        <v>2842</v>
      </c>
      <c r="B1859" s="32" t="s">
        <v>2843</v>
      </c>
      <c r="C1859" s="32" t="s">
        <v>782</v>
      </c>
      <c r="D1859" s="32" t="s">
        <v>782</v>
      </c>
      <c r="E1859" s="33" t="s">
        <v>784</v>
      </c>
      <c r="F1859" s="34">
        <v>291972</v>
      </c>
      <c r="G1859" s="34">
        <v>291972</v>
      </c>
      <c r="H1859" s="35" t="s">
        <v>2848</v>
      </c>
    </row>
    <row r="1860" spans="1:8" ht="27" customHeight="1" x14ac:dyDescent="0.2">
      <c r="A1860" s="31" t="s">
        <v>2849</v>
      </c>
      <c r="B1860" s="32" t="s">
        <v>420</v>
      </c>
      <c r="C1860" s="32" t="s">
        <v>763</v>
      </c>
      <c r="D1860" s="32" t="s">
        <v>2576</v>
      </c>
      <c r="E1860" s="33" t="s">
        <v>764</v>
      </c>
      <c r="F1860" s="34">
        <v>5462000</v>
      </c>
      <c r="G1860" s="34">
        <v>2462000</v>
      </c>
      <c r="H1860" s="35" t="s">
        <v>2850</v>
      </c>
    </row>
    <row r="1861" spans="1:8" ht="27" customHeight="1" x14ac:dyDescent="0.2">
      <c r="A1861" s="31" t="s">
        <v>2849</v>
      </c>
      <c r="B1861" s="32" t="s">
        <v>420</v>
      </c>
      <c r="C1861" s="32" t="s">
        <v>766</v>
      </c>
      <c r="D1861" s="32" t="s">
        <v>832</v>
      </c>
      <c r="E1861" s="33" t="s">
        <v>768</v>
      </c>
      <c r="F1861" s="34">
        <v>1980625</v>
      </c>
      <c r="G1861" s="34">
        <v>1980625</v>
      </c>
      <c r="H1861" s="35" t="s">
        <v>2851</v>
      </c>
    </row>
    <row r="1862" spans="1:8" ht="27" customHeight="1" x14ac:dyDescent="0.2">
      <c r="A1862" s="31" t="s">
        <v>2849</v>
      </c>
      <c r="B1862" s="32" t="s">
        <v>420</v>
      </c>
      <c r="C1862" s="32" t="s">
        <v>770</v>
      </c>
      <c r="D1862" s="32" t="s">
        <v>810</v>
      </c>
      <c r="E1862" s="33" t="s">
        <v>772</v>
      </c>
      <c r="F1862" s="34">
        <v>4044874</v>
      </c>
      <c r="G1862" s="34">
        <v>4061862</v>
      </c>
      <c r="H1862" s="35" t="s">
        <v>2852</v>
      </c>
    </row>
    <row r="1863" spans="1:8" ht="27" customHeight="1" x14ac:dyDescent="0.2">
      <c r="A1863" s="31" t="s">
        <v>2849</v>
      </c>
      <c r="B1863" s="32" t="s">
        <v>420</v>
      </c>
      <c r="C1863" s="32" t="s">
        <v>796</v>
      </c>
      <c r="D1863" s="32" t="s">
        <v>811</v>
      </c>
      <c r="E1863" s="33" t="s">
        <v>823</v>
      </c>
      <c r="F1863" s="34">
        <v>11850104</v>
      </c>
      <c r="G1863" s="34">
        <v>11895104</v>
      </c>
      <c r="H1863" s="35" t="s">
        <v>2853</v>
      </c>
    </row>
    <row r="1864" spans="1:8" ht="27" customHeight="1" x14ac:dyDescent="0.2">
      <c r="A1864" s="31" t="s">
        <v>2849</v>
      </c>
      <c r="B1864" s="32" t="s">
        <v>420</v>
      </c>
      <c r="C1864" s="32" t="s">
        <v>779</v>
      </c>
      <c r="D1864" s="32" t="s">
        <v>826</v>
      </c>
      <c r="E1864" s="33" t="s">
        <v>780</v>
      </c>
      <c r="F1864" s="34">
        <v>952391</v>
      </c>
      <c r="G1864" s="34">
        <v>956391</v>
      </c>
      <c r="H1864" s="35" t="s">
        <v>2854</v>
      </c>
    </row>
    <row r="1865" spans="1:8" ht="27" customHeight="1" x14ac:dyDescent="0.2">
      <c r="A1865" s="31" t="s">
        <v>2849</v>
      </c>
      <c r="B1865" s="32" t="s">
        <v>420</v>
      </c>
      <c r="C1865" s="32" t="s">
        <v>782</v>
      </c>
      <c r="D1865" s="32" t="s">
        <v>813</v>
      </c>
      <c r="E1865" s="33" t="s">
        <v>784</v>
      </c>
      <c r="F1865" s="34">
        <v>5064734</v>
      </c>
      <c r="G1865" s="34">
        <v>5086732</v>
      </c>
      <c r="H1865" s="35" t="s">
        <v>2855</v>
      </c>
    </row>
    <row r="1866" spans="1:8" ht="27" customHeight="1" x14ac:dyDescent="0.2">
      <c r="A1866" s="31" t="s">
        <v>2856</v>
      </c>
      <c r="B1866" s="32" t="s">
        <v>2857</v>
      </c>
      <c r="C1866" s="32" t="s">
        <v>763</v>
      </c>
      <c r="D1866" s="32" t="s">
        <v>2487</v>
      </c>
      <c r="E1866" s="33" t="s">
        <v>764</v>
      </c>
      <c r="F1866" s="34">
        <v>0</v>
      </c>
      <c r="G1866" s="34">
        <v>700000</v>
      </c>
      <c r="H1866" s="35" t="s">
        <v>2858</v>
      </c>
    </row>
    <row r="1867" spans="1:8" ht="27" customHeight="1" x14ac:dyDescent="0.2">
      <c r="A1867" s="31" t="s">
        <v>2856</v>
      </c>
      <c r="B1867" s="32" t="s">
        <v>2857</v>
      </c>
      <c r="C1867" s="32" t="s">
        <v>770</v>
      </c>
      <c r="D1867" s="32" t="s">
        <v>810</v>
      </c>
      <c r="E1867" s="33" t="s">
        <v>772</v>
      </c>
      <c r="F1867" s="34">
        <v>3482496</v>
      </c>
      <c r="G1867" s="34">
        <v>3482496</v>
      </c>
      <c r="H1867" s="35" t="s">
        <v>1261</v>
      </c>
    </row>
    <row r="1868" spans="1:8" ht="27" customHeight="1" x14ac:dyDescent="0.2">
      <c r="A1868" s="31" t="s">
        <v>2856</v>
      </c>
      <c r="B1868" s="32" t="s">
        <v>2857</v>
      </c>
      <c r="C1868" s="32" t="s">
        <v>860</v>
      </c>
      <c r="D1868" s="32" t="s">
        <v>911</v>
      </c>
      <c r="E1868" s="33" t="s">
        <v>861</v>
      </c>
      <c r="F1868" s="34">
        <v>131765</v>
      </c>
      <c r="G1868" s="34">
        <v>70765</v>
      </c>
      <c r="H1868" s="35" t="s">
        <v>1261</v>
      </c>
    </row>
    <row r="1869" spans="1:8" ht="27" customHeight="1" x14ac:dyDescent="0.2">
      <c r="A1869" s="31" t="s">
        <v>2856</v>
      </c>
      <c r="B1869" s="32" t="s">
        <v>2857</v>
      </c>
      <c r="C1869" s="32" t="s">
        <v>796</v>
      </c>
      <c r="D1869" s="32" t="s">
        <v>811</v>
      </c>
      <c r="E1869" s="33" t="s">
        <v>823</v>
      </c>
      <c r="F1869" s="34">
        <v>1730384</v>
      </c>
      <c r="G1869" s="34">
        <v>1730384</v>
      </c>
      <c r="H1869" s="35" t="s">
        <v>1261</v>
      </c>
    </row>
    <row r="1870" spans="1:8" ht="27" customHeight="1" x14ac:dyDescent="0.2">
      <c r="A1870" s="31" t="s">
        <v>2856</v>
      </c>
      <c r="B1870" s="32" t="s">
        <v>2857</v>
      </c>
      <c r="C1870" s="32" t="s">
        <v>798</v>
      </c>
      <c r="D1870" s="32" t="s">
        <v>1014</v>
      </c>
      <c r="E1870" s="33" t="s">
        <v>800</v>
      </c>
      <c r="F1870" s="34">
        <v>4966188</v>
      </c>
      <c r="G1870" s="34">
        <v>4356188</v>
      </c>
      <c r="H1870" s="35" t="s">
        <v>2859</v>
      </c>
    </row>
    <row r="1871" spans="1:8" ht="27" customHeight="1" x14ac:dyDescent="0.2">
      <c r="A1871" s="31" t="s">
        <v>2856</v>
      </c>
      <c r="B1871" s="32" t="s">
        <v>2857</v>
      </c>
      <c r="C1871" s="32" t="s">
        <v>782</v>
      </c>
      <c r="D1871" s="32" t="s">
        <v>813</v>
      </c>
      <c r="E1871" s="33" t="s">
        <v>784</v>
      </c>
      <c r="F1871" s="34">
        <v>955311</v>
      </c>
      <c r="G1871" s="34">
        <v>955311</v>
      </c>
      <c r="H1871" s="35" t="s">
        <v>1261</v>
      </c>
    </row>
    <row r="1872" spans="1:8" ht="27" customHeight="1" x14ac:dyDescent="0.2">
      <c r="A1872" s="31" t="s">
        <v>2860</v>
      </c>
      <c r="B1872" s="32" t="s">
        <v>2861</v>
      </c>
      <c r="C1872" s="32" t="s">
        <v>763</v>
      </c>
      <c r="D1872" s="32" t="s">
        <v>2862</v>
      </c>
      <c r="E1872" s="33" t="s">
        <v>764</v>
      </c>
      <c r="F1872" s="34">
        <v>1849822</v>
      </c>
      <c r="G1872" s="34">
        <v>0</v>
      </c>
      <c r="H1872" s="35" t="s">
        <v>2863</v>
      </c>
    </row>
    <row r="1873" spans="1:8" ht="27" customHeight="1" x14ac:dyDescent="0.2">
      <c r="A1873" s="31" t="s">
        <v>2860</v>
      </c>
      <c r="B1873" s="32" t="s">
        <v>2861</v>
      </c>
      <c r="C1873" s="32" t="s">
        <v>763</v>
      </c>
      <c r="D1873" s="32" t="s">
        <v>2864</v>
      </c>
      <c r="E1873" s="33" t="s">
        <v>764</v>
      </c>
      <c r="F1873" s="34">
        <v>0</v>
      </c>
      <c r="G1873" s="34">
        <v>2853252</v>
      </c>
      <c r="H1873" s="35" t="s">
        <v>2863</v>
      </c>
    </row>
    <row r="1874" spans="1:8" ht="27" customHeight="1" x14ac:dyDescent="0.2">
      <c r="A1874" s="31" t="s">
        <v>2860</v>
      </c>
      <c r="B1874" s="32" t="s">
        <v>2861</v>
      </c>
      <c r="C1874" s="32" t="s">
        <v>770</v>
      </c>
      <c r="D1874" s="32" t="s">
        <v>770</v>
      </c>
      <c r="E1874" s="33" t="s">
        <v>772</v>
      </c>
      <c r="F1874" s="34">
        <v>1938162</v>
      </c>
      <c r="G1874" s="34">
        <v>1888162</v>
      </c>
      <c r="H1874" s="35" t="s">
        <v>2865</v>
      </c>
    </row>
    <row r="1875" spans="1:8" ht="27" customHeight="1" x14ac:dyDescent="0.2">
      <c r="A1875" s="31" t="s">
        <v>2860</v>
      </c>
      <c r="B1875" s="32" t="s">
        <v>2861</v>
      </c>
      <c r="C1875" s="32" t="s">
        <v>773</v>
      </c>
      <c r="D1875" s="32" t="s">
        <v>973</v>
      </c>
      <c r="E1875" s="33" t="s">
        <v>775</v>
      </c>
      <c r="F1875" s="34">
        <v>129257</v>
      </c>
      <c r="G1875" s="34">
        <v>129257</v>
      </c>
      <c r="H1875" s="35" t="s">
        <v>859</v>
      </c>
    </row>
    <row r="1876" spans="1:8" ht="27" customHeight="1" x14ac:dyDescent="0.2">
      <c r="A1876" s="31" t="s">
        <v>2860</v>
      </c>
      <c r="B1876" s="32" t="s">
        <v>2861</v>
      </c>
      <c r="C1876" s="32" t="s">
        <v>796</v>
      </c>
      <c r="D1876" s="32" t="s">
        <v>796</v>
      </c>
      <c r="E1876" s="33" t="s">
        <v>823</v>
      </c>
      <c r="F1876" s="34">
        <v>1702786</v>
      </c>
      <c r="G1876" s="34">
        <v>1652786</v>
      </c>
      <c r="H1876" s="35" t="s">
        <v>2866</v>
      </c>
    </row>
    <row r="1877" spans="1:8" ht="27" customHeight="1" x14ac:dyDescent="0.2">
      <c r="A1877" s="31" t="s">
        <v>2860</v>
      </c>
      <c r="B1877" s="32" t="s">
        <v>2861</v>
      </c>
      <c r="C1877" s="32" t="s">
        <v>779</v>
      </c>
      <c r="D1877" s="32" t="s">
        <v>779</v>
      </c>
      <c r="E1877" s="33" t="s">
        <v>780</v>
      </c>
      <c r="F1877" s="34">
        <v>237385</v>
      </c>
      <c r="G1877" s="34">
        <v>237385</v>
      </c>
      <c r="H1877" s="35" t="s">
        <v>859</v>
      </c>
    </row>
    <row r="1878" spans="1:8" ht="27" customHeight="1" x14ac:dyDescent="0.2">
      <c r="A1878" s="31" t="s">
        <v>2867</v>
      </c>
      <c r="B1878" s="32" t="s">
        <v>596</v>
      </c>
      <c r="C1878" s="32" t="s">
        <v>763</v>
      </c>
      <c r="D1878" s="32" t="s">
        <v>2868</v>
      </c>
      <c r="E1878" s="33" t="s">
        <v>764</v>
      </c>
      <c r="F1878" s="34">
        <v>297228</v>
      </c>
      <c r="G1878" s="34">
        <v>0</v>
      </c>
      <c r="H1878" s="35" t="s">
        <v>2869</v>
      </c>
    </row>
    <row r="1879" spans="1:8" ht="27" customHeight="1" x14ac:dyDescent="0.2">
      <c r="A1879" s="31" t="s">
        <v>2867</v>
      </c>
      <c r="B1879" s="32" t="s">
        <v>596</v>
      </c>
      <c r="C1879" s="32" t="s">
        <v>763</v>
      </c>
      <c r="D1879" s="32" t="s">
        <v>2870</v>
      </c>
      <c r="E1879" s="33" t="s">
        <v>764</v>
      </c>
      <c r="F1879" s="34">
        <v>5545039</v>
      </c>
      <c r="G1879" s="34">
        <v>4497017</v>
      </c>
      <c r="H1879" s="35" t="s">
        <v>2871</v>
      </c>
    </row>
    <row r="1880" spans="1:8" ht="27" customHeight="1" x14ac:dyDescent="0.2">
      <c r="A1880" s="31" t="s">
        <v>2867</v>
      </c>
      <c r="B1880" s="32" t="s">
        <v>596</v>
      </c>
      <c r="C1880" s="32" t="s">
        <v>770</v>
      </c>
      <c r="D1880" s="32" t="s">
        <v>2872</v>
      </c>
      <c r="E1880" s="33" t="s">
        <v>772</v>
      </c>
      <c r="F1880" s="34">
        <v>3636052</v>
      </c>
      <c r="G1880" s="34">
        <v>3639552</v>
      </c>
      <c r="H1880" s="35" t="s">
        <v>829</v>
      </c>
    </row>
    <row r="1881" spans="1:8" ht="27" customHeight="1" x14ac:dyDescent="0.2">
      <c r="A1881" s="31" t="s">
        <v>2867</v>
      </c>
      <c r="B1881" s="32" t="s">
        <v>596</v>
      </c>
      <c r="C1881" s="32" t="s">
        <v>860</v>
      </c>
      <c r="D1881" s="32" t="s">
        <v>1174</v>
      </c>
      <c r="E1881" s="33" t="s">
        <v>861</v>
      </c>
      <c r="F1881" s="34">
        <v>1604602</v>
      </c>
      <c r="G1881" s="34">
        <v>1605602</v>
      </c>
      <c r="H1881" s="35" t="s">
        <v>829</v>
      </c>
    </row>
    <row r="1882" spans="1:8" ht="27" customHeight="1" x14ac:dyDescent="0.2">
      <c r="A1882" s="31" t="s">
        <v>2867</v>
      </c>
      <c r="B1882" s="32" t="s">
        <v>596</v>
      </c>
      <c r="C1882" s="32" t="s">
        <v>796</v>
      </c>
      <c r="D1882" s="32" t="s">
        <v>1463</v>
      </c>
      <c r="E1882" s="33" t="s">
        <v>823</v>
      </c>
      <c r="F1882" s="34">
        <v>3654185</v>
      </c>
      <c r="G1882" s="34">
        <v>3062185</v>
      </c>
      <c r="H1882" s="35" t="s">
        <v>2873</v>
      </c>
    </row>
    <row r="1883" spans="1:8" ht="27" customHeight="1" x14ac:dyDescent="0.2">
      <c r="A1883" s="31" t="s">
        <v>2867</v>
      </c>
      <c r="B1883" s="32" t="s">
        <v>596</v>
      </c>
      <c r="C1883" s="32" t="s">
        <v>779</v>
      </c>
      <c r="D1883" s="32" t="s">
        <v>826</v>
      </c>
      <c r="E1883" s="33" t="s">
        <v>780</v>
      </c>
      <c r="F1883" s="34">
        <v>2074871</v>
      </c>
      <c r="G1883" s="34">
        <v>2049871</v>
      </c>
      <c r="H1883" s="35" t="s">
        <v>2874</v>
      </c>
    </row>
    <row r="1884" spans="1:8" ht="27" customHeight="1" x14ac:dyDescent="0.2">
      <c r="A1884" s="31" t="s">
        <v>2867</v>
      </c>
      <c r="B1884" s="32" t="s">
        <v>596</v>
      </c>
      <c r="C1884" s="32" t="s">
        <v>782</v>
      </c>
      <c r="D1884" s="32" t="s">
        <v>2875</v>
      </c>
      <c r="E1884" s="33" t="s">
        <v>784</v>
      </c>
      <c r="F1884" s="34">
        <v>1578397</v>
      </c>
      <c r="G1884" s="34">
        <v>1228397</v>
      </c>
      <c r="H1884" s="35" t="s">
        <v>2876</v>
      </c>
    </row>
    <row r="1885" spans="1:8" ht="27" customHeight="1" x14ac:dyDescent="0.2">
      <c r="A1885" s="31" t="s">
        <v>2877</v>
      </c>
      <c r="B1885" s="32" t="s">
        <v>2878</v>
      </c>
      <c r="C1885" s="32" t="s">
        <v>763</v>
      </c>
      <c r="D1885" s="32" t="s">
        <v>2879</v>
      </c>
      <c r="E1885" s="33" t="s">
        <v>764</v>
      </c>
      <c r="F1885" s="34">
        <v>3619885</v>
      </c>
      <c r="G1885" s="34">
        <v>2119885</v>
      </c>
      <c r="H1885" s="35" t="s">
        <v>2880</v>
      </c>
    </row>
    <row r="1886" spans="1:8" ht="27" customHeight="1" x14ac:dyDescent="0.2">
      <c r="A1886" s="31" t="s">
        <v>2877</v>
      </c>
      <c r="B1886" s="32" t="s">
        <v>2878</v>
      </c>
      <c r="C1886" s="32" t="s">
        <v>763</v>
      </c>
      <c r="D1886" s="32" t="s">
        <v>2881</v>
      </c>
      <c r="E1886" s="33" t="s">
        <v>764</v>
      </c>
      <c r="F1886" s="34">
        <v>2500000</v>
      </c>
      <c r="G1886" s="34">
        <v>0</v>
      </c>
      <c r="H1886" s="35" t="s">
        <v>2880</v>
      </c>
    </row>
    <row r="1887" spans="1:8" ht="27" customHeight="1" x14ac:dyDescent="0.2">
      <c r="A1887" s="31" t="s">
        <v>2877</v>
      </c>
      <c r="B1887" s="32" t="s">
        <v>2878</v>
      </c>
      <c r="C1887" s="32" t="s">
        <v>770</v>
      </c>
      <c r="D1887" s="32" t="s">
        <v>1011</v>
      </c>
      <c r="E1887" s="33" t="s">
        <v>772</v>
      </c>
      <c r="F1887" s="34">
        <v>14612714</v>
      </c>
      <c r="G1887" s="34">
        <v>13812714</v>
      </c>
      <c r="H1887" s="35" t="s">
        <v>2882</v>
      </c>
    </row>
    <row r="1888" spans="1:8" ht="27" customHeight="1" x14ac:dyDescent="0.2">
      <c r="A1888" s="31" t="s">
        <v>2877</v>
      </c>
      <c r="B1888" s="32" t="s">
        <v>2878</v>
      </c>
      <c r="C1888" s="32" t="s">
        <v>796</v>
      </c>
      <c r="D1888" s="32" t="s">
        <v>822</v>
      </c>
      <c r="E1888" s="33" t="s">
        <v>823</v>
      </c>
      <c r="F1888" s="34">
        <v>11324930</v>
      </c>
      <c r="G1888" s="34">
        <v>10224930</v>
      </c>
      <c r="H1888" s="35" t="s">
        <v>2882</v>
      </c>
    </row>
    <row r="1889" spans="1:8" ht="27" customHeight="1" x14ac:dyDescent="0.2">
      <c r="A1889" s="31" t="s">
        <v>2877</v>
      </c>
      <c r="B1889" s="32" t="s">
        <v>2878</v>
      </c>
      <c r="C1889" s="32" t="s">
        <v>779</v>
      </c>
      <c r="D1889" s="32" t="s">
        <v>779</v>
      </c>
      <c r="E1889" s="33" t="s">
        <v>780</v>
      </c>
      <c r="F1889" s="34">
        <v>822901</v>
      </c>
      <c r="G1889" s="34">
        <v>622901</v>
      </c>
      <c r="H1889" s="35" t="s">
        <v>2882</v>
      </c>
    </row>
    <row r="1890" spans="1:8" ht="27" customHeight="1" x14ac:dyDescent="0.2">
      <c r="A1890" s="31" t="s">
        <v>2877</v>
      </c>
      <c r="B1890" s="32" t="s">
        <v>2878</v>
      </c>
      <c r="C1890" s="32" t="s">
        <v>782</v>
      </c>
      <c r="D1890" s="32" t="s">
        <v>1975</v>
      </c>
      <c r="E1890" s="33" t="s">
        <v>784</v>
      </c>
      <c r="F1890" s="34">
        <v>7183184</v>
      </c>
      <c r="G1890" s="34">
        <v>6183184</v>
      </c>
      <c r="H1890" s="35" t="s">
        <v>2882</v>
      </c>
    </row>
    <row r="1891" spans="1:8" ht="27" customHeight="1" x14ac:dyDescent="0.2">
      <c r="A1891" s="31" t="s">
        <v>2883</v>
      </c>
      <c r="B1891" s="32" t="s">
        <v>2884</v>
      </c>
      <c r="C1891" s="32" t="s">
        <v>763</v>
      </c>
      <c r="D1891" s="32" t="s">
        <v>1543</v>
      </c>
      <c r="E1891" s="33" t="s">
        <v>764</v>
      </c>
      <c r="F1891" s="34">
        <v>5021263</v>
      </c>
      <c r="G1891" s="34">
        <v>0</v>
      </c>
      <c r="H1891" s="35" t="s">
        <v>2885</v>
      </c>
    </row>
    <row r="1892" spans="1:8" ht="27" customHeight="1" x14ac:dyDescent="0.2">
      <c r="A1892" s="31" t="s">
        <v>2883</v>
      </c>
      <c r="B1892" s="32" t="s">
        <v>2884</v>
      </c>
      <c r="C1892" s="32" t="s">
        <v>763</v>
      </c>
      <c r="D1892" s="32" t="s">
        <v>1545</v>
      </c>
      <c r="E1892" s="33" t="s">
        <v>764</v>
      </c>
      <c r="F1892" s="34">
        <v>4612675</v>
      </c>
      <c r="G1892" s="34">
        <v>5140000</v>
      </c>
      <c r="H1892" s="35" t="s">
        <v>2885</v>
      </c>
    </row>
    <row r="1893" spans="1:8" ht="27" customHeight="1" x14ac:dyDescent="0.2">
      <c r="A1893" s="31" t="s">
        <v>2883</v>
      </c>
      <c r="B1893" s="32" t="s">
        <v>2884</v>
      </c>
      <c r="C1893" s="32" t="s">
        <v>763</v>
      </c>
      <c r="D1893" s="32" t="s">
        <v>2886</v>
      </c>
      <c r="E1893" s="33" t="s">
        <v>764</v>
      </c>
      <c r="F1893" s="34">
        <v>1457425</v>
      </c>
      <c r="G1893" s="34">
        <v>0</v>
      </c>
      <c r="H1893" s="35" t="s">
        <v>2885</v>
      </c>
    </row>
    <row r="1894" spans="1:8" ht="27" customHeight="1" x14ac:dyDescent="0.2">
      <c r="A1894" s="31" t="s">
        <v>2883</v>
      </c>
      <c r="B1894" s="32" t="s">
        <v>2884</v>
      </c>
      <c r="C1894" s="32" t="s">
        <v>770</v>
      </c>
      <c r="D1894" s="32" t="s">
        <v>919</v>
      </c>
      <c r="E1894" s="33" t="s">
        <v>772</v>
      </c>
      <c r="F1894" s="34">
        <v>2335565</v>
      </c>
      <c r="G1894" s="34">
        <v>2300000</v>
      </c>
      <c r="H1894" s="35" t="s">
        <v>2887</v>
      </c>
    </row>
    <row r="1895" spans="1:8" ht="27" customHeight="1" x14ac:dyDescent="0.2">
      <c r="A1895" s="31" t="s">
        <v>2883</v>
      </c>
      <c r="B1895" s="32" t="s">
        <v>2884</v>
      </c>
      <c r="C1895" s="32" t="s">
        <v>796</v>
      </c>
      <c r="D1895" s="32" t="s">
        <v>1095</v>
      </c>
      <c r="E1895" s="33" t="s">
        <v>772</v>
      </c>
      <c r="F1895" s="34">
        <v>6022934</v>
      </c>
      <c r="G1895" s="34">
        <v>6023000</v>
      </c>
      <c r="H1895" s="35" t="s">
        <v>2888</v>
      </c>
    </row>
    <row r="1896" spans="1:8" ht="27" customHeight="1" x14ac:dyDescent="0.2">
      <c r="A1896" s="31" t="s">
        <v>2883</v>
      </c>
      <c r="B1896" s="32" t="s">
        <v>2884</v>
      </c>
      <c r="C1896" s="32" t="s">
        <v>779</v>
      </c>
      <c r="D1896" s="32" t="s">
        <v>826</v>
      </c>
      <c r="E1896" s="33" t="s">
        <v>780</v>
      </c>
      <c r="F1896" s="34">
        <v>329508</v>
      </c>
      <c r="G1896" s="34">
        <v>329000</v>
      </c>
      <c r="H1896" s="35" t="s">
        <v>2889</v>
      </c>
    </row>
    <row r="1897" spans="1:8" ht="27" customHeight="1" x14ac:dyDescent="0.2">
      <c r="A1897" s="31" t="s">
        <v>2883</v>
      </c>
      <c r="B1897" s="32" t="s">
        <v>2884</v>
      </c>
      <c r="C1897" s="32" t="s">
        <v>782</v>
      </c>
      <c r="D1897" s="32" t="s">
        <v>813</v>
      </c>
      <c r="E1897" s="33" t="s">
        <v>784</v>
      </c>
      <c r="F1897" s="34">
        <v>3066791</v>
      </c>
      <c r="G1897" s="34">
        <v>3067000</v>
      </c>
      <c r="H1897" s="35" t="s">
        <v>2890</v>
      </c>
    </row>
    <row r="1898" spans="1:8" ht="27" customHeight="1" x14ac:dyDescent="0.2">
      <c r="A1898" s="31" t="s">
        <v>2891</v>
      </c>
      <c r="B1898" s="32" t="s">
        <v>523</v>
      </c>
      <c r="C1898" s="32" t="s">
        <v>763</v>
      </c>
      <c r="D1898" s="32" t="s">
        <v>816</v>
      </c>
      <c r="E1898" s="33" t="s">
        <v>764</v>
      </c>
      <c r="F1898" s="34">
        <v>0</v>
      </c>
      <c r="G1898" s="34">
        <v>1000000</v>
      </c>
      <c r="H1898" s="35" t="s">
        <v>829</v>
      </c>
    </row>
    <row r="1899" spans="1:8" ht="27" customHeight="1" x14ac:dyDescent="0.2">
      <c r="A1899" s="31" t="s">
        <v>2891</v>
      </c>
      <c r="B1899" s="32" t="s">
        <v>523</v>
      </c>
      <c r="C1899" s="32" t="s">
        <v>770</v>
      </c>
      <c r="D1899" s="32" t="s">
        <v>1011</v>
      </c>
      <c r="E1899" s="33" t="s">
        <v>772</v>
      </c>
      <c r="F1899" s="34">
        <v>2996768</v>
      </c>
      <c r="G1899" s="34">
        <v>3000000</v>
      </c>
      <c r="H1899" s="35" t="s">
        <v>829</v>
      </c>
    </row>
    <row r="1900" spans="1:8" ht="27" customHeight="1" x14ac:dyDescent="0.2">
      <c r="A1900" s="31" t="s">
        <v>2891</v>
      </c>
      <c r="B1900" s="32" t="s">
        <v>523</v>
      </c>
      <c r="C1900" s="32" t="s">
        <v>831</v>
      </c>
      <c r="D1900" s="32" t="s">
        <v>2892</v>
      </c>
      <c r="E1900" s="33"/>
      <c r="F1900" s="34">
        <v>49651</v>
      </c>
      <c r="G1900" s="34">
        <v>100000</v>
      </c>
      <c r="H1900" s="35" t="s">
        <v>1916</v>
      </c>
    </row>
    <row r="1901" spans="1:8" ht="27" customHeight="1" x14ac:dyDescent="0.2">
      <c r="A1901" s="31" t="s">
        <v>2891</v>
      </c>
      <c r="B1901" s="32" t="s">
        <v>523</v>
      </c>
      <c r="C1901" s="32" t="s">
        <v>860</v>
      </c>
      <c r="D1901" s="32" t="s">
        <v>911</v>
      </c>
      <c r="E1901" s="33" t="s">
        <v>861</v>
      </c>
      <c r="F1901" s="34">
        <v>160631</v>
      </c>
      <c r="G1901" s="34">
        <v>320631</v>
      </c>
      <c r="H1901" s="35" t="s">
        <v>829</v>
      </c>
    </row>
    <row r="1902" spans="1:8" ht="27" customHeight="1" x14ac:dyDescent="0.2">
      <c r="A1902" s="31" t="s">
        <v>2891</v>
      </c>
      <c r="B1902" s="32" t="s">
        <v>523</v>
      </c>
      <c r="C1902" s="32" t="s">
        <v>796</v>
      </c>
      <c r="D1902" s="32" t="s">
        <v>835</v>
      </c>
      <c r="E1902" s="33" t="s">
        <v>772</v>
      </c>
      <c r="F1902" s="34">
        <v>2286730</v>
      </c>
      <c r="G1902" s="34">
        <v>3500000</v>
      </c>
      <c r="H1902" s="35" t="s">
        <v>829</v>
      </c>
    </row>
    <row r="1903" spans="1:8" ht="27" customHeight="1" x14ac:dyDescent="0.2">
      <c r="A1903" s="31" t="s">
        <v>2891</v>
      </c>
      <c r="B1903" s="32" t="s">
        <v>523</v>
      </c>
      <c r="C1903" s="32" t="s">
        <v>782</v>
      </c>
      <c r="D1903" s="32" t="s">
        <v>813</v>
      </c>
      <c r="E1903" s="33" t="s">
        <v>784</v>
      </c>
      <c r="F1903" s="34">
        <v>800000</v>
      </c>
      <c r="G1903" s="34">
        <v>850000</v>
      </c>
      <c r="H1903" s="35" t="s">
        <v>829</v>
      </c>
    </row>
    <row r="1904" spans="1:8" ht="27" customHeight="1" x14ac:dyDescent="0.2">
      <c r="A1904" s="31" t="s">
        <v>2893</v>
      </c>
      <c r="B1904" s="32" t="s">
        <v>2894</v>
      </c>
      <c r="C1904" s="32" t="s">
        <v>763</v>
      </c>
      <c r="D1904" s="32" t="s">
        <v>2895</v>
      </c>
      <c r="E1904" s="33" t="s">
        <v>764</v>
      </c>
      <c r="F1904" s="34">
        <v>1626145</v>
      </c>
      <c r="G1904" s="34">
        <v>148970</v>
      </c>
      <c r="H1904" s="35" t="s">
        <v>2896</v>
      </c>
    </row>
    <row r="1905" spans="1:8" ht="27" customHeight="1" x14ac:dyDescent="0.2">
      <c r="A1905" s="31" t="s">
        <v>2893</v>
      </c>
      <c r="B1905" s="32" t="s">
        <v>2894</v>
      </c>
      <c r="C1905" s="32" t="s">
        <v>766</v>
      </c>
      <c r="D1905" s="32" t="s">
        <v>818</v>
      </c>
      <c r="E1905" s="33" t="s">
        <v>768</v>
      </c>
      <c r="F1905" s="34">
        <v>222837</v>
      </c>
      <c r="G1905" s="34">
        <v>222837</v>
      </c>
      <c r="H1905" s="35" t="s">
        <v>2897</v>
      </c>
    </row>
    <row r="1906" spans="1:8" ht="27" customHeight="1" x14ac:dyDescent="0.2">
      <c r="A1906" s="31" t="s">
        <v>2893</v>
      </c>
      <c r="B1906" s="32" t="s">
        <v>2894</v>
      </c>
      <c r="C1906" s="32" t="s">
        <v>770</v>
      </c>
      <c r="D1906" s="32" t="s">
        <v>2898</v>
      </c>
      <c r="E1906" s="33" t="s">
        <v>772</v>
      </c>
      <c r="F1906" s="34">
        <v>347675</v>
      </c>
      <c r="G1906" s="34">
        <v>437674</v>
      </c>
      <c r="H1906" s="35" t="s">
        <v>2899</v>
      </c>
    </row>
    <row r="1907" spans="1:8" ht="27" customHeight="1" x14ac:dyDescent="0.2">
      <c r="A1907" s="31" t="s">
        <v>2893</v>
      </c>
      <c r="B1907" s="32" t="s">
        <v>2894</v>
      </c>
      <c r="C1907" s="32" t="s">
        <v>773</v>
      </c>
      <c r="D1907" s="32" t="s">
        <v>1025</v>
      </c>
      <c r="E1907" s="33" t="s">
        <v>775</v>
      </c>
      <c r="F1907" s="34">
        <v>501472</v>
      </c>
      <c r="G1907" s="34">
        <v>501472</v>
      </c>
      <c r="H1907" s="35" t="s">
        <v>1951</v>
      </c>
    </row>
    <row r="1908" spans="1:8" ht="27" customHeight="1" x14ac:dyDescent="0.2">
      <c r="A1908" s="31" t="s">
        <v>2893</v>
      </c>
      <c r="B1908" s="32" t="s">
        <v>2894</v>
      </c>
      <c r="C1908" s="32" t="s">
        <v>860</v>
      </c>
      <c r="D1908" s="32" t="s">
        <v>1027</v>
      </c>
      <c r="E1908" s="33" t="s">
        <v>861</v>
      </c>
      <c r="F1908" s="34">
        <v>204835</v>
      </c>
      <c r="G1908" s="34">
        <v>204835</v>
      </c>
      <c r="H1908" s="35" t="s">
        <v>1951</v>
      </c>
    </row>
    <row r="1909" spans="1:8" ht="27" customHeight="1" x14ac:dyDescent="0.2">
      <c r="A1909" s="31" t="s">
        <v>2893</v>
      </c>
      <c r="B1909" s="32" t="s">
        <v>2894</v>
      </c>
      <c r="C1909" s="32" t="s">
        <v>796</v>
      </c>
      <c r="D1909" s="32" t="s">
        <v>2900</v>
      </c>
      <c r="E1909" s="33" t="s">
        <v>772</v>
      </c>
      <c r="F1909" s="34">
        <v>3699522</v>
      </c>
      <c r="G1909" s="34">
        <v>3794692</v>
      </c>
      <c r="H1909" s="35" t="s">
        <v>2901</v>
      </c>
    </row>
    <row r="1910" spans="1:8" ht="27" customHeight="1" x14ac:dyDescent="0.2">
      <c r="A1910" s="31" t="s">
        <v>2893</v>
      </c>
      <c r="B1910" s="32" t="s">
        <v>2894</v>
      </c>
      <c r="C1910" s="32" t="s">
        <v>779</v>
      </c>
      <c r="D1910" s="32" t="s">
        <v>2902</v>
      </c>
      <c r="E1910" s="33" t="s">
        <v>780</v>
      </c>
      <c r="F1910" s="34">
        <v>49165</v>
      </c>
      <c r="G1910" s="34">
        <v>69164</v>
      </c>
      <c r="H1910" s="35" t="s">
        <v>2903</v>
      </c>
    </row>
    <row r="1911" spans="1:8" ht="27" customHeight="1" x14ac:dyDescent="0.2">
      <c r="A1911" s="31" t="s">
        <v>2904</v>
      </c>
      <c r="B1911" s="32" t="s">
        <v>2905</v>
      </c>
      <c r="C1911" s="32" t="s">
        <v>763</v>
      </c>
      <c r="D1911" s="32" t="s">
        <v>816</v>
      </c>
      <c r="E1911" s="33" t="s">
        <v>764</v>
      </c>
      <c r="F1911" s="34">
        <v>174442</v>
      </c>
      <c r="G1911" s="34">
        <v>174725</v>
      </c>
      <c r="H1911" s="35" t="s">
        <v>2906</v>
      </c>
    </row>
    <row r="1912" spans="1:8" ht="27" customHeight="1" x14ac:dyDescent="0.2">
      <c r="A1912" s="31" t="s">
        <v>2904</v>
      </c>
      <c r="B1912" s="32" t="s">
        <v>2905</v>
      </c>
      <c r="C1912" s="32" t="s">
        <v>770</v>
      </c>
      <c r="D1912" s="32" t="s">
        <v>1011</v>
      </c>
      <c r="E1912" s="33" t="s">
        <v>772</v>
      </c>
      <c r="F1912" s="34">
        <v>2748472</v>
      </c>
      <c r="G1912" s="34">
        <v>2752938</v>
      </c>
      <c r="H1912" s="35" t="s">
        <v>2907</v>
      </c>
    </row>
    <row r="1913" spans="1:8" ht="27" customHeight="1" x14ac:dyDescent="0.2">
      <c r="A1913" s="31" t="s">
        <v>2904</v>
      </c>
      <c r="B1913" s="32" t="s">
        <v>2905</v>
      </c>
      <c r="C1913" s="32" t="s">
        <v>773</v>
      </c>
      <c r="D1913" s="32" t="s">
        <v>773</v>
      </c>
      <c r="E1913" s="33" t="s">
        <v>775</v>
      </c>
      <c r="F1913" s="34">
        <v>70383</v>
      </c>
      <c r="G1913" s="34">
        <v>70497</v>
      </c>
      <c r="H1913" s="35" t="s">
        <v>2908</v>
      </c>
    </row>
    <row r="1914" spans="1:8" ht="27" customHeight="1" x14ac:dyDescent="0.2">
      <c r="A1914" s="31" t="s">
        <v>2904</v>
      </c>
      <c r="B1914" s="32" t="s">
        <v>2905</v>
      </c>
      <c r="C1914" s="32" t="s">
        <v>831</v>
      </c>
      <c r="D1914" s="32" t="s">
        <v>816</v>
      </c>
      <c r="E1914" s="33" t="s">
        <v>1924</v>
      </c>
      <c r="F1914" s="34">
        <v>0</v>
      </c>
      <c r="G1914" s="34">
        <v>1600000</v>
      </c>
      <c r="H1914" s="35" t="s">
        <v>2909</v>
      </c>
    </row>
    <row r="1915" spans="1:8" ht="27" customHeight="1" x14ac:dyDescent="0.2">
      <c r="A1915" s="31" t="s">
        <v>2904</v>
      </c>
      <c r="B1915" s="32" t="s">
        <v>2905</v>
      </c>
      <c r="C1915" s="32" t="s">
        <v>796</v>
      </c>
      <c r="D1915" s="32" t="s">
        <v>835</v>
      </c>
      <c r="E1915" s="33" t="s">
        <v>772</v>
      </c>
      <c r="F1915" s="34">
        <v>2922343</v>
      </c>
      <c r="G1915" s="34">
        <v>2927092</v>
      </c>
      <c r="H1915" s="35" t="s">
        <v>2910</v>
      </c>
    </row>
    <row r="1916" spans="1:8" ht="27" customHeight="1" x14ac:dyDescent="0.2">
      <c r="A1916" s="31" t="s">
        <v>2904</v>
      </c>
      <c r="B1916" s="32" t="s">
        <v>2905</v>
      </c>
      <c r="C1916" s="32" t="s">
        <v>779</v>
      </c>
      <c r="D1916" s="32" t="s">
        <v>779</v>
      </c>
      <c r="E1916" s="33" t="s">
        <v>780</v>
      </c>
      <c r="F1916" s="34">
        <v>379397</v>
      </c>
      <c r="G1916" s="34">
        <v>380014</v>
      </c>
      <c r="H1916" s="35" t="s">
        <v>2911</v>
      </c>
    </row>
    <row r="1917" spans="1:8" ht="27" customHeight="1" x14ac:dyDescent="0.2">
      <c r="A1917" s="31" t="s">
        <v>2904</v>
      </c>
      <c r="B1917" s="32" t="s">
        <v>2905</v>
      </c>
      <c r="C1917" s="32" t="s">
        <v>782</v>
      </c>
      <c r="D1917" s="32" t="s">
        <v>783</v>
      </c>
      <c r="E1917" s="33" t="s">
        <v>784</v>
      </c>
      <c r="F1917" s="34">
        <v>403492</v>
      </c>
      <c r="G1917" s="34">
        <v>404148</v>
      </c>
      <c r="H1917" s="35" t="s">
        <v>2912</v>
      </c>
    </row>
    <row r="1918" spans="1:8" ht="27" customHeight="1" x14ac:dyDescent="0.2">
      <c r="A1918" s="31" t="s">
        <v>2913</v>
      </c>
      <c r="B1918" s="32" t="s">
        <v>2914</v>
      </c>
      <c r="C1918" s="32" t="s">
        <v>763</v>
      </c>
      <c r="D1918" s="32" t="s">
        <v>2915</v>
      </c>
      <c r="E1918" s="33" t="s">
        <v>764</v>
      </c>
      <c r="F1918" s="34">
        <v>15389120</v>
      </c>
      <c r="G1918" s="34">
        <v>15405320</v>
      </c>
      <c r="H1918" s="35" t="s">
        <v>2916</v>
      </c>
    </row>
    <row r="1919" spans="1:8" ht="27" customHeight="1" x14ac:dyDescent="0.2">
      <c r="A1919" s="31" t="s">
        <v>2913</v>
      </c>
      <c r="B1919" s="32" t="s">
        <v>2914</v>
      </c>
      <c r="C1919" s="32" t="s">
        <v>766</v>
      </c>
      <c r="D1919" s="32" t="s">
        <v>767</v>
      </c>
      <c r="E1919" s="33" t="s">
        <v>768</v>
      </c>
      <c r="F1919" s="34">
        <v>1013294</v>
      </c>
      <c r="G1919" s="34">
        <v>1015300</v>
      </c>
      <c r="H1919" s="35" t="s">
        <v>2917</v>
      </c>
    </row>
    <row r="1920" spans="1:8" ht="27" customHeight="1" x14ac:dyDescent="0.2">
      <c r="A1920" s="31" t="s">
        <v>2913</v>
      </c>
      <c r="B1920" s="32" t="s">
        <v>2914</v>
      </c>
      <c r="C1920" s="32" t="s">
        <v>770</v>
      </c>
      <c r="D1920" s="32" t="s">
        <v>1011</v>
      </c>
      <c r="E1920" s="33" t="s">
        <v>772</v>
      </c>
      <c r="F1920" s="34">
        <v>2009457</v>
      </c>
      <c r="G1920" s="34">
        <v>2011557</v>
      </c>
      <c r="H1920" s="35" t="s">
        <v>2918</v>
      </c>
    </row>
    <row r="1921" spans="1:8" ht="27" customHeight="1" x14ac:dyDescent="0.2">
      <c r="A1921" s="31" t="s">
        <v>2913</v>
      </c>
      <c r="B1921" s="32" t="s">
        <v>2914</v>
      </c>
      <c r="C1921" s="32" t="s">
        <v>884</v>
      </c>
      <c r="D1921" s="32" t="s">
        <v>2919</v>
      </c>
      <c r="E1921" s="33" t="s">
        <v>885</v>
      </c>
      <c r="F1921" s="34">
        <v>0</v>
      </c>
      <c r="G1921" s="34">
        <v>0</v>
      </c>
      <c r="H1921" s="35" t="s">
        <v>829</v>
      </c>
    </row>
    <row r="1922" spans="1:8" ht="27" customHeight="1" x14ac:dyDescent="0.2">
      <c r="A1922" s="31" t="s">
        <v>2913</v>
      </c>
      <c r="B1922" s="32" t="s">
        <v>2914</v>
      </c>
      <c r="C1922" s="32" t="s">
        <v>844</v>
      </c>
      <c r="D1922" s="32" t="s">
        <v>2919</v>
      </c>
      <c r="E1922" s="33" t="s">
        <v>846</v>
      </c>
      <c r="F1922" s="34">
        <v>0</v>
      </c>
      <c r="G1922" s="34">
        <v>0</v>
      </c>
      <c r="H1922" s="35" t="s">
        <v>829</v>
      </c>
    </row>
    <row r="1923" spans="1:8" ht="27" customHeight="1" x14ac:dyDescent="0.2">
      <c r="A1923" s="31" t="s">
        <v>2913</v>
      </c>
      <c r="B1923" s="32" t="s">
        <v>2914</v>
      </c>
      <c r="C1923" s="32" t="s">
        <v>773</v>
      </c>
      <c r="D1923" s="32" t="s">
        <v>2920</v>
      </c>
      <c r="E1923" s="33" t="s">
        <v>775</v>
      </c>
      <c r="F1923" s="34">
        <v>1299888</v>
      </c>
      <c r="G1923" s="34">
        <v>1301268</v>
      </c>
      <c r="H1923" s="35" t="s">
        <v>1916</v>
      </c>
    </row>
    <row r="1924" spans="1:8" ht="27" customHeight="1" x14ac:dyDescent="0.2">
      <c r="A1924" s="31" t="s">
        <v>2913</v>
      </c>
      <c r="B1924" s="32" t="s">
        <v>2914</v>
      </c>
      <c r="C1924" s="32" t="s">
        <v>831</v>
      </c>
      <c r="D1924" s="32" t="s">
        <v>2919</v>
      </c>
      <c r="E1924" s="33"/>
      <c r="F1924" s="34">
        <v>0</v>
      </c>
      <c r="G1924" s="34">
        <v>0</v>
      </c>
      <c r="H1924" s="35" t="s">
        <v>829</v>
      </c>
    </row>
    <row r="1925" spans="1:8" ht="27" customHeight="1" x14ac:dyDescent="0.2">
      <c r="A1925" s="31" t="s">
        <v>2913</v>
      </c>
      <c r="B1925" s="32" t="s">
        <v>2914</v>
      </c>
      <c r="C1925" s="32" t="s">
        <v>886</v>
      </c>
      <c r="D1925" s="32" t="s">
        <v>2921</v>
      </c>
      <c r="E1925" s="33" t="s">
        <v>887</v>
      </c>
      <c r="F1925" s="34">
        <v>1413702</v>
      </c>
      <c r="G1925" s="34">
        <v>1415202</v>
      </c>
      <c r="H1925" s="35" t="s">
        <v>2922</v>
      </c>
    </row>
    <row r="1926" spans="1:8" ht="27" customHeight="1" x14ac:dyDescent="0.2">
      <c r="A1926" s="31" t="s">
        <v>2913</v>
      </c>
      <c r="B1926" s="32" t="s">
        <v>2914</v>
      </c>
      <c r="C1926" s="32" t="s">
        <v>860</v>
      </c>
      <c r="D1926" s="32" t="s">
        <v>2923</v>
      </c>
      <c r="E1926" s="33" t="s">
        <v>861</v>
      </c>
      <c r="F1926" s="34">
        <v>4251943</v>
      </c>
      <c r="G1926" s="34">
        <v>4526743</v>
      </c>
      <c r="H1926" s="35" t="s">
        <v>829</v>
      </c>
    </row>
    <row r="1927" spans="1:8" ht="27" customHeight="1" x14ac:dyDescent="0.2">
      <c r="A1927" s="31" t="s">
        <v>2913</v>
      </c>
      <c r="B1927" s="32" t="s">
        <v>2914</v>
      </c>
      <c r="C1927" s="32" t="s">
        <v>796</v>
      </c>
      <c r="D1927" s="32" t="s">
        <v>835</v>
      </c>
      <c r="E1927" s="33" t="s">
        <v>823</v>
      </c>
      <c r="F1927" s="34">
        <v>17112017</v>
      </c>
      <c r="G1927" s="34">
        <v>17130017</v>
      </c>
      <c r="H1927" s="35" t="s">
        <v>2924</v>
      </c>
    </row>
    <row r="1928" spans="1:8" ht="27" customHeight="1" x14ac:dyDescent="0.2">
      <c r="A1928" s="31" t="s">
        <v>2913</v>
      </c>
      <c r="B1928" s="32" t="s">
        <v>2914</v>
      </c>
      <c r="C1928" s="32" t="s">
        <v>776</v>
      </c>
      <c r="D1928" s="32" t="s">
        <v>2919</v>
      </c>
      <c r="E1928" s="33" t="s">
        <v>777</v>
      </c>
      <c r="F1928" s="34">
        <v>0</v>
      </c>
      <c r="G1928" s="34">
        <v>0</v>
      </c>
      <c r="H1928" s="35" t="s">
        <v>829</v>
      </c>
    </row>
    <row r="1929" spans="1:8" ht="27" customHeight="1" x14ac:dyDescent="0.2">
      <c r="A1929" s="31" t="s">
        <v>2913</v>
      </c>
      <c r="B1929" s="32" t="s">
        <v>2914</v>
      </c>
      <c r="C1929" s="32" t="s">
        <v>798</v>
      </c>
      <c r="D1929" s="32" t="s">
        <v>2919</v>
      </c>
      <c r="E1929" s="33" t="s">
        <v>800</v>
      </c>
      <c r="F1929" s="34">
        <v>0</v>
      </c>
      <c r="G1929" s="34">
        <v>0</v>
      </c>
      <c r="H1929" s="35" t="s">
        <v>829</v>
      </c>
    </row>
    <row r="1930" spans="1:8" ht="27" customHeight="1" x14ac:dyDescent="0.2">
      <c r="A1930" s="31" t="s">
        <v>2913</v>
      </c>
      <c r="B1930" s="32" t="s">
        <v>2914</v>
      </c>
      <c r="C1930" s="32" t="s">
        <v>892</v>
      </c>
      <c r="D1930" s="32" t="s">
        <v>2919</v>
      </c>
      <c r="E1930" s="33" t="s">
        <v>893</v>
      </c>
      <c r="F1930" s="34">
        <v>0</v>
      </c>
      <c r="G1930" s="34">
        <v>0</v>
      </c>
      <c r="H1930" s="35" t="s">
        <v>829</v>
      </c>
    </row>
    <row r="1931" spans="1:8" ht="27" customHeight="1" x14ac:dyDescent="0.2">
      <c r="A1931" s="31" t="s">
        <v>2913</v>
      </c>
      <c r="B1931" s="32" t="s">
        <v>2914</v>
      </c>
      <c r="C1931" s="32" t="s">
        <v>779</v>
      </c>
      <c r="D1931" s="32" t="s">
        <v>2925</v>
      </c>
      <c r="E1931" s="33" t="s">
        <v>780</v>
      </c>
      <c r="F1931" s="34">
        <v>2984810</v>
      </c>
      <c r="G1931" s="34">
        <v>2987900</v>
      </c>
      <c r="H1931" s="35" t="s">
        <v>894</v>
      </c>
    </row>
    <row r="1932" spans="1:8" ht="27" customHeight="1" x14ac:dyDescent="0.2">
      <c r="A1932" s="31" t="s">
        <v>2913</v>
      </c>
      <c r="B1932" s="32" t="s">
        <v>2914</v>
      </c>
      <c r="C1932" s="32" t="s">
        <v>782</v>
      </c>
      <c r="D1932" s="32" t="s">
        <v>980</v>
      </c>
      <c r="E1932" s="33" t="s">
        <v>784</v>
      </c>
      <c r="F1932" s="34">
        <v>11674012</v>
      </c>
      <c r="G1932" s="34">
        <v>11686612</v>
      </c>
      <c r="H1932" s="35" t="s">
        <v>2926</v>
      </c>
    </row>
    <row r="1933" spans="1:8" ht="27" customHeight="1" x14ac:dyDescent="0.2">
      <c r="A1933" s="31" t="s">
        <v>2927</v>
      </c>
      <c r="B1933" s="32" t="s">
        <v>2928</v>
      </c>
      <c r="C1933" s="32" t="s">
        <v>770</v>
      </c>
      <c r="D1933" s="32" t="s">
        <v>1011</v>
      </c>
      <c r="E1933" s="33" t="s">
        <v>772</v>
      </c>
      <c r="F1933" s="34">
        <v>1128413</v>
      </c>
      <c r="G1933" s="34">
        <v>1131562</v>
      </c>
      <c r="H1933" s="35" t="s">
        <v>2371</v>
      </c>
    </row>
    <row r="1934" spans="1:8" ht="27" customHeight="1" x14ac:dyDescent="0.2">
      <c r="A1934" s="31" t="s">
        <v>2927</v>
      </c>
      <c r="B1934" s="32" t="s">
        <v>2928</v>
      </c>
      <c r="C1934" s="32" t="s">
        <v>796</v>
      </c>
      <c r="D1934" s="32" t="s">
        <v>1050</v>
      </c>
      <c r="E1934" s="33" t="s">
        <v>772</v>
      </c>
      <c r="F1934" s="34">
        <v>605459</v>
      </c>
      <c r="G1934" s="34">
        <v>607149</v>
      </c>
      <c r="H1934" s="35" t="s">
        <v>2371</v>
      </c>
    </row>
    <row r="1935" spans="1:8" ht="27" customHeight="1" x14ac:dyDescent="0.2">
      <c r="A1935" s="31" t="s">
        <v>2927</v>
      </c>
      <c r="B1935" s="32" t="s">
        <v>2928</v>
      </c>
      <c r="C1935" s="32" t="s">
        <v>779</v>
      </c>
      <c r="D1935" s="32" t="s">
        <v>779</v>
      </c>
      <c r="E1935" s="33" t="s">
        <v>780</v>
      </c>
      <c r="F1935" s="34">
        <v>22231</v>
      </c>
      <c r="G1935" s="34">
        <v>22293</v>
      </c>
      <c r="H1935" s="35" t="s">
        <v>2371</v>
      </c>
    </row>
    <row r="1936" spans="1:8" ht="27" customHeight="1" x14ac:dyDescent="0.2">
      <c r="A1936" s="31" t="s">
        <v>2927</v>
      </c>
      <c r="B1936" s="32" t="s">
        <v>2928</v>
      </c>
      <c r="C1936" s="32" t="s">
        <v>782</v>
      </c>
      <c r="D1936" s="32" t="s">
        <v>782</v>
      </c>
      <c r="E1936" s="33" t="s">
        <v>784</v>
      </c>
      <c r="F1936" s="34">
        <v>56581</v>
      </c>
      <c r="G1936" s="34">
        <v>56739</v>
      </c>
      <c r="H1936" s="35" t="s">
        <v>2371</v>
      </c>
    </row>
    <row r="1937" spans="1:8" ht="27" customHeight="1" x14ac:dyDescent="0.2">
      <c r="A1937" s="31" t="s">
        <v>2929</v>
      </c>
      <c r="B1937" s="32" t="s">
        <v>2930</v>
      </c>
      <c r="C1937" s="32" t="s">
        <v>796</v>
      </c>
      <c r="D1937" s="32" t="s">
        <v>811</v>
      </c>
      <c r="E1937" s="33" t="s">
        <v>823</v>
      </c>
      <c r="F1937" s="34">
        <v>3792538</v>
      </c>
      <c r="G1937" s="34">
        <v>3792538</v>
      </c>
      <c r="H1937" s="35" t="s">
        <v>2931</v>
      </c>
    </row>
    <row r="1938" spans="1:8" ht="27" customHeight="1" x14ac:dyDescent="0.2">
      <c r="A1938" s="31" t="s">
        <v>2929</v>
      </c>
      <c r="B1938" s="32" t="s">
        <v>2930</v>
      </c>
      <c r="C1938" s="32" t="s">
        <v>782</v>
      </c>
      <c r="D1938" s="32" t="s">
        <v>964</v>
      </c>
      <c r="E1938" s="33" t="s">
        <v>784</v>
      </c>
      <c r="F1938" s="34">
        <v>1605078</v>
      </c>
      <c r="G1938" s="34">
        <v>1605078</v>
      </c>
      <c r="H1938" s="35" t="s">
        <v>2932</v>
      </c>
    </row>
    <row r="1939" spans="1:8" ht="27" customHeight="1" x14ac:dyDescent="0.2">
      <c r="A1939" s="31" t="s">
        <v>2933</v>
      </c>
      <c r="B1939" s="32" t="s">
        <v>2934</v>
      </c>
      <c r="C1939" s="32" t="s">
        <v>763</v>
      </c>
      <c r="D1939" s="32" t="s">
        <v>816</v>
      </c>
      <c r="E1939" s="33" t="s">
        <v>764</v>
      </c>
      <c r="F1939" s="34">
        <v>2793547</v>
      </c>
      <c r="G1939" s="34">
        <v>2793547</v>
      </c>
      <c r="H1939" s="35" t="s">
        <v>2935</v>
      </c>
    </row>
    <row r="1940" spans="1:8" ht="27" customHeight="1" x14ac:dyDescent="0.2">
      <c r="A1940" s="31" t="s">
        <v>2933</v>
      </c>
      <c r="B1940" s="32" t="s">
        <v>2934</v>
      </c>
      <c r="C1940" s="32" t="s">
        <v>766</v>
      </c>
      <c r="D1940" s="32" t="s">
        <v>765</v>
      </c>
      <c r="E1940" s="33" t="s">
        <v>768</v>
      </c>
      <c r="F1940" s="34">
        <v>0</v>
      </c>
      <c r="G1940" s="34">
        <v>0</v>
      </c>
      <c r="H1940" s="35" t="s">
        <v>765</v>
      </c>
    </row>
    <row r="1941" spans="1:8" ht="27" customHeight="1" x14ac:dyDescent="0.2">
      <c r="A1941" s="31" t="s">
        <v>2933</v>
      </c>
      <c r="B1941" s="32" t="s">
        <v>2934</v>
      </c>
      <c r="C1941" s="32" t="s">
        <v>770</v>
      </c>
      <c r="D1941" s="32" t="s">
        <v>830</v>
      </c>
      <c r="E1941" s="33" t="s">
        <v>772</v>
      </c>
      <c r="F1941" s="34">
        <v>2341587</v>
      </c>
      <c r="G1941" s="34">
        <v>2341587</v>
      </c>
      <c r="H1941" s="35" t="s">
        <v>2936</v>
      </c>
    </row>
    <row r="1942" spans="1:8" ht="27" customHeight="1" x14ac:dyDescent="0.2">
      <c r="A1942" s="31" t="s">
        <v>2933</v>
      </c>
      <c r="B1942" s="32" t="s">
        <v>2934</v>
      </c>
      <c r="C1942" s="32" t="s">
        <v>884</v>
      </c>
      <c r="D1942" s="32" t="s">
        <v>765</v>
      </c>
      <c r="E1942" s="33" t="s">
        <v>885</v>
      </c>
      <c r="F1942" s="34">
        <v>0</v>
      </c>
      <c r="G1942" s="34">
        <v>0</v>
      </c>
      <c r="H1942" s="35" t="s">
        <v>765</v>
      </c>
    </row>
    <row r="1943" spans="1:8" ht="27" customHeight="1" x14ac:dyDescent="0.2">
      <c r="A1943" s="31" t="s">
        <v>2933</v>
      </c>
      <c r="B1943" s="32" t="s">
        <v>2934</v>
      </c>
      <c r="C1943" s="32" t="s">
        <v>844</v>
      </c>
      <c r="D1943" s="32" t="s">
        <v>972</v>
      </c>
      <c r="E1943" s="33" t="s">
        <v>846</v>
      </c>
      <c r="F1943" s="34">
        <v>100460</v>
      </c>
      <c r="G1943" s="34">
        <v>100460</v>
      </c>
      <c r="H1943" s="35" t="s">
        <v>765</v>
      </c>
    </row>
    <row r="1944" spans="1:8" ht="27" customHeight="1" x14ac:dyDescent="0.2">
      <c r="A1944" s="31" t="s">
        <v>2933</v>
      </c>
      <c r="B1944" s="32" t="s">
        <v>2934</v>
      </c>
      <c r="C1944" s="32" t="s">
        <v>773</v>
      </c>
      <c r="D1944" s="32" t="s">
        <v>765</v>
      </c>
      <c r="E1944" s="33" t="s">
        <v>775</v>
      </c>
      <c r="F1944" s="34">
        <v>0</v>
      </c>
      <c r="G1944" s="34">
        <v>0</v>
      </c>
      <c r="H1944" s="35" t="s">
        <v>765</v>
      </c>
    </row>
    <row r="1945" spans="1:8" ht="27" customHeight="1" x14ac:dyDescent="0.2">
      <c r="A1945" s="31" t="s">
        <v>2933</v>
      </c>
      <c r="B1945" s="32" t="s">
        <v>2934</v>
      </c>
      <c r="C1945" s="32" t="s">
        <v>831</v>
      </c>
      <c r="D1945" s="32" t="s">
        <v>765</v>
      </c>
      <c r="E1945" s="33" t="s">
        <v>2937</v>
      </c>
      <c r="F1945" s="34">
        <v>0</v>
      </c>
      <c r="G1945" s="34">
        <v>0</v>
      </c>
      <c r="H1945" s="35" t="s">
        <v>765</v>
      </c>
    </row>
    <row r="1946" spans="1:8" ht="27" customHeight="1" x14ac:dyDescent="0.2">
      <c r="A1946" s="31" t="s">
        <v>2933</v>
      </c>
      <c r="B1946" s="32" t="s">
        <v>2934</v>
      </c>
      <c r="C1946" s="32" t="s">
        <v>886</v>
      </c>
      <c r="D1946" s="32" t="s">
        <v>765</v>
      </c>
      <c r="E1946" s="33" t="s">
        <v>887</v>
      </c>
      <c r="F1946" s="34">
        <v>0</v>
      </c>
      <c r="G1946" s="34">
        <v>0</v>
      </c>
      <c r="H1946" s="35" t="s">
        <v>765</v>
      </c>
    </row>
    <row r="1947" spans="1:8" ht="27" customHeight="1" x14ac:dyDescent="0.2">
      <c r="A1947" s="31" t="s">
        <v>2933</v>
      </c>
      <c r="B1947" s="32" t="s">
        <v>2934</v>
      </c>
      <c r="C1947" s="32" t="s">
        <v>860</v>
      </c>
      <c r="D1947" s="32" t="s">
        <v>765</v>
      </c>
      <c r="E1947" s="33" t="s">
        <v>861</v>
      </c>
      <c r="F1947" s="34">
        <v>0</v>
      </c>
      <c r="G1947" s="34">
        <v>0</v>
      </c>
      <c r="H1947" s="35" t="s">
        <v>765</v>
      </c>
    </row>
    <row r="1948" spans="1:8" ht="27" customHeight="1" x14ac:dyDescent="0.2">
      <c r="A1948" s="31" t="s">
        <v>2933</v>
      </c>
      <c r="B1948" s="32" t="s">
        <v>2934</v>
      </c>
      <c r="C1948" s="32" t="s">
        <v>796</v>
      </c>
      <c r="D1948" s="32" t="s">
        <v>1095</v>
      </c>
      <c r="E1948" s="33" t="s">
        <v>823</v>
      </c>
      <c r="F1948" s="34">
        <v>1151310</v>
      </c>
      <c r="G1948" s="34">
        <v>1076310</v>
      </c>
      <c r="H1948" s="35" t="s">
        <v>2938</v>
      </c>
    </row>
    <row r="1949" spans="1:8" ht="27" customHeight="1" x14ac:dyDescent="0.2">
      <c r="A1949" s="31" t="s">
        <v>2933</v>
      </c>
      <c r="B1949" s="32" t="s">
        <v>2934</v>
      </c>
      <c r="C1949" s="32" t="s">
        <v>776</v>
      </c>
      <c r="D1949" s="32" t="s">
        <v>765</v>
      </c>
      <c r="E1949" s="33" t="s">
        <v>777</v>
      </c>
      <c r="F1949" s="34">
        <v>0</v>
      </c>
      <c r="G1949" s="34">
        <v>0</v>
      </c>
      <c r="H1949" s="35" t="s">
        <v>765</v>
      </c>
    </row>
    <row r="1950" spans="1:8" ht="27" customHeight="1" x14ac:dyDescent="0.2">
      <c r="A1950" s="31" t="s">
        <v>2933</v>
      </c>
      <c r="B1950" s="32" t="s">
        <v>2934</v>
      </c>
      <c r="C1950" s="32" t="s">
        <v>798</v>
      </c>
      <c r="D1950" s="32" t="s">
        <v>765</v>
      </c>
      <c r="E1950" s="33" t="s">
        <v>800</v>
      </c>
      <c r="F1950" s="34">
        <v>0</v>
      </c>
      <c r="G1950" s="34">
        <v>0</v>
      </c>
      <c r="H1950" s="35" t="s">
        <v>765</v>
      </c>
    </row>
    <row r="1951" spans="1:8" ht="27" customHeight="1" x14ac:dyDescent="0.2">
      <c r="A1951" s="31" t="s">
        <v>2933</v>
      </c>
      <c r="B1951" s="32" t="s">
        <v>2934</v>
      </c>
      <c r="C1951" s="32" t="s">
        <v>892</v>
      </c>
      <c r="D1951" s="32" t="s">
        <v>765</v>
      </c>
      <c r="E1951" s="33" t="s">
        <v>893</v>
      </c>
      <c r="F1951" s="34">
        <v>0</v>
      </c>
      <c r="G1951" s="34">
        <v>0</v>
      </c>
      <c r="H1951" s="35" t="s">
        <v>765</v>
      </c>
    </row>
    <row r="1952" spans="1:8" ht="27" customHeight="1" x14ac:dyDescent="0.2">
      <c r="A1952" s="31" t="s">
        <v>2933</v>
      </c>
      <c r="B1952" s="32" t="s">
        <v>2934</v>
      </c>
      <c r="C1952" s="32" t="s">
        <v>779</v>
      </c>
      <c r="D1952" s="32" t="s">
        <v>765</v>
      </c>
      <c r="E1952" s="33" t="s">
        <v>780</v>
      </c>
      <c r="F1952" s="34">
        <v>0</v>
      </c>
      <c r="G1952" s="34">
        <v>0</v>
      </c>
      <c r="H1952" s="35" t="s">
        <v>765</v>
      </c>
    </row>
    <row r="1953" spans="1:8" ht="27" customHeight="1" x14ac:dyDescent="0.2">
      <c r="A1953" s="31" t="s">
        <v>2933</v>
      </c>
      <c r="B1953" s="32" t="s">
        <v>2934</v>
      </c>
      <c r="C1953" s="32" t="s">
        <v>782</v>
      </c>
      <c r="D1953" s="32" t="s">
        <v>1391</v>
      </c>
      <c r="E1953" s="33" t="s">
        <v>784</v>
      </c>
      <c r="F1953" s="34">
        <v>511560</v>
      </c>
      <c r="G1953" s="34">
        <v>511560</v>
      </c>
      <c r="H1953" s="35" t="s">
        <v>2939</v>
      </c>
    </row>
    <row r="1954" spans="1:8" ht="27" customHeight="1" x14ac:dyDescent="0.2">
      <c r="A1954" s="31" t="s">
        <v>2940</v>
      </c>
      <c r="B1954" s="32" t="s">
        <v>2941</v>
      </c>
      <c r="C1954" s="32" t="s">
        <v>763</v>
      </c>
      <c r="D1954" s="32" t="s">
        <v>763</v>
      </c>
      <c r="E1954" s="33" t="s">
        <v>764</v>
      </c>
      <c r="F1954" s="34">
        <v>1720200</v>
      </c>
      <c r="G1954" s="34">
        <v>1721501</v>
      </c>
      <c r="H1954" s="35" t="s">
        <v>2942</v>
      </c>
    </row>
    <row r="1955" spans="1:8" ht="27" customHeight="1" x14ac:dyDescent="0.2">
      <c r="A1955" s="31" t="s">
        <v>2940</v>
      </c>
      <c r="B1955" s="32" t="s">
        <v>2941</v>
      </c>
      <c r="C1955" s="32" t="s">
        <v>770</v>
      </c>
      <c r="D1955" s="32" t="s">
        <v>1011</v>
      </c>
      <c r="E1955" s="33" t="s">
        <v>772</v>
      </c>
      <c r="F1955" s="34">
        <v>3208393</v>
      </c>
      <c r="G1955" s="34">
        <v>3210820</v>
      </c>
      <c r="H1955" s="35" t="s">
        <v>2943</v>
      </c>
    </row>
    <row r="1956" spans="1:8" ht="27" customHeight="1" x14ac:dyDescent="0.2">
      <c r="A1956" s="31" t="s">
        <v>2940</v>
      </c>
      <c r="B1956" s="32" t="s">
        <v>2941</v>
      </c>
      <c r="C1956" s="32" t="s">
        <v>796</v>
      </c>
      <c r="D1956" s="32" t="s">
        <v>822</v>
      </c>
      <c r="E1956" s="33" t="s">
        <v>823</v>
      </c>
      <c r="F1956" s="34">
        <v>4947239</v>
      </c>
      <c r="G1956" s="34">
        <v>4950982</v>
      </c>
      <c r="H1956" s="35" t="s">
        <v>2944</v>
      </c>
    </row>
    <row r="1957" spans="1:8" ht="27" customHeight="1" x14ac:dyDescent="0.2">
      <c r="A1957" s="31" t="s">
        <v>2940</v>
      </c>
      <c r="B1957" s="32" t="s">
        <v>2941</v>
      </c>
      <c r="C1957" s="32" t="s">
        <v>782</v>
      </c>
      <c r="D1957" s="32" t="s">
        <v>901</v>
      </c>
      <c r="E1957" s="33" t="s">
        <v>784</v>
      </c>
      <c r="F1957" s="34">
        <v>4052801</v>
      </c>
      <c r="G1957" s="34">
        <v>4055867</v>
      </c>
      <c r="H1957" s="35" t="s">
        <v>2945</v>
      </c>
    </row>
    <row r="1958" spans="1:8" ht="27" customHeight="1" x14ac:dyDescent="0.2">
      <c r="A1958" s="31" t="s">
        <v>2946</v>
      </c>
      <c r="B1958" s="32" t="s">
        <v>2947</v>
      </c>
      <c r="C1958" s="32" t="s">
        <v>763</v>
      </c>
      <c r="D1958" s="32" t="s">
        <v>2948</v>
      </c>
      <c r="E1958" s="33" t="s">
        <v>764</v>
      </c>
      <c r="F1958" s="34">
        <v>690124</v>
      </c>
      <c r="G1958" s="34">
        <v>404249</v>
      </c>
      <c r="H1958" s="35" t="s">
        <v>2949</v>
      </c>
    </row>
    <row r="1959" spans="1:8" ht="27" customHeight="1" x14ac:dyDescent="0.2">
      <c r="A1959" s="31" t="s">
        <v>2946</v>
      </c>
      <c r="B1959" s="32" t="s">
        <v>2947</v>
      </c>
      <c r="C1959" s="32" t="s">
        <v>763</v>
      </c>
      <c r="D1959" s="32" t="s">
        <v>2950</v>
      </c>
      <c r="E1959" s="33" t="s">
        <v>764</v>
      </c>
      <c r="F1959" s="34">
        <v>498287</v>
      </c>
      <c r="G1959" s="34">
        <v>1895832</v>
      </c>
      <c r="H1959" s="35" t="s">
        <v>2951</v>
      </c>
    </row>
    <row r="1960" spans="1:8" ht="27" customHeight="1" x14ac:dyDescent="0.2">
      <c r="A1960" s="31" t="s">
        <v>2946</v>
      </c>
      <c r="B1960" s="32" t="s">
        <v>2947</v>
      </c>
      <c r="C1960" s="32" t="s">
        <v>770</v>
      </c>
      <c r="D1960" s="32" t="s">
        <v>2952</v>
      </c>
      <c r="E1960" s="33" t="s">
        <v>772</v>
      </c>
      <c r="F1960" s="34">
        <v>1425971</v>
      </c>
      <c r="G1960" s="34">
        <v>1400971</v>
      </c>
      <c r="H1960" s="35" t="s">
        <v>2953</v>
      </c>
    </row>
    <row r="1961" spans="1:8" ht="27" customHeight="1" x14ac:dyDescent="0.2">
      <c r="A1961" s="31" t="s">
        <v>2946</v>
      </c>
      <c r="B1961" s="32" t="s">
        <v>2947</v>
      </c>
      <c r="C1961" s="32" t="s">
        <v>796</v>
      </c>
      <c r="D1961" s="32" t="s">
        <v>1314</v>
      </c>
      <c r="E1961" s="33" t="s">
        <v>823</v>
      </c>
      <c r="F1961" s="34">
        <v>4550972</v>
      </c>
      <c r="G1961" s="34">
        <v>3986972</v>
      </c>
      <c r="H1961" s="35" t="s">
        <v>2954</v>
      </c>
    </row>
    <row r="1962" spans="1:8" ht="27" customHeight="1" x14ac:dyDescent="0.2">
      <c r="A1962" s="31" t="s">
        <v>2946</v>
      </c>
      <c r="B1962" s="32" t="s">
        <v>2947</v>
      </c>
      <c r="C1962" s="32" t="s">
        <v>779</v>
      </c>
      <c r="D1962" s="32" t="s">
        <v>876</v>
      </c>
      <c r="E1962" s="33" t="s">
        <v>780</v>
      </c>
      <c r="F1962" s="34">
        <v>501299</v>
      </c>
      <c r="G1962" s="34">
        <v>501299</v>
      </c>
      <c r="H1962" s="35" t="s">
        <v>2955</v>
      </c>
    </row>
    <row r="1963" spans="1:8" ht="27" customHeight="1" x14ac:dyDescent="0.2">
      <c r="A1963" s="31" t="s">
        <v>2956</v>
      </c>
      <c r="B1963" s="32" t="s">
        <v>2957</v>
      </c>
      <c r="C1963" s="32" t="s">
        <v>763</v>
      </c>
      <c r="D1963" s="32" t="s">
        <v>2958</v>
      </c>
      <c r="E1963" s="33" t="s">
        <v>764</v>
      </c>
      <c r="F1963" s="34">
        <v>5312365</v>
      </c>
      <c r="G1963" s="34">
        <v>5312365</v>
      </c>
      <c r="H1963" s="35" t="s">
        <v>2959</v>
      </c>
    </row>
    <row r="1964" spans="1:8" ht="27" customHeight="1" x14ac:dyDescent="0.2">
      <c r="A1964" s="31" t="s">
        <v>2956</v>
      </c>
      <c r="B1964" s="32" t="s">
        <v>2957</v>
      </c>
      <c r="C1964" s="32" t="s">
        <v>763</v>
      </c>
      <c r="D1964" s="32" t="s">
        <v>2960</v>
      </c>
      <c r="E1964" s="33" t="s">
        <v>764</v>
      </c>
      <c r="F1964" s="34">
        <v>5507496</v>
      </c>
      <c r="G1964" s="34">
        <v>7507496</v>
      </c>
      <c r="H1964" s="35" t="s">
        <v>2961</v>
      </c>
    </row>
    <row r="1965" spans="1:8" ht="27" customHeight="1" x14ac:dyDescent="0.2">
      <c r="A1965" s="31" t="s">
        <v>2956</v>
      </c>
      <c r="B1965" s="32" t="s">
        <v>2957</v>
      </c>
      <c r="C1965" s="32" t="s">
        <v>763</v>
      </c>
      <c r="D1965" s="32" t="s">
        <v>2962</v>
      </c>
      <c r="E1965" s="33" t="s">
        <v>764</v>
      </c>
      <c r="F1965" s="34">
        <v>1291136</v>
      </c>
      <c r="G1965" s="34">
        <v>1791136</v>
      </c>
      <c r="H1965" s="35" t="s">
        <v>2963</v>
      </c>
    </row>
    <row r="1966" spans="1:8" ht="27" customHeight="1" x14ac:dyDescent="0.2">
      <c r="A1966" s="31" t="s">
        <v>2956</v>
      </c>
      <c r="B1966" s="32" t="s">
        <v>2957</v>
      </c>
      <c r="C1966" s="32" t="s">
        <v>770</v>
      </c>
      <c r="D1966" s="32" t="s">
        <v>770</v>
      </c>
      <c r="E1966" s="33" t="s">
        <v>772</v>
      </c>
      <c r="F1966" s="34">
        <v>1701811</v>
      </c>
      <c r="G1966" s="34">
        <v>1601811</v>
      </c>
      <c r="H1966" s="35" t="s">
        <v>2964</v>
      </c>
    </row>
    <row r="1967" spans="1:8" ht="27" customHeight="1" x14ac:dyDescent="0.2">
      <c r="A1967" s="31" t="s">
        <v>2956</v>
      </c>
      <c r="B1967" s="32" t="s">
        <v>2957</v>
      </c>
      <c r="C1967" s="32" t="s">
        <v>773</v>
      </c>
      <c r="D1967" s="32" t="s">
        <v>2965</v>
      </c>
      <c r="E1967" s="33" t="s">
        <v>775</v>
      </c>
      <c r="F1967" s="34">
        <v>1044621</v>
      </c>
      <c r="G1967" s="34">
        <v>1044621</v>
      </c>
      <c r="H1967" s="35" t="s">
        <v>2966</v>
      </c>
    </row>
    <row r="1968" spans="1:8" ht="27" customHeight="1" x14ac:dyDescent="0.2">
      <c r="A1968" s="31" t="s">
        <v>2956</v>
      </c>
      <c r="B1968" s="32" t="s">
        <v>2957</v>
      </c>
      <c r="C1968" s="32" t="s">
        <v>796</v>
      </c>
      <c r="D1968" s="32" t="s">
        <v>811</v>
      </c>
      <c r="E1968" s="33" t="s">
        <v>823</v>
      </c>
      <c r="F1968" s="34">
        <v>3420946</v>
      </c>
      <c r="G1968" s="34">
        <v>2690946</v>
      </c>
      <c r="H1968" s="35" t="s">
        <v>2967</v>
      </c>
    </row>
    <row r="1969" spans="1:8" ht="27" customHeight="1" x14ac:dyDescent="0.2">
      <c r="A1969" s="31" t="s">
        <v>2956</v>
      </c>
      <c r="B1969" s="32" t="s">
        <v>2957</v>
      </c>
      <c r="C1969" s="32" t="s">
        <v>779</v>
      </c>
      <c r="D1969" s="32" t="s">
        <v>826</v>
      </c>
      <c r="E1969" s="33" t="s">
        <v>780</v>
      </c>
      <c r="F1969" s="34">
        <v>164991</v>
      </c>
      <c r="G1969" s="34">
        <v>164991</v>
      </c>
      <c r="H1969" s="35" t="s">
        <v>2966</v>
      </c>
    </row>
    <row r="1970" spans="1:8" ht="27" customHeight="1" x14ac:dyDescent="0.2">
      <c r="A1970" s="31" t="s">
        <v>2956</v>
      </c>
      <c r="B1970" s="32" t="s">
        <v>2957</v>
      </c>
      <c r="C1970" s="32" t="s">
        <v>782</v>
      </c>
      <c r="D1970" s="32" t="s">
        <v>839</v>
      </c>
      <c r="E1970" s="33" t="s">
        <v>784</v>
      </c>
      <c r="F1970" s="34">
        <v>1528592</v>
      </c>
      <c r="G1970" s="34">
        <v>1383592</v>
      </c>
      <c r="H1970" s="35" t="s">
        <v>2968</v>
      </c>
    </row>
    <row r="1971" spans="1:8" ht="27" customHeight="1" x14ac:dyDescent="0.2">
      <c r="A1971" s="31" t="s">
        <v>2969</v>
      </c>
      <c r="B1971" s="32" t="s">
        <v>2970</v>
      </c>
      <c r="C1971" s="32" t="s">
        <v>770</v>
      </c>
      <c r="D1971" s="32" t="s">
        <v>2971</v>
      </c>
      <c r="E1971" s="33" t="s">
        <v>772</v>
      </c>
      <c r="F1971" s="34">
        <v>2945578</v>
      </c>
      <c r="G1971" s="34">
        <v>3100000</v>
      </c>
      <c r="H1971" s="35" t="s">
        <v>2972</v>
      </c>
    </row>
    <row r="1972" spans="1:8" ht="27" customHeight="1" x14ac:dyDescent="0.2">
      <c r="A1972" s="31" t="s">
        <v>2969</v>
      </c>
      <c r="B1972" s="32" t="s">
        <v>2970</v>
      </c>
      <c r="C1972" s="32" t="s">
        <v>796</v>
      </c>
      <c r="D1972" s="32" t="s">
        <v>1044</v>
      </c>
      <c r="E1972" s="33" t="s">
        <v>823</v>
      </c>
      <c r="F1972" s="34">
        <v>1695016</v>
      </c>
      <c r="G1972" s="34">
        <v>1600000</v>
      </c>
      <c r="H1972" s="35" t="s">
        <v>2973</v>
      </c>
    </row>
    <row r="1973" spans="1:8" ht="27" customHeight="1" x14ac:dyDescent="0.2">
      <c r="A1973" s="31" t="s">
        <v>2969</v>
      </c>
      <c r="B1973" s="32" t="s">
        <v>2970</v>
      </c>
      <c r="C1973" s="32" t="s">
        <v>779</v>
      </c>
      <c r="D1973" s="32" t="s">
        <v>826</v>
      </c>
      <c r="E1973" s="33" t="s">
        <v>780</v>
      </c>
      <c r="F1973" s="34">
        <v>112192</v>
      </c>
      <c r="G1973" s="34">
        <v>112192</v>
      </c>
      <c r="H1973" s="35" t="s">
        <v>829</v>
      </c>
    </row>
    <row r="1974" spans="1:8" ht="27" customHeight="1" x14ac:dyDescent="0.2">
      <c r="A1974" s="31" t="s">
        <v>2974</v>
      </c>
      <c r="B1974" s="32" t="s">
        <v>2975</v>
      </c>
      <c r="C1974" s="32" t="s">
        <v>763</v>
      </c>
      <c r="D1974" s="32" t="s">
        <v>2976</v>
      </c>
      <c r="E1974" s="33" t="s">
        <v>764</v>
      </c>
      <c r="F1974" s="34">
        <v>2958217</v>
      </c>
      <c r="G1974" s="34">
        <v>2990000</v>
      </c>
      <c r="H1974" s="35" t="s">
        <v>2977</v>
      </c>
    </row>
    <row r="1975" spans="1:8" ht="27" customHeight="1" x14ac:dyDescent="0.2">
      <c r="A1975" s="31" t="s">
        <v>2974</v>
      </c>
      <c r="B1975" s="32" t="s">
        <v>2975</v>
      </c>
      <c r="C1975" s="32" t="s">
        <v>770</v>
      </c>
      <c r="D1975" s="32" t="s">
        <v>1011</v>
      </c>
      <c r="E1975" s="33" t="s">
        <v>772</v>
      </c>
      <c r="F1975" s="34">
        <v>962517</v>
      </c>
      <c r="G1975" s="34">
        <v>940000</v>
      </c>
      <c r="H1975" s="35" t="s">
        <v>2978</v>
      </c>
    </row>
    <row r="1976" spans="1:8" ht="27" customHeight="1" x14ac:dyDescent="0.2">
      <c r="A1976" s="31" t="s">
        <v>2974</v>
      </c>
      <c r="B1976" s="32" t="s">
        <v>2975</v>
      </c>
      <c r="C1976" s="32" t="s">
        <v>860</v>
      </c>
      <c r="D1976" s="32" t="s">
        <v>911</v>
      </c>
      <c r="E1976" s="33" t="s">
        <v>861</v>
      </c>
      <c r="F1976" s="34">
        <v>251900</v>
      </c>
      <c r="G1976" s="34">
        <v>254000</v>
      </c>
      <c r="H1976" s="35" t="s">
        <v>1547</v>
      </c>
    </row>
    <row r="1977" spans="1:8" ht="27" customHeight="1" x14ac:dyDescent="0.2">
      <c r="A1977" s="31" t="s">
        <v>2974</v>
      </c>
      <c r="B1977" s="32" t="s">
        <v>2975</v>
      </c>
      <c r="C1977" s="32" t="s">
        <v>796</v>
      </c>
      <c r="D1977" s="32" t="s">
        <v>835</v>
      </c>
      <c r="E1977" s="33" t="s">
        <v>823</v>
      </c>
      <c r="F1977" s="34">
        <v>1627530</v>
      </c>
      <c r="G1977" s="34">
        <v>1500000</v>
      </c>
      <c r="H1977" s="35" t="s">
        <v>2979</v>
      </c>
    </row>
    <row r="1978" spans="1:8" ht="27" customHeight="1" x14ac:dyDescent="0.2">
      <c r="A1978" s="31" t="s">
        <v>2974</v>
      </c>
      <c r="B1978" s="32" t="s">
        <v>2975</v>
      </c>
      <c r="C1978" s="32" t="s">
        <v>779</v>
      </c>
      <c r="D1978" s="32" t="s">
        <v>826</v>
      </c>
      <c r="E1978" s="33" t="s">
        <v>780</v>
      </c>
      <c r="F1978" s="34">
        <v>301333</v>
      </c>
      <c r="G1978" s="34">
        <v>304000</v>
      </c>
      <c r="H1978" s="35" t="s">
        <v>2980</v>
      </c>
    </row>
    <row r="1979" spans="1:8" ht="27" customHeight="1" x14ac:dyDescent="0.2">
      <c r="A1979" s="31" t="s">
        <v>2981</v>
      </c>
      <c r="B1979" s="32" t="s">
        <v>2982</v>
      </c>
      <c r="C1979" s="32" t="s">
        <v>770</v>
      </c>
      <c r="D1979" s="32" t="s">
        <v>810</v>
      </c>
      <c r="E1979" s="33" t="s">
        <v>772</v>
      </c>
      <c r="F1979" s="34">
        <v>1288523</v>
      </c>
      <c r="G1979" s="34">
        <v>1288523</v>
      </c>
      <c r="H1979" s="35" t="s">
        <v>2983</v>
      </c>
    </row>
    <row r="1980" spans="1:8" ht="27" customHeight="1" x14ac:dyDescent="0.2">
      <c r="A1980" s="31" t="s">
        <v>2981</v>
      </c>
      <c r="B1980" s="32" t="s">
        <v>2982</v>
      </c>
      <c r="C1980" s="32" t="s">
        <v>796</v>
      </c>
      <c r="D1980" s="32" t="s">
        <v>811</v>
      </c>
      <c r="E1980" s="33" t="s">
        <v>772</v>
      </c>
      <c r="F1980" s="34">
        <v>2731897</v>
      </c>
      <c r="G1980" s="34">
        <v>2731897</v>
      </c>
      <c r="H1980" s="35" t="s">
        <v>2984</v>
      </c>
    </row>
    <row r="1981" spans="1:8" ht="27" customHeight="1" x14ac:dyDescent="0.2">
      <c r="A1981" s="31" t="s">
        <v>2981</v>
      </c>
      <c r="B1981" s="32" t="s">
        <v>2982</v>
      </c>
      <c r="C1981" s="32" t="s">
        <v>779</v>
      </c>
      <c r="D1981" s="32" t="s">
        <v>876</v>
      </c>
      <c r="E1981" s="33" t="s">
        <v>780</v>
      </c>
      <c r="F1981" s="34">
        <v>226759</v>
      </c>
      <c r="G1981" s="34">
        <v>226759</v>
      </c>
      <c r="H1981" s="35" t="s">
        <v>2985</v>
      </c>
    </row>
    <row r="1982" spans="1:8" ht="27" customHeight="1" x14ac:dyDescent="0.2">
      <c r="A1982" s="31" t="s">
        <v>2981</v>
      </c>
      <c r="B1982" s="32" t="s">
        <v>2982</v>
      </c>
      <c r="C1982" s="32" t="s">
        <v>782</v>
      </c>
      <c r="D1982" s="32" t="s">
        <v>964</v>
      </c>
      <c r="E1982" s="33" t="s">
        <v>784</v>
      </c>
      <c r="F1982" s="34">
        <v>668902</v>
      </c>
      <c r="G1982" s="34">
        <v>593902</v>
      </c>
      <c r="H1982" s="35" t="s">
        <v>2986</v>
      </c>
    </row>
    <row r="1983" spans="1:8" ht="27" customHeight="1" x14ac:dyDescent="0.2">
      <c r="A1983" s="31" t="s">
        <v>2987</v>
      </c>
      <c r="B1983" s="32" t="s">
        <v>2988</v>
      </c>
      <c r="C1983" s="32" t="s">
        <v>763</v>
      </c>
      <c r="D1983" s="32" t="s">
        <v>763</v>
      </c>
      <c r="E1983" s="33" t="s">
        <v>764</v>
      </c>
      <c r="F1983" s="34">
        <v>0</v>
      </c>
      <c r="G1983" s="34">
        <v>500000</v>
      </c>
      <c r="H1983" s="35" t="s">
        <v>2989</v>
      </c>
    </row>
    <row r="1984" spans="1:8" ht="27" customHeight="1" x14ac:dyDescent="0.2">
      <c r="A1984" s="31" t="s">
        <v>2987</v>
      </c>
      <c r="B1984" s="32" t="s">
        <v>2988</v>
      </c>
      <c r="C1984" s="32" t="s">
        <v>770</v>
      </c>
      <c r="D1984" s="32" t="s">
        <v>1011</v>
      </c>
      <c r="E1984" s="33" t="s">
        <v>772</v>
      </c>
      <c r="F1984" s="34">
        <v>1217315</v>
      </c>
      <c r="G1984" s="34">
        <v>1217315</v>
      </c>
      <c r="H1984" s="35" t="s">
        <v>2990</v>
      </c>
    </row>
    <row r="1985" spans="1:8" ht="27" customHeight="1" x14ac:dyDescent="0.2">
      <c r="A1985" s="31" t="s">
        <v>2987</v>
      </c>
      <c r="B1985" s="32" t="s">
        <v>2988</v>
      </c>
      <c r="C1985" s="32" t="s">
        <v>796</v>
      </c>
      <c r="D1985" s="32" t="s">
        <v>822</v>
      </c>
      <c r="E1985" s="33" t="s">
        <v>772</v>
      </c>
      <c r="F1985" s="34">
        <v>2783061</v>
      </c>
      <c r="G1985" s="34">
        <v>3013061</v>
      </c>
      <c r="H1985" s="35" t="s">
        <v>2991</v>
      </c>
    </row>
    <row r="1986" spans="1:8" ht="27" customHeight="1" x14ac:dyDescent="0.2">
      <c r="A1986" s="31" t="s">
        <v>2987</v>
      </c>
      <c r="B1986" s="32" t="s">
        <v>2988</v>
      </c>
      <c r="C1986" s="32" t="s">
        <v>779</v>
      </c>
      <c r="D1986" s="32" t="s">
        <v>802</v>
      </c>
      <c r="E1986" s="33" t="s">
        <v>780</v>
      </c>
      <c r="F1986" s="34">
        <v>22462</v>
      </c>
      <c r="G1986" s="34">
        <v>22608</v>
      </c>
      <c r="H1986" s="35" t="s">
        <v>2992</v>
      </c>
    </row>
    <row r="1987" spans="1:8" ht="27" customHeight="1" x14ac:dyDescent="0.2">
      <c r="A1987" s="31" t="s">
        <v>2993</v>
      </c>
      <c r="B1987" s="32" t="s">
        <v>2994</v>
      </c>
      <c r="C1987" s="32" t="s">
        <v>770</v>
      </c>
      <c r="D1987" s="32" t="s">
        <v>770</v>
      </c>
      <c r="E1987" s="33" t="s">
        <v>772</v>
      </c>
      <c r="F1987" s="34">
        <v>601581</v>
      </c>
      <c r="G1987" s="34">
        <v>601581</v>
      </c>
      <c r="H1987" s="35" t="s">
        <v>829</v>
      </c>
    </row>
    <row r="1988" spans="1:8" ht="27" customHeight="1" x14ac:dyDescent="0.2">
      <c r="A1988" s="31" t="s">
        <v>2993</v>
      </c>
      <c r="B1988" s="32" t="s">
        <v>2994</v>
      </c>
      <c r="C1988" s="32" t="s">
        <v>796</v>
      </c>
      <c r="D1988" s="32" t="s">
        <v>796</v>
      </c>
      <c r="E1988" s="33" t="s">
        <v>823</v>
      </c>
      <c r="F1988" s="34">
        <v>958681</v>
      </c>
      <c r="G1988" s="34">
        <v>958681</v>
      </c>
      <c r="H1988" s="35" t="s">
        <v>829</v>
      </c>
    </row>
    <row r="1989" spans="1:8" ht="27" customHeight="1" x14ac:dyDescent="0.2">
      <c r="A1989" s="31" t="s">
        <v>2993</v>
      </c>
      <c r="B1989" s="32" t="s">
        <v>2994</v>
      </c>
      <c r="C1989" s="32" t="s">
        <v>779</v>
      </c>
      <c r="D1989" s="32" t="s">
        <v>779</v>
      </c>
      <c r="E1989" s="33" t="s">
        <v>780</v>
      </c>
      <c r="F1989" s="34">
        <v>345172</v>
      </c>
      <c r="G1989" s="34">
        <v>345172</v>
      </c>
      <c r="H1989" s="35" t="s">
        <v>829</v>
      </c>
    </row>
    <row r="1990" spans="1:8" ht="27" customHeight="1" x14ac:dyDescent="0.2">
      <c r="A1990" s="31" t="s">
        <v>2995</v>
      </c>
      <c r="B1990" s="32" t="s">
        <v>2996</v>
      </c>
      <c r="C1990" s="32" t="s">
        <v>770</v>
      </c>
      <c r="D1990" s="32" t="s">
        <v>919</v>
      </c>
      <c r="E1990" s="33" t="s">
        <v>772</v>
      </c>
      <c r="F1990" s="34">
        <v>2771865</v>
      </c>
      <c r="G1990" s="34">
        <v>2777865</v>
      </c>
      <c r="H1990" s="35" t="s">
        <v>2997</v>
      </c>
    </row>
    <row r="1991" spans="1:8" ht="27" customHeight="1" x14ac:dyDescent="0.2">
      <c r="A1991" s="31" t="s">
        <v>2995</v>
      </c>
      <c r="B1991" s="32" t="s">
        <v>2996</v>
      </c>
      <c r="C1991" s="32" t="s">
        <v>860</v>
      </c>
      <c r="D1991" s="32" t="s">
        <v>1027</v>
      </c>
      <c r="E1991" s="33" t="s">
        <v>861</v>
      </c>
      <c r="F1991" s="34">
        <v>14757</v>
      </c>
      <c r="G1991" s="34">
        <v>14757</v>
      </c>
      <c r="H1991" s="35" t="s">
        <v>2998</v>
      </c>
    </row>
    <row r="1992" spans="1:8" ht="27" customHeight="1" x14ac:dyDescent="0.2">
      <c r="A1992" s="31" t="s">
        <v>2995</v>
      </c>
      <c r="B1992" s="32" t="s">
        <v>2996</v>
      </c>
      <c r="C1992" s="32" t="s">
        <v>779</v>
      </c>
      <c r="D1992" s="32" t="s">
        <v>826</v>
      </c>
      <c r="E1992" s="33" t="s">
        <v>780</v>
      </c>
      <c r="F1992" s="34">
        <v>255611</v>
      </c>
      <c r="G1992" s="34">
        <v>256011</v>
      </c>
      <c r="H1992" s="35" t="s">
        <v>1677</v>
      </c>
    </row>
    <row r="1993" spans="1:8" ht="27" customHeight="1" x14ac:dyDescent="0.2">
      <c r="A1993" s="31" t="s">
        <v>2999</v>
      </c>
      <c r="B1993" s="32" t="s">
        <v>3000</v>
      </c>
      <c r="C1993" s="32" t="s">
        <v>763</v>
      </c>
      <c r="D1993" s="32" t="s">
        <v>816</v>
      </c>
      <c r="E1993" s="33" t="s">
        <v>764</v>
      </c>
      <c r="F1993" s="34">
        <v>0</v>
      </c>
      <c r="G1993" s="34">
        <v>0</v>
      </c>
      <c r="H1993" s="35" t="s">
        <v>3001</v>
      </c>
    </row>
    <row r="1994" spans="1:8" ht="27" customHeight="1" x14ac:dyDescent="0.2">
      <c r="A1994" s="31" t="s">
        <v>2999</v>
      </c>
      <c r="B1994" s="32" t="s">
        <v>3000</v>
      </c>
      <c r="C1994" s="32" t="s">
        <v>766</v>
      </c>
      <c r="D1994" s="32" t="s">
        <v>832</v>
      </c>
      <c r="E1994" s="33" t="s">
        <v>768</v>
      </c>
      <c r="F1994" s="34">
        <v>0</v>
      </c>
      <c r="G1994" s="34">
        <v>0</v>
      </c>
      <c r="H1994" s="35" t="s">
        <v>3002</v>
      </c>
    </row>
    <row r="1995" spans="1:8" ht="27" customHeight="1" x14ac:dyDescent="0.2">
      <c r="A1995" s="31" t="s">
        <v>2999</v>
      </c>
      <c r="B1995" s="32" t="s">
        <v>3000</v>
      </c>
      <c r="C1995" s="32" t="s">
        <v>770</v>
      </c>
      <c r="D1995" s="32" t="s">
        <v>3003</v>
      </c>
      <c r="E1995" s="33" t="s">
        <v>772</v>
      </c>
      <c r="F1995" s="34">
        <v>2877716</v>
      </c>
      <c r="G1995" s="34">
        <v>3177716</v>
      </c>
      <c r="H1995" s="35" t="s">
        <v>3004</v>
      </c>
    </row>
    <row r="1996" spans="1:8" ht="27" customHeight="1" x14ac:dyDescent="0.2">
      <c r="A1996" s="31" t="s">
        <v>2999</v>
      </c>
      <c r="B1996" s="32" t="s">
        <v>3000</v>
      </c>
      <c r="C1996" s="32" t="s">
        <v>884</v>
      </c>
      <c r="D1996" s="32" t="s">
        <v>3005</v>
      </c>
      <c r="E1996" s="33" t="s">
        <v>885</v>
      </c>
      <c r="F1996" s="34">
        <v>0</v>
      </c>
      <c r="G1996" s="34">
        <v>0</v>
      </c>
      <c r="H1996" s="35" t="s">
        <v>3006</v>
      </c>
    </row>
    <row r="1997" spans="1:8" ht="27" customHeight="1" x14ac:dyDescent="0.2">
      <c r="A1997" s="31" t="s">
        <v>2999</v>
      </c>
      <c r="B1997" s="32" t="s">
        <v>3000</v>
      </c>
      <c r="C1997" s="32" t="s">
        <v>844</v>
      </c>
      <c r="D1997" s="32" t="s">
        <v>972</v>
      </c>
      <c r="E1997" s="33" t="s">
        <v>846</v>
      </c>
      <c r="F1997" s="34">
        <v>0</v>
      </c>
      <c r="G1997" s="34">
        <v>0</v>
      </c>
      <c r="H1997" s="35" t="s">
        <v>3007</v>
      </c>
    </row>
    <row r="1998" spans="1:8" ht="27" customHeight="1" x14ac:dyDescent="0.2">
      <c r="A1998" s="31" t="s">
        <v>2999</v>
      </c>
      <c r="B1998" s="32" t="s">
        <v>3000</v>
      </c>
      <c r="C1998" s="32" t="s">
        <v>773</v>
      </c>
      <c r="D1998" s="32" t="s">
        <v>3008</v>
      </c>
      <c r="E1998" s="33" t="s">
        <v>775</v>
      </c>
      <c r="F1998" s="34">
        <v>0</v>
      </c>
      <c r="G1998" s="34">
        <v>0</v>
      </c>
      <c r="H1998" s="35" t="s">
        <v>3009</v>
      </c>
    </row>
    <row r="1999" spans="1:8" ht="27" customHeight="1" x14ac:dyDescent="0.2">
      <c r="A1999" s="31" t="s">
        <v>2999</v>
      </c>
      <c r="B1999" s="32" t="s">
        <v>3000</v>
      </c>
      <c r="C1999" s="32" t="s">
        <v>831</v>
      </c>
      <c r="D1999" s="32" t="s">
        <v>3010</v>
      </c>
      <c r="E1999" s="33"/>
      <c r="F1999" s="34">
        <v>0</v>
      </c>
      <c r="G1999" s="34">
        <v>0</v>
      </c>
      <c r="H1999" s="35" t="s">
        <v>3011</v>
      </c>
    </row>
    <row r="2000" spans="1:8" ht="27" customHeight="1" x14ac:dyDescent="0.2">
      <c r="A2000" s="31" t="s">
        <v>2999</v>
      </c>
      <c r="B2000" s="32" t="s">
        <v>3000</v>
      </c>
      <c r="C2000" s="32" t="s">
        <v>886</v>
      </c>
      <c r="D2000" s="32" t="s">
        <v>3012</v>
      </c>
      <c r="E2000" s="33" t="s">
        <v>887</v>
      </c>
      <c r="F2000" s="34">
        <v>0</v>
      </c>
      <c r="G2000" s="34">
        <v>0</v>
      </c>
      <c r="H2000" s="35" t="s">
        <v>3013</v>
      </c>
    </row>
    <row r="2001" spans="1:8" ht="27" customHeight="1" x14ac:dyDescent="0.2">
      <c r="A2001" s="31" t="s">
        <v>2999</v>
      </c>
      <c r="B2001" s="32" t="s">
        <v>3000</v>
      </c>
      <c r="C2001" s="32" t="s">
        <v>860</v>
      </c>
      <c r="D2001" s="32" t="s">
        <v>911</v>
      </c>
      <c r="E2001" s="33" t="s">
        <v>861</v>
      </c>
      <c r="F2001" s="34">
        <v>0</v>
      </c>
      <c r="G2001" s="34">
        <v>0</v>
      </c>
      <c r="H2001" s="35" t="s">
        <v>3014</v>
      </c>
    </row>
    <row r="2002" spans="1:8" ht="27" customHeight="1" x14ac:dyDescent="0.2">
      <c r="A2002" s="31" t="s">
        <v>2999</v>
      </c>
      <c r="B2002" s="32" t="s">
        <v>3000</v>
      </c>
      <c r="C2002" s="32" t="s">
        <v>796</v>
      </c>
      <c r="D2002" s="32" t="s">
        <v>811</v>
      </c>
      <c r="E2002" s="33" t="s">
        <v>772</v>
      </c>
      <c r="F2002" s="34">
        <v>3621919</v>
      </c>
      <c r="G2002" s="34">
        <v>4721919</v>
      </c>
      <c r="H2002" s="35" t="s">
        <v>3015</v>
      </c>
    </row>
    <row r="2003" spans="1:8" ht="27" customHeight="1" x14ac:dyDescent="0.2">
      <c r="A2003" s="31" t="s">
        <v>2999</v>
      </c>
      <c r="B2003" s="32" t="s">
        <v>3000</v>
      </c>
      <c r="C2003" s="32" t="s">
        <v>776</v>
      </c>
      <c r="D2003" s="32" t="s">
        <v>812</v>
      </c>
      <c r="E2003" s="33" t="s">
        <v>777</v>
      </c>
      <c r="F2003" s="34">
        <v>0</v>
      </c>
      <c r="G2003" s="34">
        <v>0</v>
      </c>
      <c r="H2003" s="35" t="s">
        <v>3016</v>
      </c>
    </row>
    <row r="2004" spans="1:8" ht="27" customHeight="1" x14ac:dyDescent="0.2">
      <c r="A2004" s="31" t="s">
        <v>2999</v>
      </c>
      <c r="B2004" s="32" t="s">
        <v>3000</v>
      </c>
      <c r="C2004" s="32" t="s">
        <v>798</v>
      </c>
      <c r="D2004" s="32" t="s">
        <v>1014</v>
      </c>
      <c r="E2004" s="33" t="s">
        <v>800</v>
      </c>
      <c r="F2004" s="34">
        <v>0</v>
      </c>
      <c r="G2004" s="34">
        <v>0</v>
      </c>
      <c r="H2004" s="35" t="s">
        <v>3017</v>
      </c>
    </row>
    <row r="2005" spans="1:8" ht="27" customHeight="1" x14ac:dyDescent="0.2">
      <c r="A2005" s="31" t="s">
        <v>2999</v>
      </c>
      <c r="B2005" s="32" t="s">
        <v>3000</v>
      </c>
      <c r="C2005" s="32" t="s">
        <v>892</v>
      </c>
      <c r="D2005" s="32" t="s">
        <v>1226</v>
      </c>
      <c r="E2005" s="33" t="s">
        <v>893</v>
      </c>
      <c r="F2005" s="34">
        <v>0</v>
      </c>
      <c r="G2005" s="34">
        <v>0</v>
      </c>
      <c r="H2005" s="35" t="s">
        <v>3018</v>
      </c>
    </row>
    <row r="2006" spans="1:8" ht="27" customHeight="1" x14ac:dyDescent="0.2">
      <c r="A2006" s="31" t="s">
        <v>2999</v>
      </c>
      <c r="B2006" s="32" t="s">
        <v>3000</v>
      </c>
      <c r="C2006" s="32" t="s">
        <v>779</v>
      </c>
      <c r="D2006" s="32" t="s">
        <v>826</v>
      </c>
      <c r="E2006" s="33" t="s">
        <v>780</v>
      </c>
      <c r="F2006" s="34">
        <v>241797</v>
      </c>
      <c r="G2006" s="34">
        <v>341797</v>
      </c>
      <c r="H2006" s="35" t="s">
        <v>3019</v>
      </c>
    </row>
    <row r="2007" spans="1:8" ht="27" customHeight="1" x14ac:dyDescent="0.2">
      <c r="A2007" s="31" t="s">
        <v>2999</v>
      </c>
      <c r="B2007" s="32" t="s">
        <v>3000</v>
      </c>
      <c r="C2007" s="32" t="s">
        <v>782</v>
      </c>
      <c r="D2007" s="32" t="s">
        <v>813</v>
      </c>
      <c r="E2007" s="33" t="s">
        <v>784</v>
      </c>
      <c r="F2007" s="34">
        <v>0</v>
      </c>
      <c r="G2007" s="34">
        <v>0</v>
      </c>
      <c r="H2007" s="35" t="s">
        <v>3020</v>
      </c>
    </row>
    <row r="2008" spans="1:8" ht="27" customHeight="1" x14ac:dyDescent="0.2">
      <c r="A2008" s="31" t="s">
        <v>3021</v>
      </c>
      <c r="B2008" s="32" t="s">
        <v>3022</v>
      </c>
      <c r="C2008" s="32" t="s">
        <v>763</v>
      </c>
      <c r="D2008" s="32" t="s">
        <v>3023</v>
      </c>
      <c r="E2008" s="33" t="s">
        <v>764</v>
      </c>
      <c r="F2008" s="34">
        <v>1420000</v>
      </c>
      <c r="G2008" s="34">
        <v>1420000</v>
      </c>
      <c r="H2008" s="35" t="s">
        <v>1049</v>
      </c>
    </row>
    <row r="2009" spans="1:8" ht="27" customHeight="1" x14ac:dyDescent="0.2">
      <c r="A2009" s="31" t="s">
        <v>3021</v>
      </c>
      <c r="B2009" s="32" t="s">
        <v>3022</v>
      </c>
      <c r="C2009" s="32" t="s">
        <v>770</v>
      </c>
      <c r="D2009" s="32" t="s">
        <v>830</v>
      </c>
      <c r="E2009" s="33" t="s">
        <v>772</v>
      </c>
      <c r="F2009" s="34">
        <v>1119791</v>
      </c>
      <c r="G2009" s="34">
        <v>1119791</v>
      </c>
      <c r="H2009" s="35" t="s">
        <v>3024</v>
      </c>
    </row>
    <row r="2010" spans="1:8" ht="27" customHeight="1" x14ac:dyDescent="0.2">
      <c r="A2010" s="31" t="s">
        <v>3021</v>
      </c>
      <c r="B2010" s="32" t="s">
        <v>3022</v>
      </c>
      <c r="C2010" s="32" t="s">
        <v>844</v>
      </c>
      <c r="D2010" s="32" t="s">
        <v>972</v>
      </c>
      <c r="E2010" s="33" t="s">
        <v>846</v>
      </c>
      <c r="F2010" s="34">
        <v>144054</v>
      </c>
      <c r="G2010" s="34">
        <v>144054</v>
      </c>
      <c r="H2010" s="35" t="s">
        <v>2805</v>
      </c>
    </row>
    <row r="2011" spans="1:8" ht="27" customHeight="1" x14ac:dyDescent="0.2">
      <c r="A2011" s="31" t="s">
        <v>3021</v>
      </c>
      <c r="B2011" s="32" t="s">
        <v>3022</v>
      </c>
      <c r="C2011" s="32" t="s">
        <v>796</v>
      </c>
      <c r="D2011" s="32" t="s">
        <v>835</v>
      </c>
      <c r="E2011" s="33" t="s">
        <v>772</v>
      </c>
      <c r="F2011" s="34">
        <v>2038190</v>
      </c>
      <c r="G2011" s="34">
        <v>1801326</v>
      </c>
      <c r="H2011" s="35" t="s">
        <v>3025</v>
      </c>
    </row>
    <row r="2012" spans="1:8" ht="27" customHeight="1" x14ac:dyDescent="0.2">
      <c r="A2012" s="31" t="s">
        <v>3021</v>
      </c>
      <c r="B2012" s="32" t="s">
        <v>3022</v>
      </c>
      <c r="C2012" s="32" t="s">
        <v>779</v>
      </c>
      <c r="D2012" s="32" t="s">
        <v>826</v>
      </c>
      <c r="E2012" s="33" t="s">
        <v>780</v>
      </c>
      <c r="F2012" s="34">
        <v>77129</v>
      </c>
      <c r="G2012" s="34">
        <v>73001</v>
      </c>
      <c r="H2012" s="35" t="s">
        <v>3026</v>
      </c>
    </row>
    <row r="2013" spans="1:8" ht="27" customHeight="1" x14ac:dyDescent="0.2">
      <c r="A2013" s="31" t="s">
        <v>3027</v>
      </c>
      <c r="B2013" s="32" t="s">
        <v>3028</v>
      </c>
      <c r="C2013" s="32" t="s">
        <v>763</v>
      </c>
      <c r="D2013" s="32" t="s">
        <v>3029</v>
      </c>
      <c r="E2013" s="33" t="s">
        <v>764</v>
      </c>
      <c r="F2013" s="34">
        <v>4621148</v>
      </c>
      <c r="G2013" s="34">
        <v>4635000</v>
      </c>
      <c r="H2013" s="35" t="s">
        <v>3030</v>
      </c>
    </row>
    <row r="2014" spans="1:8" ht="27" customHeight="1" x14ac:dyDescent="0.2">
      <c r="A2014" s="31" t="s">
        <v>3027</v>
      </c>
      <c r="B2014" s="32" t="s">
        <v>3028</v>
      </c>
      <c r="C2014" s="32" t="s">
        <v>763</v>
      </c>
      <c r="D2014" s="32" t="s">
        <v>3031</v>
      </c>
      <c r="E2014" s="33" t="s">
        <v>764</v>
      </c>
      <c r="F2014" s="34">
        <v>0</v>
      </c>
      <c r="G2014" s="34">
        <v>5000</v>
      </c>
      <c r="H2014" s="35" t="s">
        <v>3032</v>
      </c>
    </row>
    <row r="2015" spans="1:8" ht="27" customHeight="1" x14ac:dyDescent="0.2">
      <c r="A2015" s="31" t="s">
        <v>3027</v>
      </c>
      <c r="B2015" s="32" t="s">
        <v>3028</v>
      </c>
      <c r="C2015" s="32" t="s">
        <v>763</v>
      </c>
      <c r="D2015" s="32" t="s">
        <v>3033</v>
      </c>
      <c r="E2015" s="33" t="s">
        <v>764</v>
      </c>
      <c r="F2015" s="34">
        <v>1403165</v>
      </c>
      <c r="G2015" s="34">
        <v>1405165</v>
      </c>
      <c r="H2015" s="35" t="s">
        <v>3032</v>
      </c>
    </row>
    <row r="2016" spans="1:8" ht="27" customHeight="1" x14ac:dyDescent="0.2">
      <c r="A2016" s="31" t="s">
        <v>3027</v>
      </c>
      <c r="B2016" s="32" t="s">
        <v>3028</v>
      </c>
      <c r="C2016" s="32" t="s">
        <v>770</v>
      </c>
      <c r="D2016" s="32" t="s">
        <v>794</v>
      </c>
      <c r="E2016" s="33" t="s">
        <v>772</v>
      </c>
      <c r="F2016" s="34">
        <v>1490432</v>
      </c>
      <c r="G2016" s="34">
        <v>1495432</v>
      </c>
      <c r="H2016" s="35" t="s">
        <v>770</v>
      </c>
    </row>
    <row r="2017" spans="1:8" ht="27" customHeight="1" x14ac:dyDescent="0.2">
      <c r="A2017" s="31" t="s">
        <v>3027</v>
      </c>
      <c r="B2017" s="32" t="s">
        <v>3028</v>
      </c>
      <c r="C2017" s="32" t="s">
        <v>844</v>
      </c>
      <c r="D2017" s="32" t="s">
        <v>844</v>
      </c>
      <c r="E2017" s="33" t="s">
        <v>846</v>
      </c>
      <c r="F2017" s="34">
        <v>106228</v>
      </c>
      <c r="G2017" s="34">
        <v>106500</v>
      </c>
      <c r="H2017" s="35" t="s">
        <v>3034</v>
      </c>
    </row>
    <row r="2018" spans="1:8" ht="27" customHeight="1" x14ac:dyDescent="0.2">
      <c r="A2018" s="31" t="s">
        <v>3027</v>
      </c>
      <c r="B2018" s="32" t="s">
        <v>3028</v>
      </c>
      <c r="C2018" s="32" t="s">
        <v>796</v>
      </c>
      <c r="D2018" s="32" t="s">
        <v>1050</v>
      </c>
      <c r="E2018" s="33" t="s">
        <v>823</v>
      </c>
      <c r="F2018" s="34">
        <v>1856477</v>
      </c>
      <c r="G2018" s="34">
        <v>1862477</v>
      </c>
      <c r="H2018" s="35" t="s">
        <v>835</v>
      </c>
    </row>
    <row r="2019" spans="1:8" ht="27" customHeight="1" x14ac:dyDescent="0.2">
      <c r="A2019" s="31" t="s">
        <v>3027</v>
      </c>
      <c r="B2019" s="32" t="s">
        <v>3028</v>
      </c>
      <c r="C2019" s="32" t="s">
        <v>779</v>
      </c>
      <c r="D2019" s="32" t="s">
        <v>802</v>
      </c>
      <c r="E2019" s="33" t="s">
        <v>780</v>
      </c>
      <c r="F2019" s="34">
        <v>143557</v>
      </c>
      <c r="G2019" s="34">
        <v>144000</v>
      </c>
      <c r="H2019" s="35" t="s">
        <v>779</v>
      </c>
    </row>
    <row r="2020" spans="1:8" ht="27" customHeight="1" x14ac:dyDescent="0.2">
      <c r="A2020" s="31" t="s">
        <v>3027</v>
      </c>
      <c r="B2020" s="32" t="s">
        <v>3028</v>
      </c>
      <c r="C2020" s="32" t="s">
        <v>782</v>
      </c>
      <c r="D2020" s="32" t="s">
        <v>782</v>
      </c>
      <c r="E2020" s="33" t="s">
        <v>784</v>
      </c>
      <c r="F2020" s="34">
        <v>1339649</v>
      </c>
      <c r="G2020" s="34">
        <v>1344649</v>
      </c>
      <c r="H2020" s="35" t="s">
        <v>782</v>
      </c>
    </row>
    <row r="2021" spans="1:8" ht="27" customHeight="1" x14ac:dyDescent="0.2">
      <c r="A2021" s="31" t="s">
        <v>3035</v>
      </c>
      <c r="B2021" s="32" t="s">
        <v>3036</v>
      </c>
      <c r="C2021" s="32" t="s">
        <v>763</v>
      </c>
      <c r="D2021" s="32" t="s">
        <v>1543</v>
      </c>
      <c r="E2021" s="33" t="s">
        <v>764</v>
      </c>
      <c r="F2021" s="34">
        <v>3780</v>
      </c>
      <c r="G2021" s="34">
        <v>3780</v>
      </c>
      <c r="H2021" s="35" t="s">
        <v>3037</v>
      </c>
    </row>
    <row r="2022" spans="1:8" ht="27" customHeight="1" x14ac:dyDescent="0.2">
      <c r="A2022" s="31" t="s">
        <v>3035</v>
      </c>
      <c r="B2022" s="32" t="s">
        <v>3036</v>
      </c>
      <c r="C2022" s="32" t="s">
        <v>763</v>
      </c>
      <c r="D2022" s="32" t="s">
        <v>816</v>
      </c>
      <c r="E2022" s="33" t="s">
        <v>764</v>
      </c>
      <c r="F2022" s="34">
        <v>1935968</v>
      </c>
      <c r="G2022" s="34">
        <v>1935968</v>
      </c>
      <c r="H2022" s="35" t="s">
        <v>3038</v>
      </c>
    </row>
    <row r="2023" spans="1:8" ht="27" customHeight="1" x14ac:dyDescent="0.2">
      <c r="A2023" s="31" t="s">
        <v>3035</v>
      </c>
      <c r="B2023" s="32" t="s">
        <v>3036</v>
      </c>
      <c r="C2023" s="32" t="s">
        <v>763</v>
      </c>
      <c r="D2023" s="32" t="s">
        <v>3039</v>
      </c>
      <c r="E2023" s="33" t="s">
        <v>764</v>
      </c>
      <c r="F2023" s="34">
        <v>925036</v>
      </c>
      <c r="G2023" s="34">
        <v>925036</v>
      </c>
      <c r="H2023" s="35" t="s">
        <v>3037</v>
      </c>
    </row>
    <row r="2024" spans="1:8" ht="27" customHeight="1" x14ac:dyDescent="0.2">
      <c r="A2024" s="31" t="s">
        <v>3035</v>
      </c>
      <c r="B2024" s="32" t="s">
        <v>3036</v>
      </c>
      <c r="C2024" s="32" t="s">
        <v>770</v>
      </c>
      <c r="D2024" s="32" t="s">
        <v>1011</v>
      </c>
      <c r="E2024" s="33" t="s">
        <v>772</v>
      </c>
      <c r="F2024" s="34">
        <v>1650648</v>
      </c>
      <c r="G2024" s="34">
        <v>1825648</v>
      </c>
      <c r="H2024" s="35" t="s">
        <v>3040</v>
      </c>
    </row>
    <row r="2025" spans="1:8" ht="27" customHeight="1" x14ac:dyDescent="0.2">
      <c r="A2025" s="31" t="s">
        <v>3035</v>
      </c>
      <c r="B2025" s="32" t="s">
        <v>3036</v>
      </c>
      <c r="C2025" s="32" t="s">
        <v>773</v>
      </c>
      <c r="D2025" s="32" t="s">
        <v>773</v>
      </c>
      <c r="E2025" s="33" t="s">
        <v>775</v>
      </c>
      <c r="F2025" s="34">
        <v>6869</v>
      </c>
      <c r="G2025" s="34">
        <v>6869</v>
      </c>
      <c r="H2025" s="35" t="s">
        <v>3041</v>
      </c>
    </row>
    <row r="2026" spans="1:8" ht="27" customHeight="1" x14ac:dyDescent="0.2">
      <c r="A2026" s="31" t="s">
        <v>3035</v>
      </c>
      <c r="B2026" s="32" t="s">
        <v>3036</v>
      </c>
      <c r="C2026" s="32" t="s">
        <v>831</v>
      </c>
      <c r="D2026" s="32" t="s">
        <v>3042</v>
      </c>
      <c r="E2026" s="33" t="s">
        <v>3043</v>
      </c>
      <c r="F2026" s="34">
        <v>975444</v>
      </c>
      <c r="G2026" s="34">
        <v>975444</v>
      </c>
      <c r="H2026" s="35" t="s">
        <v>3041</v>
      </c>
    </row>
    <row r="2027" spans="1:8" ht="27" customHeight="1" x14ac:dyDescent="0.2">
      <c r="A2027" s="31" t="s">
        <v>3035</v>
      </c>
      <c r="B2027" s="32" t="s">
        <v>3036</v>
      </c>
      <c r="C2027" s="32" t="s">
        <v>860</v>
      </c>
      <c r="D2027" s="32" t="s">
        <v>860</v>
      </c>
      <c r="E2027" s="33" t="s">
        <v>861</v>
      </c>
      <c r="F2027" s="34">
        <v>851441</v>
      </c>
      <c r="G2027" s="34">
        <v>851441</v>
      </c>
      <c r="H2027" s="35" t="s">
        <v>3041</v>
      </c>
    </row>
    <row r="2028" spans="1:8" ht="27" customHeight="1" x14ac:dyDescent="0.2">
      <c r="A2028" s="31" t="s">
        <v>3035</v>
      </c>
      <c r="B2028" s="32" t="s">
        <v>3036</v>
      </c>
      <c r="C2028" s="32" t="s">
        <v>796</v>
      </c>
      <c r="D2028" s="32" t="s">
        <v>3044</v>
      </c>
      <c r="E2028" s="33" t="s">
        <v>823</v>
      </c>
      <c r="F2028" s="34">
        <v>3007253</v>
      </c>
      <c r="G2028" s="34">
        <v>2596812</v>
      </c>
      <c r="H2028" s="35" t="s">
        <v>3045</v>
      </c>
    </row>
    <row r="2029" spans="1:8" ht="27" customHeight="1" x14ac:dyDescent="0.2">
      <c r="A2029" s="31" t="s">
        <v>3035</v>
      </c>
      <c r="B2029" s="32" t="s">
        <v>3036</v>
      </c>
      <c r="C2029" s="32" t="s">
        <v>779</v>
      </c>
      <c r="D2029" s="32" t="s">
        <v>802</v>
      </c>
      <c r="E2029" s="33" t="s">
        <v>780</v>
      </c>
      <c r="F2029" s="34">
        <v>746239</v>
      </c>
      <c r="G2029" s="34">
        <v>741242</v>
      </c>
      <c r="H2029" s="35" t="s">
        <v>3046</v>
      </c>
    </row>
    <row r="2030" spans="1:8" ht="27" customHeight="1" x14ac:dyDescent="0.2">
      <c r="A2030" s="31" t="s">
        <v>3035</v>
      </c>
      <c r="B2030" s="32" t="s">
        <v>3036</v>
      </c>
      <c r="C2030" s="32" t="s">
        <v>782</v>
      </c>
      <c r="D2030" s="32" t="s">
        <v>901</v>
      </c>
      <c r="E2030" s="33" t="s">
        <v>784</v>
      </c>
      <c r="F2030" s="34">
        <v>810707</v>
      </c>
      <c r="G2030" s="34">
        <v>660721</v>
      </c>
      <c r="H2030" s="35" t="s">
        <v>3047</v>
      </c>
    </row>
    <row r="2031" spans="1:8" ht="27" customHeight="1" x14ac:dyDescent="0.2">
      <c r="A2031" s="31" t="s">
        <v>3048</v>
      </c>
      <c r="B2031" s="32" t="s">
        <v>3049</v>
      </c>
      <c r="C2031" s="32" t="s">
        <v>763</v>
      </c>
      <c r="D2031" s="32" t="s">
        <v>969</v>
      </c>
      <c r="E2031" s="33" t="s">
        <v>764</v>
      </c>
      <c r="F2031" s="34">
        <v>1251144</v>
      </c>
      <c r="G2031" s="34">
        <v>0</v>
      </c>
      <c r="H2031" s="35" t="s">
        <v>3050</v>
      </c>
    </row>
    <row r="2032" spans="1:8" ht="27" customHeight="1" x14ac:dyDescent="0.2">
      <c r="A2032" s="31" t="s">
        <v>3048</v>
      </c>
      <c r="B2032" s="32" t="s">
        <v>3049</v>
      </c>
      <c r="C2032" s="32" t="s">
        <v>763</v>
      </c>
      <c r="D2032" s="32" t="s">
        <v>967</v>
      </c>
      <c r="E2032" s="33" t="s">
        <v>764</v>
      </c>
      <c r="F2032" s="34">
        <v>3557362</v>
      </c>
      <c r="G2032" s="34">
        <v>5087362</v>
      </c>
      <c r="H2032" s="35" t="s">
        <v>3051</v>
      </c>
    </row>
    <row r="2033" spans="1:8" ht="27" customHeight="1" x14ac:dyDescent="0.2">
      <c r="A2033" s="31" t="s">
        <v>3048</v>
      </c>
      <c r="B2033" s="32" t="s">
        <v>3049</v>
      </c>
      <c r="C2033" s="32" t="s">
        <v>770</v>
      </c>
      <c r="D2033" s="32" t="s">
        <v>1720</v>
      </c>
      <c r="E2033" s="33" t="s">
        <v>772</v>
      </c>
      <c r="F2033" s="34">
        <v>6662776</v>
      </c>
      <c r="G2033" s="34">
        <v>6662776</v>
      </c>
      <c r="H2033" s="35" t="s">
        <v>3052</v>
      </c>
    </row>
    <row r="2034" spans="1:8" ht="27" customHeight="1" x14ac:dyDescent="0.2">
      <c r="A2034" s="31" t="s">
        <v>3048</v>
      </c>
      <c r="B2034" s="32" t="s">
        <v>3049</v>
      </c>
      <c r="C2034" s="32" t="s">
        <v>844</v>
      </c>
      <c r="D2034" s="32" t="s">
        <v>972</v>
      </c>
      <c r="E2034" s="33" t="s">
        <v>846</v>
      </c>
      <c r="F2034" s="34">
        <v>179418</v>
      </c>
      <c r="G2034" s="34">
        <v>179418</v>
      </c>
      <c r="H2034" s="35" t="s">
        <v>3053</v>
      </c>
    </row>
    <row r="2035" spans="1:8" ht="27" customHeight="1" x14ac:dyDescent="0.2">
      <c r="A2035" s="31" t="s">
        <v>3048</v>
      </c>
      <c r="B2035" s="32" t="s">
        <v>3049</v>
      </c>
      <c r="C2035" s="32" t="s">
        <v>796</v>
      </c>
      <c r="D2035" s="32" t="s">
        <v>835</v>
      </c>
      <c r="E2035" s="33" t="s">
        <v>772</v>
      </c>
      <c r="F2035" s="34">
        <v>5676953</v>
      </c>
      <c r="G2035" s="34">
        <v>6906953</v>
      </c>
      <c r="H2035" s="35" t="s">
        <v>3054</v>
      </c>
    </row>
    <row r="2036" spans="1:8" ht="27" customHeight="1" x14ac:dyDescent="0.2">
      <c r="A2036" s="31" t="s">
        <v>3048</v>
      </c>
      <c r="B2036" s="32" t="s">
        <v>3049</v>
      </c>
      <c r="C2036" s="32" t="s">
        <v>779</v>
      </c>
      <c r="D2036" s="32" t="s">
        <v>876</v>
      </c>
      <c r="E2036" s="33" t="s">
        <v>780</v>
      </c>
      <c r="F2036" s="34">
        <v>447441</v>
      </c>
      <c r="G2036" s="34">
        <v>447441</v>
      </c>
      <c r="H2036" s="35" t="s">
        <v>3055</v>
      </c>
    </row>
    <row r="2037" spans="1:8" ht="27" customHeight="1" x14ac:dyDescent="0.2">
      <c r="A2037" s="31" t="s">
        <v>3048</v>
      </c>
      <c r="B2037" s="32" t="s">
        <v>3049</v>
      </c>
      <c r="C2037" s="32" t="s">
        <v>782</v>
      </c>
      <c r="D2037" s="32" t="s">
        <v>964</v>
      </c>
      <c r="E2037" s="33" t="s">
        <v>784</v>
      </c>
      <c r="F2037" s="34">
        <v>3299983</v>
      </c>
      <c r="G2037" s="34">
        <v>3989983</v>
      </c>
      <c r="H2037" s="35" t="s">
        <v>3056</v>
      </c>
    </row>
    <row r="2038" spans="1:8" ht="27" customHeight="1" x14ac:dyDescent="0.2">
      <c r="A2038" s="31" t="s">
        <v>3057</v>
      </c>
      <c r="B2038" s="32" t="s">
        <v>3058</v>
      </c>
      <c r="C2038" s="32" t="s">
        <v>770</v>
      </c>
      <c r="D2038" s="32" t="s">
        <v>770</v>
      </c>
      <c r="E2038" s="33" t="s">
        <v>772</v>
      </c>
      <c r="F2038" s="34">
        <v>2512950</v>
      </c>
      <c r="G2038" s="34">
        <v>2630000</v>
      </c>
      <c r="H2038" s="35" t="s">
        <v>3059</v>
      </c>
    </row>
    <row r="2039" spans="1:8" ht="27" customHeight="1" x14ac:dyDescent="0.2">
      <c r="A2039" s="31" t="s">
        <v>3057</v>
      </c>
      <c r="B2039" s="32" t="s">
        <v>3058</v>
      </c>
      <c r="C2039" s="32" t="s">
        <v>844</v>
      </c>
      <c r="D2039" s="32" t="s">
        <v>972</v>
      </c>
      <c r="E2039" s="33" t="s">
        <v>846</v>
      </c>
      <c r="F2039" s="34">
        <v>4181140</v>
      </c>
      <c r="G2039" s="34">
        <v>4350000</v>
      </c>
      <c r="H2039" s="35" t="s">
        <v>3060</v>
      </c>
    </row>
    <row r="2040" spans="1:8" ht="27" customHeight="1" x14ac:dyDescent="0.2">
      <c r="A2040" s="31" t="s">
        <v>3057</v>
      </c>
      <c r="B2040" s="32" t="s">
        <v>3058</v>
      </c>
      <c r="C2040" s="32" t="s">
        <v>796</v>
      </c>
      <c r="D2040" s="32" t="s">
        <v>796</v>
      </c>
      <c r="E2040" s="33" t="s">
        <v>772</v>
      </c>
      <c r="F2040" s="34">
        <v>7247180</v>
      </c>
      <c r="G2040" s="34">
        <v>7150000</v>
      </c>
      <c r="H2040" s="35" t="s">
        <v>3061</v>
      </c>
    </row>
    <row r="2041" spans="1:8" ht="27" customHeight="1" x14ac:dyDescent="0.2">
      <c r="A2041" s="31" t="s">
        <v>3057</v>
      </c>
      <c r="B2041" s="32" t="s">
        <v>3058</v>
      </c>
      <c r="C2041" s="32" t="s">
        <v>779</v>
      </c>
      <c r="D2041" s="32" t="s">
        <v>779</v>
      </c>
      <c r="E2041" s="33" t="s">
        <v>780</v>
      </c>
      <c r="F2041" s="34">
        <v>1005180</v>
      </c>
      <c r="G2041" s="34">
        <v>1002000</v>
      </c>
      <c r="H2041" s="35" t="s">
        <v>3062</v>
      </c>
    </row>
    <row r="2042" spans="1:8" ht="27" customHeight="1" x14ac:dyDescent="0.2">
      <c r="A2042" s="31" t="s">
        <v>3057</v>
      </c>
      <c r="B2042" s="32" t="s">
        <v>3058</v>
      </c>
      <c r="C2042" s="32" t="s">
        <v>782</v>
      </c>
      <c r="D2042" s="32" t="s">
        <v>782</v>
      </c>
      <c r="E2042" s="33" t="s">
        <v>784</v>
      </c>
      <c r="F2042" s="34">
        <v>5025900</v>
      </c>
      <c r="G2042" s="34">
        <v>4985000</v>
      </c>
      <c r="H2042" s="35" t="s">
        <v>3063</v>
      </c>
    </row>
    <row r="2043" spans="1:8" ht="27" customHeight="1" x14ac:dyDescent="0.2">
      <c r="A2043" s="31" t="s">
        <v>3064</v>
      </c>
      <c r="B2043" s="32" t="s">
        <v>3065</v>
      </c>
      <c r="C2043" s="32" t="s">
        <v>763</v>
      </c>
      <c r="D2043" s="32" t="s">
        <v>816</v>
      </c>
      <c r="E2043" s="33" t="s">
        <v>764</v>
      </c>
      <c r="F2043" s="34">
        <v>1532377</v>
      </c>
      <c r="G2043" s="34">
        <v>0</v>
      </c>
      <c r="H2043" s="35" t="s">
        <v>859</v>
      </c>
    </row>
    <row r="2044" spans="1:8" ht="27" customHeight="1" x14ac:dyDescent="0.2">
      <c r="A2044" s="31" t="s">
        <v>3064</v>
      </c>
      <c r="B2044" s="32" t="s">
        <v>3065</v>
      </c>
      <c r="C2044" s="32" t="s">
        <v>766</v>
      </c>
      <c r="D2044" s="32" t="s">
        <v>1301</v>
      </c>
      <c r="E2044" s="33" t="s">
        <v>768</v>
      </c>
      <c r="F2044" s="34">
        <v>213259</v>
      </c>
      <c r="G2044" s="34">
        <v>213500</v>
      </c>
      <c r="H2044" s="35" t="s">
        <v>3066</v>
      </c>
    </row>
    <row r="2045" spans="1:8" ht="27" customHeight="1" x14ac:dyDescent="0.2">
      <c r="A2045" s="31" t="s">
        <v>3064</v>
      </c>
      <c r="B2045" s="32" t="s">
        <v>3065</v>
      </c>
      <c r="C2045" s="32" t="s">
        <v>770</v>
      </c>
      <c r="D2045" s="32" t="s">
        <v>810</v>
      </c>
      <c r="E2045" s="33" t="s">
        <v>772</v>
      </c>
      <c r="F2045" s="34">
        <v>6967290</v>
      </c>
      <c r="G2045" s="34">
        <v>6367290</v>
      </c>
      <c r="H2045" s="35" t="s">
        <v>3067</v>
      </c>
    </row>
    <row r="2046" spans="1:8" ht="27" customHeight="1" x14ac:dyDescent="0.2">
      <c r="A2046" s="31" t="s">
        <v>3064</v>
      </c>
      <c r="B2046" s="32" t="s">
        <v>3065</v>
      </c>
      <c r="C2046" s="32" t="s">
        <v>796</v>
      </c>
      <c r="D2046" s="32" t="s">
        <v>811</v>
      </c>
      <c r="E2046" s="33" t="s">
        <v>772</v>
      </c>
      <c r="F2046" s="34">
        <v>7885028</v>
      </c>
      <c r="G2046" s="34">
        <v>7120510</v>
      </c>
      <c r="H2046" s="35" t="s">
        <v>3068</v>
      </c>
    </row>
    <row r="2047" spans="1:8" ht="27" customHeight="1" x14ac:dyDescent="0.2">
      <c r="A2047" s="31" t="s">
        <v>3064</v>
      </c>
      <c r="B2047" s="32" t="s">
        <v>3065</v>
      </c>
      <c r="C2047" s="32" t="s">
        <v>798</v>
      </c>
      <c r="D2047" s="32" t="s">
        <v>1014</v>
      </c>
      <c r="E2047" s="33" t="s">
        <v>800</v>
      </c>
      <c r="F2047" s="34">
        <v>0</v>
      </c>
      <c r="G2047" s="34">
        <v>0</v>
      </c>
      <c r="H2047" s="35" t="s">
        <v>3069</v>
      </c>
    </row>
    <row r="2048" spans="1:8" ht="27" customHeight="1" x14ac:dyDescent="0.2">
      <c r="A2048" s="31" t="s">
        <v>3064</v>
      </c>
      <c r="B2048" s="32" t="s">
        <v>3065</v>
      </c>
      <c r="C2048" s="32" t="s">
        <v>779</v>
      </c>
      <c r="D2048" s="32" t="s">
        <v>876</v>
      </c>
      <c r="E2048" s="33" t="s">
        <v>780</v>
      </c>
      <c r="F2048" s="34">
        <v>347566</v>
      </c>
      <c r="G2048" s="34">
        <v>348200</v>
      </c>
      <c r="H2048" s="35" t="s">
        <v>3066</v>
      </c>
    </row>
    <row r="2049" spans="1:8" ht="27" customHeight="1" x14ac:dyDescent="0.2">
      <c r="A2049" s="31" t="s">
        <v>3064</v>
      </c>
      <c r="B2049" s="32" t="s">
        <v>3065</v>
      </c>
      <c r="C2049" s="32" t="s">
        <v>782</v>
      </c>
      <c r="D2049" s="32" t="s">
        <v>813</v>
      </c>
      <c r="E2049" s="33" t="s">
        <v>784</v>
      </c>
      <c r="F2049" s="34">
        <v>760536</v>
      </c>
      <c r="G2049" s="34">
        <v>762000</v>
      </c>
      <c r="H2049" s="35" t="s">
        <v>3070</v>
      </c>
    </row>
    <row r="2050" spans="1:8" ht="27" customHeight="1" x14ac:dyDescent="0.2">
      <c r="A2050" s="31" t="s">
        <v>3071</v>
      </c>
      <c r="B2050" s="32" t="s">
        <v>3072</v>
      </c>
      <c r="C2050" s="32" t="s">
        <v>763</v>
      </c>
      <c r="D2050" s="32" t="s">
        <v>3073</v>
      </c>
      <c r="E2050" s="33" t="s">
        <v>764</v>
      </c>
      <c r="F2050" s="34">
        <v>0</v>
      </c>
      <c r="G2050" s="34">
        <v>1553547</v>
      </c>
      <c r="H2050" s="35" t="s">
        <v>859</v>
      </c>
    </row>
    <row r="2051" spans="1:8" ht="27" customHeight="1" x14ac:dyDescent="0.2">
      <c r="A2051" s="31" t="s">
        <v>3071</v>
      </c>
      <c r="B2051" s="32" t="s">
        <v>3072</v>
      </c>
      <c r="C2051" s="32" t="s">
        <v>763</v>
      </c>
      <c r="D2051" s="32" t="s">
        <v>763</v>
      </c>
      <c r="E2051" s="33" t="s">
        <v>764</v>
      </c>
      <c r="F2051" s="34">
        <v>2439710</v>
      </c>
      <c r="G2051" s="34">
        <v>2759376</v>
      </c>
      <c r="H2051" s="35" t="s">
        <v>3074</v>
      </c>
    </row>
    <row r="2052" spans="1:8" ht="27" customHeight="1" x14ac:dyDescent="0.2">
      <c r="A2052" s="31" t="s">
        <v>3071</v>
      </c>
      <c r="B2052" s="32" t="s">
        <v>3072</v>
      </c>
      <c r="C2052" s="32" t="s">
        <v>770</v>
      </c>
      <c r="D2052" s="32" t="s">
        <v>1751</v>
      </c>
      <c r="E2052" s="33" t="s">
        <v>772</v>
      </c>
      <c r="F2052" s="34">
        <v>6824305</v>
      </c>
      <c r="G2052" s="34">
        <v>6846947</v>
      </c>
      <c r="H2052" s="35" t="s">
        <v>859</v>
      </c>
    </row>
    <row r="2053" spans="1:8" ht="27" customHeight="1" x14ac:dyDescent="0.2">
      <c r="A2053" s="31" t="s">
        <v>3071</v>
      </c>
      <c r="B2053" s="32" t="s">
        <v>3072</v>
      </c>
      <c r="C2053" s="32" t="s">
        <v>796</v>
      </c>
      <c r="D2053" s="32" t="s">
        <v>1050</v>
      </c>
      <c r="E2053" s="33" t="s">
        <v>772</v>
      </c>
      <c r="F2053" s="34">
        <v>5509628</v>
      </c>
      <c r="G2053" s="34">
        <v>5527908</v>
      </c>
      <c r="H2053" s="35" t="s">
        <v>859</v>
      </c>
    </row>
    <row r="2054" spans="1:8" ht="27" customHeight="1" x14ac:dyDescent="0.2">
      <c r="A2054" s="31" t="s">
        <v>3071</v>
      </c>
      <c r="B2054" s="32" t="s">
        <v>3072</v>
      </c>
      <c r="C2054" s="32" t="s">
        <v>782</v>
      </c>
      <c r="D2054" s="32" t="s">
        <v>901</v>
      </c>
      <c r="E2054" s="33" t="s">
        <v>784</v>
      </c>
      <c r="F2054" s="34">
        <v>2229603</v>
      </c>
      <c r="G2054" s="34">
        <v>2237000</v>
      </c>
      <c r="H2054" s="35" t="s">
        <v>859</v>
      </c>
    </row>
    <row r="2055" spans="1:8" ht="27" customHeight="1" x14ac:dyDescent="0.2">
      <c r="A2055" s="31" t="s">
        <v>3075</v>
      </c>
      <c r="B2055" s="32" t="s">
        <v>3076</v>
      </c>
      <c r="C2055" s="32" t="s">
        <v>770</v>
      </c>
      <c r="D2055" s="32" t="s">
        <v>770</v>
      </c>
      <c r="E2055" s="33" t="s">
        <v>772</v>
      </c>
      <c r="F2055" s="34">
        <v>10072781</v>
      </c>
      <c r="G2055" s="34">
        <v>9756904</v>
      </c>
      <c r="H2055" s="35" t="s">
        <v>3077</v>
      </c>
    </row>
    <row r="2056" spans="1:8" ht="27" customHeight="1" x14ac:dyDescent="0.2">
      <c r="A2056" s="31" t="s">
        <v>3075</v>
      </c>
      <c r="B2056" s="32" t="s">
        <v>3076</v>
      </c>
      <c r="C2056" s="32" t="s">
        <v>844</v>
      </c>
      <c r="D2056" s="32" t="s">
        <v>844</v>
      </c>
      <c r="E2056" s="33" t="s">
        <v>846</v>
      </c>
      <c r="F2056" s="34">
        <v>437440</v>
      </c>
      <c r="G2056" s="34">
        <v>437440</v>
      </c>
      <c r="H2056" s="35" t="s">
        <v>829</v>
      </c>
    </row>
    <row r="2057" spans="1:8" ht="27" customHeight="1" x14ac:dyDescent="0.2">
      <c r="A2057" s="31" t="s">
        <v>3075</v>
      </c>
      <c r="B2057" s="32" t="s">
        <v>3076</v>
      </c>
      <c r="C2057" s="32" t="s">
        <v>860</v>
      </c>
      <c r="D2057" s="32" t="s">
        <v>2840</v>
      </c>
      <c r="E2057" s="33" t="s">
        <v>861</v>
      </c>
      <c r="F2057" s="34">
        <v>20701</v>
      </c>
      <c r="G2057" s="34">
        <v>20701</v>
      </c>
      <c r="H2057" s="35" t="s">
        <v>829</v>
      </c>
    </row>
    <row r="2058" spans="1:8" ht="27" customHeight="1" x14ac:dyDescent="0.2">
      <c r="A2058" s="31" t="s">
        <v>3075</v>
      </c>
      <c r="B2058" s="32" t="s">
        <v>3076</v>
      </c>
      <c r="C2058" s="32" t="s">
        <v>796</v>
      </c>
      <c r="D2058" s="32" t="s">
        <v>796</v>
      </c>
      <c r="E2058" s="33" t="s">
        <v>823</v>
      </c>
      <c r="F2058" s="34">
        <v>7777436</v>
      </c>
      <c r="G2058" s="34">
        <v>6504605</v>
      </c>
      <c r="H2058" s="35" t="s">
        <v>3078</v>
      </c>
    </row>
    <row r="2059" spans="1:8" ht="27" customHeight="1" x14ac:dyDescent="0.2">
      <c r="A2059" s="31" t="s">
        <v>3075</v>
      </c>
      <c r="B2059" s="32" t="s">
        <v>3076</v>
      </c>
      <c r="C2059" s="32" t="s">
        <v>779</v>
      </c>
      <c r="D2059" s="32" t="s">
        <v>779</v>
      </c>
      <c r="E2059" s="33" t="s">
        <v>780</v>
      </c>
      <c r="F2059" s="34">
        <v>224387</v>
      </c>
      <c r="G2059" s="34">
        <v>224387</v>
      </c>
      <c r="H2059" s="35" t="s">
        <v>3079</v>
      </c>
    </row>
    <row r="2060" spans="1:8" ht="27" customHeight="1" x14ac:dyDescent="0.2">
      <c r="A2060" s="31" t="s">
        <v>3075</v>
      </c>
      <c r="B2060" s="32" t="s">
        <v>3076</v>
      </c>
      <c r="C2060" s="32" t="s">
        <v>782</v>
      </c>
      <c r="D2060" s="32" t="s">
        <v>783</v>
      </c>
      <c r="E2060" s="33" t="s">
        <v>784</v>
      </c>
      <c r="F2060" s="34">
        <v>3572945</v>
      </c>
      <c r="G2060" s="34">
        <v>3407075</v>
      </c>
      <c r="H2060" s="35" t="s">
        <v>3080</v>
      </c>
    </row>
    <row r="2061" spans="1:8" ht="27" customHeight="1" x14ac:dyDescent="0.2">
      <c r="A2061" s="31" t="s">
        <v>3081</v>
      </c>
      <c r="B2061" s="32" t="s">
        <v>3082</v>
      </c>
      <c r="C2061" s="32" t="s">
        <v>763</v>
      </c>
      <c r="D2061" s="32" t="s">
        <v>3083</v>
      </c>
      <c r="E2061" s="33" t="s">
        <v>764</v>
      </c>
      <c r="F2061" s="34">
        <v>2331615</v>
      </c>
      <c r="G2061" s="34">
        <v>2350268</v>
      </c>
      <c r="H2061" s="35" t="s">
        <v>3084</v>
      </c>
    </row>
    <row r="2062" spans="1:8" ht="27" customHeight="1" x14ac:dyDescent="0.2">
      <c r="A2062" s="31" t="s">
        <v>3081</v>
      </c>
      <c r="B2062" s="32" t="s">
        <v>3082</v>
      </c>
      <c r="C2062" s="32" t="s">
        <v>763</v>
      </c>
      <c r="D2062" s="32" t="s">
        <v>3085</v>
      </c>
      <c r="E2062" s="33" t="s">
        <v>764</v>
      </c>
      <c r="F2062" s="34">
        <v>1000000</v>
      </c>
      <c r="G2062" s="34">
        <v>0</v>
      </c>
      <c r="H2062" s="35" t="s">
        <v>3086</v>
      </c>
    </row>
    <row r="2063" spans="1:8" ht="27" customHeight="1" x14ac:dyDescent="0.2">
      <c r="A2063" s="31" t="s">
        <v>3081</v>
      </c>
      <c r="B2063" s="32" t="s">
        <v>3082</v>
      </c>
      <c r="C2063" s="32" t="s">
        <v>770</v>
      </c>
      <c r="D2063" s="32" t="s">
        <v>770</v>
      </c>
      <c r="E2063" s="33" t="s">
        <v>772</v>
      </c>
      <c r="F2063" s="34">
        <v>277980</v>
      </c>
      <c r="G2063" s="34">
        <v>280204</v>
      </c>
      <c r="H2063" s="35" t="s">
        <v>3084</v>
      </c>
    </row>
    <row r="2064" spans="1:8" ht="27" customHeight="1" x14ac:dyDescent="0.2">
      <c r="A2064" s="31" t="s">
        <v>3081</v>
      </c>
      <c r="B2064" s="32" t="s">
        <v>3082</v>
      </c>
      <c r="C2064" s="32" t="s">
        <v>860</v>
      </c>
      <c r="D2064" s="32" t="s">
        <v>911</v>
      </c>
      <c r="E2064" s="33" t="s">
        <v>861</v>
      </c>
      <c r="F2064" s="34">
        <v>196386</v>
      </c>
      <c r="G2064" s="34">
        <v>47386</v>
      </c>
      <c r="H2064" s="35" t="s">
        <v>3087</v>
      </c>
    </row>
    <row r="2065" spans="1:8" ht="27" customHeight="1" x14ac:dyDescent="0.2">
      <c r="A2065" s="31" t="s">
        <v>3081</v>
      </c>
      <c r="B2065" s="32" t="s">
        <v>3082</v>
      </c>
      <c r="C2065" s="32" t="s">
        <v>779</v>
      </c>
      <c r="D2065" s="32" t="s">
        <v>876</v>
      </c>
      <c r="E2065" s="33" t="s">
        <v>780</v>
      </c>
      <c r="F2065" s="34">
        <v>25299</v>
      </c>
      <c r="G2065" s="34">
        <v>26870</v>
      </c>
      <c r="H2065" s="35" t="s">
        <v>3084</v>
      </c>
    </row>
    <row r="2066" spans="1:8" ht="27" customHeight="1" x14ac:dyDescent="0.2">
      <c r="A2066" s="31" t="s">
        <v>3081</v>
      </c>
      <c r="B2066" s="32" t="s">
        <v>3082</v>
      </c>
      <c r="C2066" s="32" t="s">
        <v>782</v>
      </c>
      <c r="D2066" s="32" t="s">
        <v>813</v>
      </c>
      <c r="E2066" s="33" t="s">
        <v>784</v>
      </c>
      <c r="F2066" s="34">
        <v>25299</v>
      </c>
      <c r="G2066" s="34">
        <v>26870</v>
      </c>
      <c r="H2066" s="35" t="s">
        <v>3084</v>
      </c>
    </row>
    <row r="2067" spans="1:8" ht="27" customHeight="1" x14ac:dyDescent="0.2">
      <c r="A2067" s="31" t="s">
        <v>3088</v>
      </c>
      <c r="B2067" s="32" t="s">
        <v>3089</v>
      </c>
      <c r="C2067" s="32" t="s">
        <v>763</v>
      </c>
      <c r="D2067" s="32" t="s">
        <v>3090</v>
      </c>
      <c r="E2067" s="33" t="s">
        <v>764</v>
      </c>
      <c r="F2067" s="34">
        <v>8438187</v>
      </c>
      <c r="G2067" s="34">
        <v>8445809</v>
      </c>
      <c r="H2067" s="35" t="s">
        <v>829</v>
      </c>
    </row>
    <row r="2068" spans="1:8" ht="27" customHeight="1" x14ac:dyDescent="0.2">
      <c r="A2068" s="31" t="s">
        <v>3088</v>
      </c>
      <c r="B2068" s="32" t="s">
        <v>3089</v>
      </c>
      <c r="C2068" s="32" t="s">
        <v>770</v>
      </c>
      <c r="D2068" s="32" t="s">
        <v>1011</v>
      </c>
      <c r="E2068" s="33" t="s">
        <v>772</v>
      </c>
      <c r="F2068" s="34">
        <v>178832</v>
      </c>
      <c r="G2068" s="34">
        <v>178994</v>
      </c>
      <c r="H2068" s="35" t="s">
        <v>829</v>
      </c>
    </row>
    <row r="2069" spans="1:8" ht="27" customHeight="1" x14ac:dyDescent="0.2">
      <c r="A2069" s="31" t="s">
        <v>3088</v>
      </c>
      <c r="B2069" s="32" t="s">
        <v>3089</v>
      </c>
      <c r="C2069" s="32" t="s">
        <v>860</v>
      </c>
      <c r="D2069" s="32" t="s">
        <v>860</v>
      </c>
      <c r="E2069" s="33" t="s">
        <v>861</v>
      </c>
      <c r="F2069" s="34">
        <v>1115614</v>
      </c>
      <c r="G2069" s="34">
        <v>1116622</v>
      </c>
      <c r="H2069" s="35" t="s">
        <v>3091</v>
      </c>
    </row>
    <row r="2070" spans="1:8" ht="27" customHeight="1" x14ac:dyDescent="0.2">
      <c r="A2070" s="31" t="s">
        <v>3088</v>
      </c>
      <c r="B2070" s="32" t="s">
        <v>3089</v>
      </c>
      <c r="C2070" s="32" t="s">
        <v>796</v>
      </c>
      <c r="D2070" s="32" t="s">
        <v>3092</v>
      </c>
      <c r="E2070" s="33" t="s">
        <v>823</v>
      </c>
      <c r="F2070" s="34">
        <v>7338413</v>
      </c>
      <c r="G2070" s="34">
        <v>7345041</v>
      </c>
      <c r="H2070" s="35" t="s">
        <v>3093</v>
      </c>
    </row>
    <row r="2071" spans="1:8" ht="27" customHeight="1" x14ac:dyDescent="0.2">
      <c r="A2071" s="31" t="s">
        <v>3088</v>
      </c>
      <c r="B2071" s="32" t="s">
        <v>3089</v>
      </c>
      <c r="C2071" s="32" t="s">
        <v>779</v>
      </c>
      <c r="D2071" s="32" t="s">
        <v>802</v>
      </c>
      <c r="E2071" s="33" t="s">
        <v>780</v>
      </c>
      <c r="F2071" s="34">
        <v>1524879</v>
      </c>
      <c r="G2071" s="34">
        <v>1526256</v>
      </c>
      <c r="H2071" s="35" t="s">
        <v>894</v>
      </c>
    </row>
    <row r="2072" spans="1:8" ht="27" customHeight="1" x14ac:dyDescent="0.2">
      <c r="A2072" s="31" t="s">
        <v>3088</v>
      </c>
      <c r="B2072" s="32" t="s">
        <v>3089</v>
      </c>
      <c r="C2072" s="32" t="s">
        <v>782</v>
      </c>
      <c r="D2072" s="32" t="s">
        <v>3094</v>
      </c>
      <c r="E2072" s="33" t="s">
        <v>784</v>
      </c>
      <c r="F2072" s="34">
        <v>1500471</v>
      </c>
      <c r="G2072" s="34">
        <v>1501826</v>
      </c>
      <c r="H2072" s="35" t="s">
        <v>3093</v>
      </c>
    </row>
    <row r="2073" spans="1:8" ht="27" customHeight="1" x14ac:dyDescent="0.2">
      <c r="A2073" s="31" t="s">
        <v>3095</v>
      </c>
      <c r="B2073" s="32" t="s">
        <v>3096</v>
      </c>
      <c r="C2073" s="32" t="s">
        <v>763</v>
      </c>
      <c r="D2073" s="32" t="s">
        <v>763</v>
      </c>
      <c r="E2073" s="33" t="s">
        <v>764</v>
      </c>
      <c r="F2073" s="34">
        <v>0</v>
      </c>
      <c r="G2073" s="34">
        <v>0</v>
      </c>
      <c r="H2073" s="35" t="s">
        <v>3097</v>
      </c>
    </row>
    <row r="2074" spans="1:8" ht="27" customHeight="1" x14ac:dyDescent="0.2">
      <c r="A2074" s="31" t="s">
        <v>3095</v>
      </c>
      <c r="B2074" s="32" t="s">
        <v>3096</v>
      </c>
      <c r="C2074" s="32" t="s">
        <v>770</v>
      </c>
      <c r="D2074" s="32" t="s">
        <v>1720</v>
      </c>
      <c r="E2074" s="33" t="s">
        <v>772</v>
      </c>
      <c r="F2074" s="34">
        <v>1671099</v>
      </c>
      <c r="G2074" s="34">
        <v>1674911</v>
      </c>
      <c r="H2074" s="35" t="s">
        <v>3098</v>
      </c>
    </row>
    <row r="2075" spans="1:8" ht="27" customHeight="1" x14ac:dyDescent="0.2">
      <c r="A2075" s="31" t="s">
        <v>3095</v>
      </c>
      <c r="B2075" s="32" t="s">
        <v>3096</v>
      </c>
      <c r="C2075" s="32" t="s">
        <v>860</v>
      </c>
      <c r="D2075" s="32" t="s">
        <v>911</v>
      </c>
      <c r="E2075" s="33" t="s">
        <v>861</v>
      </c>
      <c r="F2075" s="34">
        <v>0</v>
      </c>
      <c r="G2075" s="34">
        <v>0</v>
      </c>
      <c r="H2075" s="35" t="s">
        <v>3099</v>
      </c>
    </row>
    <row r="2076" spans="1:8" ht="27" customHeight="1" x14ac:dyDescent="0.2">
      <c r="A2076" s="31" t="s">
        <v>3095</v>
      </c>
      <c r="B2076" s="32" t="s">
        <v>3096</v>
      </c>
      <c r="C2076" s="32" t="s">
        <v>796</v>
      </c>
      <c r="D2076" s="32" t="s">
        <v>796</v>
      </c>
      <c r="E2076" s="33" t="s">
        <v>772</v>
      </c>
      <c r="F2076" s="34">
        <v>2903708</v>
      </c>
      <c r="G2076" s="34">
        <v>1914480</v>
      </c>
      <c r="H2076" s="35" t="s">
        <v>3100</v>
      </c>
    </row>
    <row r="2077" spans="1:8" ht="27" customHeight="1" x14ac:dyDescent="0.2">
      <c r="A2077" s="31" t="s">
        <v>3095</v>
      </c>
      <c r="B2077" s="32" t="s">
        <v>3096</v>
      </c>
      <c r="C2077" s="32" t="s">
        <v>779</v>
      </c>
      <c r="D2077" s="32" t="s">
        <v>876</v>
      </c>
      <c r="E2077" s="33" t="s">
        <v>780</v>
      </c>
      <c r="F2077" s="34">
        <v>211168</v>
      </c>
      <c r="G2077" s="34">
        <v>211650</v>
      </c>
      <c r="H2077" s="35" t="s">
        <v>3098</v>
      </c>
    </row>
    <row r="2078" spans="1:8" ht="27" customHeight="1" x14ac:dyDescent="0.2">
      <c r="A2078" s="31" t="s">
        <v>3095</v>
      </c>
      <c r="B2078" s="32" t="s">
        <v>3096</v>
      </c>
      <c r="C2078" s="32" t="s">
        <v>782</v>
      </c>
      <c r="D2078" s="32" t="s">
        <v>813</v>
      </c>
      <c r="E2078" s="33" t="s">
        <v>784</v>
      </c>
      <c r="F2078" s="34">
        <v>879615</v>
      </c>
      <c r="G2078" s="34">
        <v>881621</v>
      </c>
      <c r="H2078" s="35" t="s">
        <v>3098</v>
      </c>
    </row>
    <row r="2079" spans="1:8" ht="27" customHeight="1" x14ac:dyDescent="0.2">
      <c r="A2079" s="31" t="s">
        <v>3101</v>
      </c>
      <c r="B2079" s="32" t="s">
        <v>3102</v>
      </c>
      <c r="C2079" s="32" t="s">
        <v>763</v>
      </c>
      <c r="D2079" s="32" t="s">
        <v>763</v>
      </c>
      <c r="E2079" s="33" t="s">
        <v>764</v>
      </c>
      <c r="F2079" s="34">
        <v>4446967</v>
      </c>
      <c r="G2079" s="34">
        <v>4919298</v>
      </c>
      <c r="H2079" s="35" t="s">
        <v>3103</v>
      </c>
    </row>
    <row r="2080" spans="1:8" ht="27" customHeight="1" x14ac:dyDescent="0.2">
      <c r="A2080" s="31" t="s">
        <v>3101</v>
      </c>
      <c r="B2080" s="32" t="s">
        <v>3102</v>
      </c>
      <c r="C2080" s="32" t="s">
        <v>770</v>
      </c>
      <c r="D2080" s="32" t="s">
        <v>1011</v>
      </c>
      <c r="E2080" s="33" t="s">
        <v>772</v>
      </c>
      <c r="F2080" s="34">
        <v>1357803</v>
      </c>
      <c r="G2080" s="34">
        <v>1271060</v>
      </c>
      <c r="H2080" s="35" t="s">
        <v>3104</v>
      </c>
    </row>
    <row r="2081" spans="1:8" ht="27" customHeight="1" x14ac:dyDescent="0.2">
      <c r="A2081" s="31" t="s">
        <v>3101</v>
      </c>
      <c r="B2081" s="32" t="s">
        <v>3102</v>
      </c>
      <c r="C2081" s="32" t="s">
        <v>796</v>
      </c>
      <c r="D2081" s="32" t="s">
        <v>796</v>
      </c>
      <c r="E2081" s="33" t="s">
        <v>772</v>
      </c>
      <c r="F2081" s="34">
        <v>1528918</v>
      </c>
      <c r="G2081" s="34">
        <v>1486124</v>
      </c>
      <c r="H2081" s="35" t="s">
        <v>3105</v>
      </c>
    </row>
    <row r="2082" spans="1:8" ht="27" customHeight="1" x14ac:dyDescent="0.2">
      <c r="A2082" s="31" t="s">
        <v>3101</v>
      </c>
      <c r="B2082" s="32" t="s">
        <v>3102</v>
      </c>
      <c r="C2082" s="32" t="s">
        <v>779</v>
      </c>
      <c r="D2082" s="32" t="s">
        <v>826</v>
      </c>
      <c r="E2082" s="33" t="s">
        <v>780</v>
      </c>
      <c r="F2082" s="34">
        <v>51287</v>
      </c>
      <c r="G2082" s="34">
        <v>51000</v>
      </c>
      <c r="H2082" s="35" t="s">
        <v>3106</v>
      </c>
    </row>
    <row r="2083" spans="1:8" ht="27" customHeight="1" x14ac:dyDescent="0.2">
      <c r="A2083" s="31" t="s">
        <v>3107</v>
      </c>
      <c r="B2083" s="32" t="s">
        <v>448</v>
      </c>
      <c r="C2083" s="32" t="s">
        <v>763</v>
      </c>
      <c r="D2083" s="32" t="s">
        <v>868</v>
      </c>
      <c r="E2083" s="33" t="s">
        <v>764</v>
      </c>
      <c r="F2083" s="34">
        <v>0</v>
      </c>
      <c r="G2083" s="34">
        <v>0</v>
      </c>
      <c r="H2083" s="35" t="s">
        <v>3108</v>
      </c>
    </row>
    <row r="2084" spans="1:8" ht="27" customHeight="1" x14ac:dyDescent="0.2">
      <c r="A2084" s="31" t="s">
        <v>3107</v>
      </c>
      <c r="B2084" s="32" t="s">
        <v>448</v>
      </c>
      <c r="C2084" s="32" t="s">
        <v>763</v>
      </c>
      <c r="D2084" s="32" t="s">
        <v>3109</v>
      </c>
      <c r="E2084" s="33" t="s">
        <v>764</v>
      </c>
      <c r="F2084" s="34">
        <v>3902992</v>
      </c>
      <c r="G2084" s="34">
        <v>3902992</v>
      </c>
      <c r="H2084" s="35" t="s">
        <v>1135</v>
      </c>
    </row>
    <row r="2085" spans="1:8" ht="27" customHeight="1" x14ac:dyDescent="0.2">
      <c r="A2085" s="31" t="s">
        <v>3107</v>
      </c>
      <c r="B2085" s="32" t="s">
        <v>448</v>
      </c>
      <c r="C2085" s="32" t="s">
        <v>860</v>
      </c>
      <c r="D2085" s="32" t="s">
        <v>911</v>
      </c>
      <c r="E2085" s="33" t="s">
        <v>861</v>
      </c>
      <c r="F2085" s="34">
        <v>148851</v>
      </c>
      <c r="G2085" s="34">
        <v>148851</v>
      </c>
      <c r="H2085" s="35" t="s">
        <v>1135</v>
      </c>
    </row>
    <row r="2086" spans="1:8" ht="27" customHeight="1" x14ac:dyDescent="0.2">
      <c r="A2086" s="31" t="s">
        <v>3107</v>
      </c>
      <c r="B2086" s="32" t="s">
        <v>448</v>
      </c>
      <c r="C2086" s="32" t="s">
        <v>796</v>
      </c>
      <c r="D2086" s="32" t="s">
        <v>796</v>
      </c>
      <c r="E2086" s="33" t="s">
        <v>823</v>
      </c>
      <c r="F2086" s="34">
        <v>0</v>
      </c>
      <c r="G2086" s="34">
        <v>0</v>
      </c>
      <c r="H2086" s="35" t="s">
        <v>859</v>
      </c>
    </row>
    <row r="2087" spans="1:8" ht="27" customHeight="1" x14ac:dyDescent="0.2">
      <c r="A2087" s="31" t="s">
        <v>3107</v>
      </c>
      <c r="B2087" s="32" t="s">
        <v>448</v>
      </c>
      <c r="C2087" s="32" t="s">
        <v>779</v>
      </c>
      <c r="D2087" s="32" t="s">
        <v>876</v>
      </c>
      <c r="E2087" s="33" t="s">
        <v>780</v>
      </c>
      <c r="F2087" s="34">
        <v>0</v>
      </c>
      <c r="G2087" s="34">
        <v>0</v>
      </c>
      <c r="H2087" s="35" t="s">
        <v>859</v>
      </c>
    </row>
    <row r="2088" spans="1:8" ht="27" customHeight="1" x14ac:dyDescent="0.2">
      <c r="A2088" s="31" t="s">
        <v>3107</v>
      </c>
      <c r="B2088" s="32" t="s">
        <v>448</v>
      </c>
      <c r="C2088" s="32" t="s">
        <v>782</v>
      </c>
      <c r="D2088" s="32" t="s">
        <v>813</v>
      </c>
      <c r="E2088" s="33" t="s">
        <v>784</v>
      </c>
      <c r="F2088" s="34">
        <v>0</v>
      </c>
      <c r="G2088" s="34">
        <v>0</v>
      </c>
      <c r="H2088" s="35" t="s">
        <v>859</v>
      </c>
    </row>
    <row r="2089" spans="1:8" ht="27" customHeight="1" x14ac:dyDescent="0.2">
      <c r="A2089" s="31" t="s">
        <v>3110</v>
      </c>
      <c r="B2089" s="32" t="s">
        <v>3111</v>
      </c>
      <c r="C2089" s="32" t="s">
        <v>763</v>
      </c>
      <c r="D2089" s="32" t="s">
        <v>816</v>
      </c>
      <c r="E2089" s="33" t="s">
        <v>764</v>
      </c>
      <c r="F2089" s="34">
        <v>0</v>
      </c>
      <c r="G2089" s="34">
        <v>0</v>
      </c>
      <c r="H2089" s="35" t="s">
        <v>765</v>
      </c>
    </row>
    <row r="2090" spans="1:8" ht="27" customHeight="1" x14ac:dyDescent="0.2">
      <c r="A2090" s="31" t="s">
        <v>3110</v>
      </c>
      <c r="B2090" s="32" t="s">
        <v>3111</v>
      </c>
      <c r="C2090" s="32" t="s">
        <v>766</v>
      </c>
      <c r="D2090" s="32" t="s">
        <v>765</v>
      </c>
      <c r="E2090" s="33" t="s">
        <v>768</v>
      </c>
      <c r="F2090" s="34">
        <v>0</v>
      </c>
      <c r="G2090" s="34">
        <v>0</v>
      </c>
      <c r="H2090" s="35" t="s">
        <v>765</v>
      </c>
    </row>
    <row r="2091" spans="1:8" ht="27" customHeight="1" x14ac:dyDescent="0.2">
      <c r="A2091" s="31" t="s">
        <v>3110</v>
      </c>
      <c r="B2091" s="32" t="s">
        <v>3111</v>
      </c>
      <c r="C2091" s="32" t="s">
        <v>770</v>
      </c>
      <c r="D2091" s="32" t="s">
        <v>770</v>
      </c>
      <c r="E2091" s="33" t="s">
        <v>772</v>
      </c>
      <c r="F2091" s="34">
        <v>6799721</v>
      </c>
      <c r="G2091" s="34">
        <v>7299721</v>
      </c>
      <c r="H2091" s="35" t="s">
        <v>3112</v>
      </c>
    </row>
    <row r="2092" spans="1:8" ht="27" customHeight="1" x14ac:dyDescent="0.2">
      <c r="A2092" s="31" t="s">
        <v>3110</v>
      </c>
      <c r="B2092" s="32" t="s">
        <v>3111</v>
      </c>
      <c r="C2092" s="32" t="s">
        <v>884</v>
      </c>
      <c r="D2092" s="32" t="s">
        <v>765</v>
      </c>
      <c r="E2092" s="33" t="s">
        <v>885</v>
      </c>
      <c r="F2092" s="34">
        <v>0</v>
      </c>
      <c r="G2092" s="34">
        <v>0</v>
      </c>
      <c r="H2092" s="35" t="s">
        <v>765</v>
      </c>
    </row>
    <row r="2093" spans="1:8" ht="27" customHeight="1" x14ac:dyDescent="0.2">
      <c r="A2093" s="31" t="s">
        <v>3110</v>
      </c>
      <c r="B2093" s="32" t="s">
        <v>3111</v>
      </c>
      <c r="C2093" s="32" t="s">
        <v>844</v>
      </c>
      <c r="D2093" s="32" t="s">
        <v>765</v>
      </c>
      <c r="E2093" s="33" t="s">
        <v>846</v>
      </c>
      <c r="F2093" s="34">
        <v>0</v>
      </c>
      <c r="G2093" s="34">
        <v>0</v>
      </c>
      <c r="H2093" s="35" t="s">
        <v>765</v>
      </c>
    </row>
    <row r="2094" spans="1:8" ht="27" customHeight="1" x14ac:dyDescent="0.2">
      <c r="A2094" s="31" t="s">
        <v>3110</v>
      </c>
      <c r="B2094" s="32" t="s">
        <v>3111</v>
      </c>
      <c r="C2094" s="32" t="s">
        <v>773</v>
      </c>
      <c r="D2094" s="32" t="s">
        <v>765</v>
      </c>
      <c r="E2094" s="33" t="s">
        <v>775</v>
      </c>
      <c r="F2094" s="34">
        <v>0</v>
      </c>
      <c r="G2094" s="34">
        <v>0</v>
      </c>
      <c r="H2094" s="35" t="s">
        <v>765</v>
      </c>
    </row>
    <row r="2095" spans="1:8" ht="27" customHeight="1" x14ac:dyDescent="0.2">
      <c r="A2095" s="31" t="s">
        <v>3110</v>
      </c>
      <c r="B2095" s="32" t="s">
        <v>3111</v>
      </c>
      <c r="C2095" s="32" t="s">
        <v>831</v>
      </c>
      <c r="D2095" s="32" t="s">
        <v>767</v>
      </c>
      <c r="E2095" s="33" t="s">
        <v>767</v>
      </c>
      <c r="F2095" s="34">
        <v>151826</v>
      </c>
      <c r="G2095" s="34">
        <v>151826</v>
      </c>
      <c r="H2095" s="35" t="s">
        <v>3112</v>
      </c>
    </row>
    <row r="2096" spans="1:8" ht="27" customHeight="1" x14ac:dyDescent="0.2">
      <c r="A2096" s="31" t="s">
        <v>3110</v>
      </c>
      <c r="B2096" s="32" t="s">
        <v>3111</v>
      </c>
      <c r="C2096" s="32" t="s">
        <v>886</v>
      </c>
      <c r="D2096" s="32" t="s">
        <v>765</v>
      </c>
      <c r="E2096" s="33" t="s">
        <v>887</v>
      </c>
      <c r="F2096" s="34">
        <v>0</v>
      </c>
      <c r="G2096" s="34">
        <v>0</v>
      </c>
      <c r="H2096" s="35" t="s">
        <v>765</v>
      </c>
    </row>
    <row r="2097" spans="1:8" ht="27" customHeight="1" x14ac:dyDescent="0.2">
      <c r="A2097" s="31" t="s">
        <v>3110</v>
      </c>
      <c r="B2097" s="32" t="s">
        <v>3111</v>
      </c>
      <c r="C2097" s="32" t="s">
        <v>860</v>
      </c>
      <c r="D2097" s="32" t="s">
        <v>765</v>
      </c>
      <c r="E2097" s="33" t="s">
        <v>861</v>
      </c>
      <c r="F2097" s="34">
        <v>0</v>
      </c>
      <c r="G2097" s="34">
        <v>0</v>
      </c>
      <c r="H2097" s="35" t="s">
        <v>765</v>
      </c>
    </row>
    <row r="2098" spans="1:8" ht="27" customHeight="1" x14ac:dyDescent="0.2">
      <c r="A2098" s="31" t="s">
        <v>3110</v>
      </c>
      <c r="B2098" s="32" t="s">
        <v>3111</v>
      </c>
      <c r="C2098" s="32" t="s">
        <v>796</v>
      </c>
      <c r="D2098" s="32" t="s">
        <v>796</v>
      </c>
      <c r="E2098" s="33" t="s">
        <v>823</v>
      </c>
      <c r="F2098" s="34">
        <v>13540729</v>
      </c>
      <c r="G2098" s="34">
        <v>17615729</v>
      </c>
      <c r="H2098" s="35" t="s">
        <v>3112</v>
      </c>
    </row>
    <row r="2099" spans="1:8" ht="27" customHeight="1" x14ac:dyDescent="0.2">
      <c r="A2099" s="31" t="s">
        <v>3110</v>
      </c>
      <c r="B2099" s="32" t="s">
        <v>3111</v>
      </c>
      <c r="C2099" s="32" t="s">
        <v>776</v>
      </c>
      <c r="D2099" s="32" t="s">
        <v>765</v>
      </c>
      <c r="E2099" s="33" t="s">
        <v>777</v>
      </c>
      <c r="F2099" s="34">
        <v>0</v>
      </c>
      <c r="G2099" s="34">
        <v>0</v>
      </c>
      <c r="H2099" s="35" t="s">
        <v>765</v>
      </c>
    </row>
    <row r="2100" spans="1:8" ht="27" customHeight="1" x14ac:dyDescent="0.2">
      <c r="A2100" s="31" t="s">
        <v>3110</v>
      </c>
      <c r="B2100" s="32" t="s">
        <v>3111</v>
      </c>
      <c r="C2100" s="32" t="s">
        <v>798</v>
      </c>
      <c r="D2100" s="32" t="s">
        <v>765</v>
      </c>
      <c r="E2100" s="33" t="s">
        <v>800</v>
      </c>
      <c r="F2100" s="34">
        <v>0</v>
      </c>
      <c r="G2100" s="34">
        <v>0</v>
      </c>
      <c r="H2100" s="35" t="s">
        <v>765</v>
      </c>
    </row>
    <row r="2101" spans="1:8" ht="27" customHeight="1" x14ac:dyDescent="0.2">
      <c r="A2101" s="31" t="s">
        <v>3110</v>
      </c>
      <c r="B2101" s="32" t="s">
        <v>3111</v>
      </c>
      <c r="C2101" s="32" t="s">
        <v>892</v>
      </c>
      <c r="D2101" s="32" t="s">
        <v>765</v>
      </c>
      <c r="E2101" s="33" t="s">
        <v>893</v>
      </c>
      <c r="F2101" s="34">
        <v>0</v>
      </c>
      <c r="G2101" s="34">
        <v>0</v>
      </c>
      <c r="H2101" s="35" t="s">
        <v>765</v>
      </c>
    </row>
    <row r="2102" spans="1:8" ht="27" customHeight="1" x14ac:dyDescent="0.2">
      <c r="A2102" s="31" t="s">
        <v>3110</v>
      </c>
      <c r="B2102" s="32" t="s">
        <v>3111</v>
      </c>
      <c r="C2102" s="32" t="s">
        <v>779</v>
      </c>
      <c r="D2102" s="32" t="s">
        <v>779</v>
      </c>
      <c r="E2102" s="33" t="s">
        <v>780</v>
      </c>
      <c r="F2102" s="34">
        <v>1444152</v>
      </c>
      <c r="G2102" s="34">
        <v>1469152</v>
      </c>
      <c r="H2102" s="35" t="s">
        <v>3112</v>
      </c>
    </row>
    <row r="2103" spans="1:8" ht="27" customHeight="1" x14ac:dyDescent="0.2">
      <c r="A2103" s="31" t="s">
        <v>3110</v>
      </c>
      <c r="B2103" s="32" t="s">
        <v>3111</v>
      </c>
      <c r="C2103" s="32" t="s">
        <v>782</v>
      </c>
      <c r="D2103" s="32" t="s">
        <v>782</v>
      </c>
      <c r="E2103" s="33" t="s">
        <v>784</v>
      </c>
      <c r="F2103" s="34">
        <v>8425061</v>
      </c>
      <c r="G2103" s="34">
        <v>8925061</v>
      </c>
      <c r="H2103" s="35" t="s">
        <v>3112</v>
      </c>
    </row>
    <row r="2104" spans="1:8" ht="27" customHeight="1" x14ac:dyDescent="0.2">
      <c r="A2104" s="31" t="s">
        <v>3113</v>
      </c>
      <c r="B2104" s="32" t="s">
        <v>3114</v>
      </c>
      <c r="C2104" s="32" t="s">
        <v>763</v>
      </c>
      <c r="D2104" s="32" t="s">
        <v>763</v>
      </c>
      <c r="E2104" s="33" t="s">
        <v>764</v>
      </c>
      <c r="F2104" s="34">
        <v>8729</v>
      </c>
      <c r="G2104" s="34">
        <v>8729</v>
      </c>
      <c r="H2104" s="35" t="s">
        <v>3115</v>
      </c>
    </row>
    <row r="2105" spans="1:8" ht="27" customHeight="1" x14ac:dyDescent="0.2">
      <c r="A2105" s="31" t="s">
        <v>3113</v>
      </c>
      <c r="B2105" s="32" t="s">
        <v>3114</v>
      </c>
      <c r="C2105" s="32" t="s">
        <v>770</v>
      </c>
      <c r="D2105" s="32" t="s">
        <v>770</v>
      </c>
      <c r="E2105" s="33" t="s">
        <v>772</v>
      </c>
      <c r="F2105" s="34">
        <v>798206</v>
      </c>
      <c r="G2105" s="34">
        <v>611226</v>
      </c>
      <c r="H2105" s="35" t="s">
        <v>3116</v>
      </c>
    </row>
    <row r="2106" spans="1:8" ht="27" customHeight="1" x14ac:dyDescent="0.2">
      <c r="A2106" s="31" t="s">
        <v>3113</v>
      </c>
      <c r="B2106" s="32" t="s">
        <v>3114</v>
      </c>
      <c r="C2106" s="32" t="s">
        <v>844</v>
      </c>
      <c r="D2106" s="32" t="s">
        <v>844</v>
      </c>
      <c r="E2106" s="33" t="s">
        <v>846</v>
      </c>
      <c r="F2106" s="34">
        <v>549776</v>
      </c>
      <c r="G2106" s="34">
        <v>556855</v>
      </c>
      <c r="H2106" s="35" t="s">
        <v>3115</v>
      </c>
    </row>
    <row r="2107" spans="1:8" ht="27" customHeight="1" x14ac:dyDescent="0.2">
      <c r="A2107" s="31" t="s">
        <v>3113</v>
      </c>
      <c r="B2107" s="32" t="s">
        <v>3114</v>
      </c>
      <c r="C2107" s="32" t="s">
        <v>860</v>
      </c>
      <c r="D2107" s="32" t="s">
        <v>2840</v>
      </c>
      <c r="E2107" s="33" t="s">
        <v>861</v>
      </c>
      <c r="F2107" s="34">
        <v>2782</v>
      </c>
      <c r="G2107" s="34">
        <v>2786</v>
      </c>
      <c r="H2107" s="35" t="s">
        <v>3115</v>
      </c>
    </row>
    <row r="2108" spans="1:8" ht="27" customHeight="1" x14ac:dyDescent="0.2">
      <c r="A2108" s="31" t="s">
        <v>3113</v>
      </c>
      <c r="B2108" s="32" t="s">
        <v>3114</v>
      </c>
      <c r="C2108" s="32" t="s">
        <v>796</v>
      </c>
      <c r="D2108" s="32" t="s">
        <v>796</v>
      </c>
      <c r="E2108" s="33" t="s">
        <v>823</v>
      </c>
      <c r="F2108" s="34">
        <v>5128458</v>
      </c>
      <c r="G2108" s="34">
        <v>5144629</v>
      </c>
      <c r="H2108" s="35" t="s">
        <v>3115</v>
      </c>
    </row>
    <row r="2109" spans="1:8" ht="27" customHeight="1" x14ac:dyDescent="0.2">
      <c r="A2109" s="31" t="s">
        <v>3113</v>
      </c>
      <c r="B2109" s="32" t="s">
        <v>3114</v>
      </c>
      <c r="C2109" s="32" t="s">
        <v>779</v>
      </c>
      <c r="D2109" s="32" t="s">
        <v>779</v>
      </c>
      <c r="E2109" s="33" t="s">
        <v>780</v>
      </c>
      <c r="F2109" s="34">
        <v>185328</v>
      </c>
      <c r="G2109" s="34">
        <v>185607</v>
      </c>
      <c r="H2109" s="35" t="s">
        <v>3115</v>
      </c>
    </row>
    <row r="2110" spans="1:8" ht="27" customHeight="1" x14ac:dyDescent="0.2">
      <c r="A2110" s="31" t="s">
        <v>3113</v>
      </c>
      <c r="B2110" s="32" t="s">
        <v>3114</v>
      </c>
      <c r="C2110" s="32" t="s">
        <v>782</v>
      </c>
      <c r="D2110" s="32" t="s">
        <v>783</v>
      </c>
      <c r="E2110" s="33" t="s">
        <v>784</v>
      </c>
      <c r="F2110" s="34">
        <v>1706908</v>
      </c>
      <c r="G2110" s="34">
        <v>1504046</v>
      </c>
      <c r="H2110" s="35" t="s">
        <v>3117</v>
      </c>
    </row>
    <row r="2111" spans="1:8" ht="27" customHeight="1" x14ac:dyDescent="0.2">
      <c r="A2111" s="31" t="s">
        <v>3118</v>
      </c>
      <c r="B2111" s="32" t="s">
        <v>3119</v>
      </c>
      <c r="C2111" s="32" t="s">
        <v>770</v>
      </c>
      <c r="D2111" s="32" t="s">
        <v>1011</v>
      </c>
      <c r="E2111" s="33" t="s">
        <v>772</v>
      </c>
      <c r="F2111" s="34">
        <v>357213</v>
      </c>
      <c r="G2111" s="34">
        <v>357213</v>
      </c>
      <c r="H2111" s="35" t="s">
        <v>3120</v>
      </c>
    </row>
    <row r="2112" spans="1:8" ht="27" customHeight="1" x14ac:dyDescent="0.2">
      <c r="A2112" s="31" t="s">
        <v>3118</v>
      </c>
      <c r="B2112" s="32" t="s">
        <v>3119</v>
      </c>
      <c r="C2112" s="32" t="s">
        <v>860</v>
      </c>
      <c r="D2112" s="32" t="s">
        <v>911</v>
      </c>
      <c r="E2112" s="33" t="s">
        <v>861</v>
      </c>
      <c r="F2112" s="34">
        <v>1390</v>
      </c>
      <c r="G2112" s="34">
        <v>1390</v>
      </c>
      <c r="H2112" s="35" t="s">
        <v>3121</v>
      </c>
    </row>
    <row r="2113" spans="1:8" ht="27" customHeight="1" x14ac:dyDescent="0.2">
      <c r="A2113" s="31" t="s">
        <v>3118</v>
      </c>
      <c r="B2113" s="32" t="s">
        <v>3119</v>
      </c>
      <c r="C2113" s="32" t="s">
        <v>782</v>
      </c>
      <c r="D2113" s="32" t="s">
        <v>839</v>
      </c>
      <c r="E2113" s="33" t="s">
        <v>784</v>
      </c>
      <c r="F2113" s="34">
        <v>584297</v>
      </c>
      <c r="G2113" s="34">
        <v>584297</v>
      </c>
      <c r="H2113" s="35" t="s">
        <v>3120</v>
      </c>
    </row>
    <row r="2114" spans="1:8" ht="27" customHeight="1" x14ac:dyDescent="0.2">
      <c r="A2114" s="31" t="s">
        <v>3122</v>
      </c>
      <c r="B2114" s="32" t="s">
        <v>3123</v>
      </c>
      <c r="C2114" s="32" t="s">
        <v>763</v>
      </c>
      <c r="D2114" s="32" t="s">
        <v>3124</v>
      </c>
      <c r="E2114" s="33" t="s">
        <v>764</v>
      </c>
      <c r="F2114" s="34">
        <v>1740473</v>
      </c>
      <c r="G2114" s="34">
        <v>10383</v>
      </c>
      <c r="H2114" s="35" t="s">
        <v>3125</v>
      </c>
    </row>
    <row r="2115" spans="1:8" ht="27" customHeight="1" x14ac:dyDescent="0.2">
      <c r="A2115" s="31" t="s">
        <v>3122</v>
      </c>
      <c r="B2115" s="32" t="s">
        <v>3123</v>
      </c>
      <c r="C2115" s="32" t="s">
        <v>763</v>
      </c>
      <c r="D2115" s="32" t="s">
        <v>3126</v>
      </c>
      <c r="E2115" s="33" t="s">
        <v>764</v>
      </c>
      <c r="F2115" s="34">
        <v>434824</v>
      </c>
      <c r="G2115" s="34">
        <v>1026617</v>
      </c>
      <c r="H2115" s="35" t="s">
        <v>3127</v>
      </c>
    </row>
    <row r="2116" spans="1:8" ht="27" customHeight="1" x14ac:dyDescent="0.2">
      <c r="A2116" s="31" t="s">
        <v>3122</v>
      </c>
      <c r="B2116" s="32" t="s">
        <v>3123</v>
      </c>
      <c r="C2116" s="32" t="s">
        <v>770</v>
      </c>
      <c r="D2116" s="32" t="s">
        <v>3128</v>
      </c>
      <c r="E2116" s="33" t="s">
        <v>772</v>
      </c>
      <c r="F2116" s="34">
        <v>2640496</v>
      </c>
      <c r="G2116" s="34">
        <v>3300000</v>
      </c>
      <c r="H2116" s="35" t="s">
        <v>3129</v>
      </c>
    </row>
    <row r="2117" spans="1:8" ht="27" customHeight="1" x14ac:dyDescent="0.2">
      <c r="A2117" s="31" t="s">
        <v>3122</v>
      </c>
      <c r="B2117" s="32" t="s">
        <v>3123</v>
      </c>
      <c r="C2117" s="32" t="s">
        <v>844</v>
      </c>
      <c r="D2117" s="32" t="s">
        <v>3130</v>
      </c>
      <c r="E2117" s="33" t="s">
        <v>846</v>
      </c>
      <c r="F2117" s="34">
        <v>634046</v>
      </c>
      <c r="G2117" s="34">
        <v>642500</v>
      </c>
      <c r="H2117" s="35" t="s">
        <v>3084</v>
      </c>
    </row>
    <row r="2118" spans="1:8" ht="27" customHeight="1" x14ac:dyDescent="0.2">
      <c r="A2118" s="31" t="s">
        <v>3122</v>
      </c>
      <c r="B2118" s="32" t="s">
        <v>3123</v>
      </c>
      <c r="C2118" s="32" t="s">
        <v>860</v>
      </c>
      <c r="D2118" s="32" t="s">
        <v>3131</v>
      </c>
      <c r="E2118" s="33" t="s">
        <v>861</v>
      </c>
      <c r="F2118" s="34">
        <v>855584</v>
      </c>
      <c r="G2118" s="34">
        <v>0</v>
      </c>
      <c r="H2118" s="35" t="s">
        <v>3132</v>
      </c>
    </row>
    <row r="2119" spans="1:8" ht="27" customHeight="1" x14ac:dyDescent="0.2">
      <c r="A2119" s="31" t="s">
        <v>3122</v>
      </c>
      <c r="B2119" s="32" t="s">
        <v>3123</v>
      </c>
      <c r="C2119" s="32" t="s">
        <v>796</v>
      </c>
      <c r="D2119" s="32" t="s">
        <v>3133</v>
      </c>
      <c r="E2119" s="33" t="s">
        <v>772</v>
      </c>
      <c r="F2119" s="34">
        <v>1735353</v>
      </c>
      <c r="G2119" s="34">
        <v>1759500</v>
      </c>
      <c r="H2119" s="35" t="s">
        <v>3134</v>
      </c>
    </row>
    <row r="2120" spans="1:8" ht="27" customHeight="1" x14ac:dyDescent="0.2">
      <c r="A2120" s="31" t="s">
        <v>3122</v>
      </c>
      <c r="B2120" s="32" t="s">
        <v>3123</v>
      </c>
      <c r="C2120" s="32" t="s">
        <v>779</v>
      </c>
      <c r="D2120" s="32" t="s">
        <v>1156</v>
      </c>
      <c r="E2120" s="33" t="s">
        <v>780</v>
      </c>
      <c r="F2120" s="34">
        <v>104491</v>
      </c>
      <c r="G2120" s="34">
        <v>106000</v>
      </c>
      <c r="H2120" s="35" t="s">
        <v>3084</v>
      </c>
    </row>
    <row r="2121" spans="1:8" ht="27" customHeight="1" x14ac:dyDescent="0.2">
      <c r="A2121" s="31" t="s">
        <v>3135</v>
      </c>
      <c r="B2121" s="32" t="s">
        <v>3136</v>
      </c>
      <c r="C2121" s="32" t="s">
        <v>763</v>
      </c>
      <c r="D2121" s="32" t="s">
        <v>816</v>
      </c>
      <c r="E2121" s="33" t="s">
        <v>764</v>
      </c>
      <c r="F2121" s="34">
        <v>3467799</v>
      </c>
      <c r="G2121" s="34">
        <v>3479799</v>
      </c>
      <c r="H2121" s="35" t="s">
        <v>3137</v>
      </c>
    </row>
    <row r="2122" spans="1:8" ht="27" customHeight="1" x14ac:dyDescent="0.2">
      <c r="A2122" s="31" t="s">
        <v>3135</v>
      </c>
      <c r="B2122" s="32" t="s">
        <v>3136</v>
      </c>
      <c r="C2122" s="32" t="s">
        <v>770</v>
      </c>
      <c r="D2122" s="32" t="s">
        <v>770</v>
      </c>
      <c r="E2122" s="33" t="s">
        <v>772</v>
      </c>
      <c r="F2122" s="34">
        <v>320600</v>
      </c>
      <c r="G2122" s="34">
        <v>321867</v>
      </c>
      <c r="H2122" s="35" t="s">
        <v>3138</v>
      </c>
    </row>
    <row r="2123" spans="1:8" ht="27" customHeight="1" x14ac:dyDescent="0.2">
      <c r="A2123" s="31" t="s">
        <v>3135</v>
      </c>
      <c r="B2123" s="32" t="s">
        <v>3136</v>
      </c>
      <c r="C2123" s="32" t="s">
        <v>773</v>
      </c>
      <c r="D2123" s="32" t="s">
        <v>973</v>
      </c>
      <c r="E2123" s="33" t="s">
        <v>775</v>
      </c>
      <c r="F2123" s="34">
        <v>108440</v>
      </c>
      <c r="G2123" s="34">
        <v>108851</v>
      </c>
      <c r="H2123" s="35" t="s">
        <v>3139</v>
      </c>
    </row>
    <row r="2124" spans="1:8" ht="27" customHeight="1" x14ac:dyDescent="0.2">
      <c r="A2124" s="31" t="s">
        <v>3135</v>
      </c>
      <c r="B2124" s="32" t="s">
        <v>3136</v>
      </c>
      <c r="C2124" s="32" t="s">
        <v>831</v>
      </c>
      <c r="D2124" s="32" t="s">
        <v>1951</v>
      </c>
      <c r="E2124" s="33"/>
      <c r="F2124" s="34">
        <v>0</v>
      </c>
      <c r="G2124" s="34">
        <v>0</v>
      </c>
      <c r="H2124" s="35" t="s">
        <v>829</v>
      </c>
    </row>
    <row r="2125" spans="1:8" ht="27" customHeight="1" x14ac:dyDescent="0.2">
      <c r="A2125" s="31" t="s">
        <v>3135</v>
      </c>
      <c r="B2125" s="32" t="s">
        <v>3136</v>
      </c>
      <c r="C2125" s="32" t="s">
        <v>860</v>
      </c>
      <c r="D2125" s="32" t="s">
        <v>911</v>
      </c>
      <c r="E2125" s="33" t="s">
        <v>861</v>
      </c>
      <c r="F2125" s="34">
        <v>1212305</v>
      </c>
      <c r="G2125" s="34">
        <v>1216931</v>
      </c>
      <c r="H2125" s="35" t="s">
        <v>3140</v>
      </c>
    </row>
    <row r="2126" spans="1:8" ht="27" customHeight="1" x14ac:dyDescent="0.2">
      <c r="A2126" s="31" t="s">
        <v>3135</v>
      </c>
      <c r="B2126" s="32" t="s">
        <v>3136</v>
      </c>
      <c r="C2126" s="32" t="s">
        <v>796</v>
      </c>
      <c r="D2126" s="32" t="s">
        <v>835</v>
      </c>
      <c r="E2126" s="33" t="s">
        <v>823</v>
      </c>
      <c r="F2126" s="34">
        <v>8795688</v>
      </c>
      <c r="G2126" s="34">
        <v>8827956</v>
      </c>
      <c r="H2126" s="35" t="s">
        <v>3141</v>
      </c>
    </row>
    <row r="2127" spans="1:8" ht="27" customHeight="1" x14ac:dyDescent="0.2">
      <c r="A2127" s="31" t="s">
        <v>3135</v>
      </c>
      <c r="B2127" s="32" t="s">
        <v>3136</v>
      </c>
      <c r="C2127" s="32" t="s">
        <v>779</v>
      </c>
      <c r="D2127" s="32" t="s">
        <v>3142</v>
      </c>
      <c r="E2127" s="33" t="s">
        <v>780</v>
      </c>
      <c r="F2127" s="34">
        <v>1582491</v>
      </c>
      <c r="G2127" s="34">
        <v>1588530</v>
      </c>
      <c r="H2127" s="35" t="s">
        <v>3143</v>
      </c>
    </row>
    <row r="2128" spans="1:8" ht="27" customHeight="1" x14ac:dyDescent="0.2">
      <c r="A2128" s="31" t="s">
        <v>3135</v>
      </c>
      <c r="B2128" s="32" t="s">
        <v>3136</v>
      </c>
      <c r="C2128" s="32" t="s">
        <v>782</v>
      </c>
      <c r="D2128" s="32" t="s">
        <v>1735</v>
      </c>
      <c r="E2128" s="33" t="s">
        <v>784</v>
      </c>
      <c r="F2128" s="34">
        <v>2021834</v>
      </c>
      <c r="G2128" s="34">
        <v>2029550</v>
      </c>
      <c r="H2128" s="35" t="s">
        <v>3144</v>
      </c>
    </row>
    <row r="2129" spans="1:8" ht="27" customHeight="1" x14ac:dyDescent="0.2">
      <c r="A2129" s="31" t="s">
        <v>3145</v>
      </c>
      <c r="B2129" s="32" t="s">
        <v>3146</v>
      </c>
      <c r="C2129" s="32" t="s">
        <v>763</v>
      </c>
      <c r="D2129" s="32" t="s">
        <v>3147</v>
      </c>
      <c r="E2129" s="33" t="s">
        <v>764</v>
      </c>
      <c r="F2129" s="34">
        <v>0</v>
      </c>
      <c r="G2129" s="34">
        <v>2000000</v>
      </c>
      <c r="H2129" s="35" t="s">
        <v>3148</v>
      </c>
    </row>
    <row r="2130" spans="1:8" ht="27" customHeight="1" x14ac:dyDescent="0.2">
      <c r="A2130" s="31" t="s">
        <v>3145</v>
      </c>
      <c r="B2130" s="32" t="s">
        <v>3146</v>
      </c>
      <c r="C2130" s="32" t="s">
        <v>763</v>
      </c>
      <c r="D2130" s="32" t="s">
        <v>2684</v>
      </c>
      <c r="E2130" s="33" t="s">
        <v>764</v>
      </c>
      <c r="F2130" s="34">
        <v>11464500</v>
      </c>
      <c r="G2130" s="34">
        <v>0</v>
      </c>
      <c r="H2130" s="35" t="s">
        <v>3149</v>
      </c>
    </row>
    <row r="2131" spans="1:8" ht="27" customHeight="1" x14ac:dyDescent="0.2">
      <c r="A2131" s="31" t="s">
        <v>3145</v>
      </c>
      <c r="B2131" s="32" t="s">
        <v>3146</v>
      </c>
      <c r="C2131" s="32" t="s">
        <v>770</v>
      </c>
      <c r="D2131" s="32" t="s">
        <v>810</v>
      </c>
      <c r="E2131" s="33" t="s">
        <v>772</v>
      </c>
      <c r="F2131" s="34">
        <v>3633329</v>
      </c>
      <c r="G2131" s="34">
        <v>3533329</v>
      </c>
      <c r="H2131" s="35" t="s">
        <v>3150</v>
      </c>
    </row>
    <row r="2132" spans="1:8" ht="27" customHeight="1" x14ac:dyDescent="0.2">
      <c r="A2132" s="31" t="s">
        <v>3145</v>
      </c>
      <c r="B2132" s="32" t="s">
        <v>3146</v>
      </c>
      <c r="C2132" s="32" t="s">
        <v>884</v>
      </c>
      <c r="D2132" s="32" t="s">
        <v>765</v>
      </c>
      <c r="E2132" s="33" t="s">
        <v>885</v>
      </c>
      <c r="F2132" s="34">
        <v>0</v>
      </c>
      <c r="G2132" s="34">
        <v>0</v>
      </c>
      <c r="H2132" s="35" t="s">
        <v>765</v>
      </c>
    </row>
    <row r="2133" spans="1:8" ht="27" customHeight="1" x14ac:dyDescent="0.2">
      <c r="A2133" s="31" t="s">
        <v>3145</v>
      </c>
      <c r="B2133" s="32" t="s">
        <v>3146</v>
      </c>
      <c r="C2133" s="32" t="s">
        <v>844</v>
      </c>
      <c r="D2133" s="32" t="s">
        <v>3151</v>
      </c>
      <c r="E2133" s="33" t="s">
        <v>846</v>
      </c>
      <c r="F2133" s="34">
        <v>302324</v>
      </c>
      <c r="G2133" s="34">
        <v>302324</v>
      </c>
      <c r="H2133" s="35" t="s">
        <v>3152</v>
      </c>
    </row>
    <row r="2134" spans="1:8" ht="27" customHeight="1" x14ac:dyDescent="0.2">
      <c r="A2134" s="31" t="s">
        <v>3145</v>
      </c>
      <c r="B2134" s="32" t="s">
        <v>3146</v>
      </c>
      <c r="C2134" s="32" t="s">
        <v>860</v>
      </c>
      <c r="D2134" s="32" t="s">
        <v>911</v>
      </c>
      <c r="E2134" s="33" t="s">
        <v>861</v>
      </c>
      <c r="F2134" s="34">
        <v>168681</v>
      </c>
      <c r="G2134" s="34">
        <v>168681</v>
      </c>
      <c r="H2134" s="35" t="s">
        <v>3152</v>
      </c>
    </row>
    <row r="2135" spans="1:8" ht="27" customHeight="1" x14ac:dyDescent="0.2">
      <c r="A2135" s="31" t="s">
        <v>3145</v>
      </c>
      <c r="B2135" s="32" t="s">
        <v>3146</v>
      </c>
      <c r="C2135" s="32" t="s">
        <v>796</v>
      </c>
      <c r="D2135" s="32" t="s">
        <v>3153</v>
      </c>
      <c r="E2135" s="33" t="s">
        <v>823</v>
      </c>
      <c r="F2135" s="34">
        <v>16241782</v>
      </c>
      <c r="G2135" s="34">
        <v>13294894</v>
      </c>
      <c r="H2135" s="35" t="s">
        <v>3154</v>
      </c>
    </row>
    <row r="2136" spans="1:8" ht="27" customHeight="1" x14ac:dyDescent="0.2">
      <c r="A2136" s="31" t="s">
        <v>3145</v>
      </c>
      <c r="B2136" s="32" t="s">
        <v>3146</v>
      </c>
      <c r="C2136" s="32" t="s">
        <v>779</v>
      </c>
      <c r="D2136" s="32" t="s">
        <v>876</v>
      </c>
      <c r="E2136" s="33" t="s">
        <v>780</v>
      </c>
      <c r="F2136" s="34">
        <v>827928</v>
      </c>
      <c r="G2136" s="34">
        <v>777928</v>
      </c>
      <c r="H2136" s="35" t="s">
        <v>3155</v>
      </c>
    </row>
    <row r="2137" spans="1:8" ht="27" customHeight="1" x14ac:dyDescent="0.2">
      <c r="A2137" s="31" t="s">
        <v>3145</v>
      </c>
      <c r="B2137" s="32" t="s">
        <v>3146</v>
      </c>
      <c r="C2137" s="32" t="s">
        <v>782</v>
      </c>
      <c r="D2137" s="32" t="s">
        <v>3156</v>
      </c>
      <c r="E2137" s="33" t="s">
        <v>784</v>
      </c>
      <c r="F2137" s="34">
        <v>3622890</v>
      </c>
      <c r="G2137" s="34">
        <v>2892890</v>
      </c>
      <c r="H2137" s="35" t="s">
        <v>3157</v>
      </c>
    </row>
    <row r="2138" spans="1:8" ht="27" customHeight="1" x14ac:dyDescent="0.2">
      <c r="A2138" s="31" t="s">
        <v>3158</v>
      </c>
      <c r="B2138" s="32" t="s">
        <v>3159</v>
      </c>
      <c r="C2138" s="32" t="s">
        <v>763</v>
      </c>
      <c r="D2138" s="32" t="s">
        <v>763</v>
      </c>
      <c r="E2138" s="33" t="s">
        <v>764</v>
      </c>
      <c r="F2138" s="34">
        <v>9390483</v>
      </c>
      <c r="G2138" s="34">
        <v>9390652</v>
      </c>
      <c r="H2138" s="35" t="s">
        <v>3160</v>
      </c>
    </row>
    <row r="2139" spans="1:8" ht="27" customHeight="1" x14ac:dyDescent="0.2">
      <c r="A2139" s="31" t="s">
        <v>3158</v>
      </c>
      <c r="B2139" s="32" t="s">
        <v>3159</v>
      </c>
      <c r="C2139" s="32" t="s">
        <v>770</v>
      </c>
      <c r="D2139" s="32" t="s">
        <v>770</v>
      </c>
      <c r="E2139" s="33" t="s">
        <v>772</v>
      </c>
      <c r="F2139" s="34">
        <v>961010</v>
      </c>
      <c r="G2139" s="34">
        <v>961238</v>
      </c>
      <c r="H2139" s="35" t="s">
        <v>3161</v>
      </c>
    </row>
    <row r="2140" spans="1:8" ht="27" customHeight="1" x14ac:dyDescent="0.2">
      <c r="A2140" s="31" t="s">
        <v>3158</v>
      </c>
      <c r="B2140" s="32" t="s">
        <v>3159</v>
      </c>
      <c r="C2140" s="32" t="s">
        <v>886</v>
      </c>
      <c r="D2140" s="32" t="s">
        <v>886</v>
      </c>
      <c r="E2140" s="33" t="s">
        <v>887</v>
      </c>
      <c r="F2140" s="34">
        <v>238640</v>
      </c>
      <c r="G2140" s="34">
        <v>238696</v>
      </c>
      <c r="H2140" s="35" t="s">
        <v>3162</v>
      </c>
    </row>
    <row r="2141" spans="1:8" ht="27" customHeight="1" x14ac:dyDescent="0.2">
      <c r="A2141" s="31" t="s">
        <v>3158</v>
      </c>
      <c r="B2141" s="32" t="s">
        <v>3159</v>
      </c>
      <c r="C2141" s="32" t="s">
        <v>860</v>
      </c>
      <c r="D2141" s="32" t="s">
        <v>860</v>
      </c>
      <c r="E2141" s="33" t="s">
        <v>861</v>
      </c>
      <c r="F2141" s="34">
        <v>1329835</v>
      </c>
      <c r="G2141" s="34">
        <v>1330151</v>
      </c>
      <c r="H2141" s="35" t="s">
        <v>3162</v>
      </c>
    </row>
    <row r="2142" spans="1:8" ht="27" customHeight="1" x14ac:dyDescent="0.2">
      <c r="A2142" s="31" t="s">
        <v>3158</v>
      </c>
      <c r="B2142" s="32" t="s">
        <v>3159</v>
      </c>
      <c r="C2142" s="32" t="s">
        <v>796</v>
      </c>
      <c r="D2142" s="32" t="s">
        <v>862</v>
      </c>
      <c r="E2142" s="33" t="s">
        <v>823</v>
      </c>
      <c r="F2142" s="34">
        <v>3350093</v>
      </c>
      <c r="G2142" s="34">
        <v>3350889</v>
      </c>
      <c r="H2142" s="35" t="s">
        <v>3162</v>
      </c>
    </row>
    <row r="2143" spans="1:8" ht="27" customHeight="1" x14ac:dyDescent="0.2">
      <c r="A2143" s="31" t="s">
        <v>3158</v>
      </c>
      <c r="B2143" s="32" t="s">
        <v>3159</v>
      </c>
      <c r="C2143" s="32" t="s">
        <v>779</v>
      </c>
      <c r="D2143" s="32" t="s">
        <v>3163</v>
      </c>
      <c r="E2143" s="33" t="s">
        <v>780</v>
      </c>
      <c r="F2143" s="34">
        <v>160512</v>
      </c>
      <c r="G2143" s="34">
        <v>160549</v>
      </c>
      <c r="H2143" s="35" t="s">
        <v>3162</v>
      </c>
    </row>
    <row r="2144" spans="1:8" ht="27" customHeight="1" x14ac:dyDescent="0.2">
      <c r="A2144" s="31" t="s">
        <v>3158</v>
      </c>
      <c r="B2144" s="32" t="s">
        <v>3159</v>
      </c>
      <c r="C2144" s="32" t="s">
        <v>782</v>
      </c>
      <c r="D2144" s="32" t="s">
        <v>783</v>
      </c>
      <c r="E2144" s="33" t="s">
        <v>784</v>
      </c>
      <c r="F2144" s="34">
        <v>1208551</v>
      </c>
      <c r="G2144" s="34">
        <v>1208838</v>
      </c>
      <c r="H2144" s="35" t="s">
        <v>3162</v>
      </c>
    </row>
    <row r="2145" spans="1:8" ht="27" customHeight="1" x14ac:dyDescent="0.2">
      <c r="A2145" s="31" t="s">
        <v>3164</v>
      </c>
      <c r="B2145" s="32" t="s">
        <v>3165</v>
      </c>
      <c r="C2145" s="32" t="s">
        <v>763</v>
      </c>
      <c r="D2145" s="32" t="s">
        <v>2976</v>
      </c>
      <c r="E2145" s="33" t="s">
        <v>764</v>
      </c>
      <c r="F2145" s="34">
        <v>12616</v>
      </c>
      <c r="G2145" s="34">
        <v>0</v>
      </c>
      <c r="H2145" s="35" t="s">
        <v>3166</v>
      </c>
    </row>
    <row r="2146" spans="1:8" ht="27" customHeight="1" x14ac:dyDescent="0.2">
      <c r="A2146" s="31" t="s">
        <v>3164</v>
      </c>
      <c r="B2146" s="32" t="s">
        <v>3165</v>
      </c>
      <c r="C2146" s="32" t="s">
        <v>763</v>
      </c>
      <c r="D2146" s="32" t="s">
        <v>3109</v>
      </c>
      <c r="E2146" s="33" t="s">
        <v>764</v>
      </c>
      <c r="F2146" s="34">
        <v>193880</v>
      </c>
      <c r="G2146" s="34">
        <v>0</v>
      </c>
      <c r="H2146" s="35" t="s">
        <v>3166</v>
      </c>
    </row>
    <row r="2147" spans="1:8" ht="27" customHeight="1" x14ac:dyDescent="0.2">
      <c r="A2147" s="31" t="s">
        <v>3164</v>
      </c>
      <c r="B2147" s="32" t="s">
        <v>3165</v>
      </c>
      <c r="C2147" s="32" t="s">
        <v>763</v>
      </c>
      <c r="D2147" s="32" t="s">
        <v>1041</v>
      </c>
      <c r="E2147" s="33" t="s">
        <v>764</v>
      </c>
      <c r="F2147" s="34">
        <v>6028459</v>
      </c>
      <c r="G2147" s="34">
        <v>10237600</v>
      </c>
      <c r="H2147" s="35" t="s">
        <v>3167</v>
      </c>
    </row>
    <row r="2148" spans="1:8" ht="27" customHeight="1" x14ac:dyDescent="0.2">
      <c r="A2148" s="31" t="s">
        <v>3164</v>
      </c>
      <c r="B2148" s="32" t="s">
        <v>3165</v>
      </c>
      <c r="C2148" s="32" t="s">
        <v>770</v>
      </c>
      <c r="D2148" s="32" t="s">
        <v>1589</v>
      </c>
      <c r="E2148" s="33" t="s">
        <v>772</v>
      </c>
      <c r="F2148" s="34">
        <v>8098742</v>
      </c>
      <c r="G2148" s="34">
        <v>7901143</v>
      </c>
      <c r="H2148" s="35" t="s">
        <v>3168</v>
      </c>
    </row>
    <row r="2149" spans="1:8" ht="27" customHeight="1" x14ac:dyDescent="0.2">
      <c r="A2149" s="31" t="s">
        <v>3164</v>
      </c>
      <c r="B2149" s="32" t="s">
        <v>3165</v>
      </c>
      <c r="C2149" s="32" t="s">
        <v>860</v>
      </c>
      <c r="D2149" s="32" t="s">
        <v>911</v>
      </c>
      <c r="E2149" s="33" t="s">
        <v>861</v>
      </c>
      <c r="F2149" s="34">
        <v>704623</v>
      </c>
      <c r="G2149" s="34">
        <v>704922</v>
      </c>
      <c r="H2149" s="35" t="s">
        <v>3169</v>
      </c>
    </row>
    <row r="2150" spans="1:8" ht="27" customHeight="1" x14ac:dyDescent="0.2">
      <c r="A2150" s="31" t="s">
        <v>3164</v>
      </c>
      <c r="B2150" s="32" t="s">
        <v>3165</v>
      </c>
      <c r="C2150" s="32" t="s">
        <v>796</v>
      </c>
      <c r="D2150" s="32" t="s">
        <v>835</v>
      </c>
      <c r="E2150" s="33" t="s">
        <v>772</v>
      </c>
      <c r="F2150" s="34">
        <v>10788020</v>
      </c>
      <c r="G2150" s="34">
        <v>9494220</v>
      </c>
      <c r="H2150" s="35" t="s">
        <v>3170</v>
      </c>
    </row>
    <row r="2151" spans="1:8" ht="27" customHeight="1" x14ac:dyDescent="0.2">
      <c r="A2151" s="31" t="s">
        <v>3164</v>
      </c>
      <c r="B2151" s="32" t="s">
        <v>3165</v>
      </c>
      <c r="C2151" s="32" t="s">
        <v>779</v>
      </c>
      <c r="D2151" s="32" t="s">
        <v>826</v>
      </c>
      <c r="E2151" s="33" t="s">
        <v>780</v>
      </c>
      <c r="F2151" s="34">
        <v>1719838</v>
      </c>
      <c r="G2151" s="34">
        <v>1705490</v>
      </c>
      <c r="H2151" s="35" t="s">
        <v>3171</v>
      </c>
    </row>
    <row r="2152" spans="1:8" ht="27" customHeight="1" x14ac:dyDescent="0.2">
      <c r="A2152" s="31" t="s">
        <v>3172</v>
      </c>
      <c r="B2152" s="32" t="s">
        <v>3173</v>
      </c>
      <c r="C2152" s="32" t="s">
        <v>763</v>
      </c>
      <c r="D2152" s="32" t="s">
        <v>3174</v>
      </c>
      <c r="E2152" s="33" t="s">
        <v>764</v>
      </c>
      <c r="F2152" s="34">
        <v>3021234</v>
      </c>
      <c r="G2152" s="34">
        <v>3886234</v>
      </c>
      <c r="H2152" s="35" t="s">
        <v>3175</v>
      </c>
    </row>
    <row r="2153" spans="1:8" ht="27" customHeight="1" x14ac:dyDescent="0.2">
      <c r="A2153" s="31" t="s">
        <v>3172</v>
      </c>
      <c r="B2153" s="32" t="s">
        <v>3173</v>
      </c>
      <c r="C2153" s="32" t="s">
        <v>763</v>
      </c>
      <c r="D2153" s="32" t="s">
        <v>3174</v>
      </c>
      <c r="E2153" s="33" t="s">
        <v>764</v>
      </c>
      <c r="F2153" s="34">
        <v>3021234</v>
      </c>
      <c r="G2153" s="34">
        <v>3837234</v>
      </c>
      <c r="H2153" s="35" t="s">
        <v>3176</v>
      </c>
    </row>
    <row r="2154" spans="1:8" ht="27" customHeight="1" x14ac:dyDescent="0.2">
      <c r="A2154" s="31" t="s">
        <v>3172</v>
      </c>
      <c r="B2154" s="32" t="s">
        <v>3173</v>
      </c>
      <c r="C2154" s="32" t="s">
        <v>763</v>
      </c>
      <c r="D2154" s="32" t="s">
        <v>3174</v>
      </c>
      <c r="E2154" s="33" t="s">
        <v>764</v>
      </c>
      <c r="F2154" s="34">
        <v>3021234</v>
      </c>
      <c r="G2154" s="34">
        <v>3886234</v>
      </c>
      <c r="H2154" s="35" t="s">
        <v>3175</v>
      </c>
    </row>
    <row r="2155" spans="1:8" ht="27" customHeight="1" x14ac:dyDescent="0.2">
      <c r="A2155" s="31" t="s">
        <v>3172</v>
      </c>
      <c r="B2155" s="32" t="s">
        <v>3173</v>
      </c>
      <c r="C2155" s="32" t="s">
        <v>770</v>
      </c>
      <c r="D2155" s="32" t="s">
        <v>3177</v>
      </c>
      <c r="E2155" s="33" t="s">
        <v>772</v>
      </c>
      <c r="F2155" s="34">
        <v>2302184</v>
      </c>
      <c r="G2155" s="34">
        <v>2260540</v>
      </c>
      <c r="H2155" s="35" t="s">
        <v>3178</v>
      </c>
    </row>
    <row r="2156" spans="1:8" ht="27" customHeight="1" x14ac:dyDescent="0.2">
      <c r="A2156" s="31" t="s">
        <v>3172</v>
      </c>
      <c r="B2156" s="32" t="s">
        <v>3173</v>
      </c>
      <c r="C2156" s="32" t="s">
        <v>844</v>
      </c>
      <c r="D2156" s="32" t="s">
        <v>3179</v>
      </c>
      <c r="E2156" s="33" t="s">
        <v>846</v>
      </c>
      <c r="F2156" s="34">
        <v>277079</v>
      </c>
      <c r="G2156" s="34">
        <v>278854</v>
      </c>
      <c r="H2156" s="35" t="s">
        <v>3180</v>
      </c>
    </row>
    <row r="2157" spans="1:8" ht="27" customHeight="1" x14ac:dyDescent="0.2">
      <c r="A2157" s="31" t="s">
        <v>3172</v>
      </c>
      <c r="B2157" s="32" t="s">
        <v>3173</v>
      </c>
      <c r="C2157" s="32" t="s">
        <v>831</v>
      </c>
      <c r="D2157" s="32" t="s">
        <v>3174</v>
      </c>
      <c r="E2157" s="33" t="s">
        <v>3181</v>
      </c>
      <c r="F2157" s="34">
        <v>0</v>
      </c>
      <c r="G2157" s="34">
        <v>450000</v>
      </c>
      <c r="H2157" s="35" t="s">
        <v>1009</v>
      </c>
    </row>
    <row r="2158" spans="1:8" ht="27" customHeight="1" x14ac:dyDescent="0.2">
      <c r="A2158" s="31" t="s">
        <v>3172</v>
      </c>
      <c r="B2158" s="32" t="s">
        <v>3173</v>
      </c>
      <c r="C2158" s="32" t="s">
        <v>796</v>
      </c>
      <c r="D2158" s="32" t="s">
        <v>3182</v>
      </c>
      <c r="E2158" s="33" t="s">
        <v>772</v>
      </c>
      <c r="F2158" s="34">
        <v>2408437</v>
      </c>
      <c r="G2158" s="34">
        <v>2410575</v>
      </c>
      <c r="H2158" s="35" t="s">
        <v>3183</v>
      </c>
    </row>
    <row r="2159" spans="1:8" ht="27" customHeight="1" x14ac:dyDescent="0.2">
      <c r="A2159" s="31" t="s">
        <v>3172</v>
      </c>
      <c r="B2159" s="32" t="s">
        <v>3173</v>
      </c>
      <c r="C2159" s="32" t="s">
        <v>779</v>
      </c>
      <c r="D2159" s="32" t="s">
        <v>3184</v>
      </c>
      <c r="E2159" s="33" t="s">
        <v>780</v>
      </c>
      <c r="F2159" s="34">
        <v>75495</v>
      </c>
      <c r="G2159" s="34">
        <v>75536</v>
      </c>
      <c r="H2159" s="35" t="s">
        <v>3185</v>
      </c>
    </row>
    <row r="2160" spans="1:8" ht="27" customHeight="1" x14ac:dyDescent="0.2">
      <c r="A2160" s="31" t="s">
        <v>3186</v>
      </c>
      <c r="B2160" s="32" t="s">
        <v>3187</v>
      </c>
      <c r="C2160" s="32" t="s">
        <v>763</v>
      </c>
      <c r="D2160" s="32" t="s">
        <v>3188</v>
      </c>
      <c r="E2160" s="33" t="s">
        <v>764</v>
      </c>
      <c r="F2160" s="34">
        <v>787665</v>
      </c>
      <c r="G2160" s="34">
        <v>0</v>
      </c>
      <c r="H2160" s="35" t="s">
        <v>3189</v>
      </c>
    </row>
    <row r="2161" spans="1:8" ht="27" customHeight="1" x14ac:dyDescent="0.2">
      <c r="A2161" s="31" t="s">
        <v>3186</v>
      </c>
      <c r="B2161" s="32" t="s">
        <v>3187</v>
      </c>
      <c r="C2161" s="32" t="s">
        <v>763</v>
      </c>
      <c r="D2161" s="32" t="s">
        <v>3190</v>
      </c>
      <c r="E2161" s="33" t="s">
        <v>764</v>
      </c>
      <c r="F2161" s="34">
        <v>10045388</v>
      </c>
      <c r="G2161" s="34">
        <v>6832570</v>
      </c>
      <c r="H2161" s="35" t="s">
        <v>3191</v>
      </c>
    </row>
    <row r="2162" spans="1:8" ht="27" customHeight="1" x14ac:dyDescent="0.2">
      <c r="A2162" s="31" t="s">
        <v>3186</v>
      </c>
      <c r="B2162" s="32" t="s">
        <v>3187</v>
      </c>
      <c r="C2162" s="32" t="s">
        <v>770</v>
      </c>
      <c r="D2162" s="32" t="s">
        <v>1011</v>
      </c>
      <c r="E2162" s="33" t="s">
        <v>772</v>
      </c>
      <c r="F2162" s="34">
        <v>19683812</v>
      </c>
      <c r="G2162" s="34">
        <v>18497349</v>
      </c>
      <c r="H2162" s="35" t="s">
        <v>3192</v>
      </c>
    </row>
    <row r="2163" spans="1:8" ht="27" customHeight="1" x14ac:dyDescent="0.2">
      <c r="A2163" s="31" t="s">
        <v>3186</v>
      </c>
      <c r="B2163" s="32" t="s">
        <v>3187</v>
      </c>
      <c r="C2163" s="32" t="s">
        <v>796</v>
      </c>
      <c r="D2163" s="32" t="s">
        <v>796</v>
      </c>
      <c r="E2163" s="33" t="s">
        <v>772</v>
      </c>
      <c r="F2163" s="34">
        <v>16992330</v>
      </c>
      <c r="G2163" s="34">
        <v>16447349</v>
      </c>
      <c r="H2163" s="35" t="s">
        <v>3193</v>
      </c>
    </row>
    <row r="2164" spans="1:8" ht="27" customHeight="1" x14ac:dyDescent="0.2">
      <c r="A2164" s="31" t="s">
        <v>3186</v>
      </c>
      <c r="B2164" s="32" t="s">
        <v>3187</v>
      </c>
      <c r="C2164" s="32" t="s">
        <v>779</v>
      </c>
      <c r="D2164" s="32" t="s">
        <v>779</v>
      </c>
      <c r="E2164" s="33" t="s">
        <v>780</v>
      </c>
      <c r="F2164" s="34">
        <v>252035</v>
      </c>
      <c r="G2164" s="34">
        <v>252035</v>
      </c>
      <c r="H2164" s="35" t="s">
        <v>3194</v>
      </c>
    </row>
    <row r="2165" spans="1:8" ht="27" customHeight="1" x14ac:dyDescent="0.2">
      <c r="A2165" s="31" t="s">
        <v>3195</v>
      </c>
      <c r="B2165" s="32" t="s">
        <v>3196</v>
      </c>
      <c r="C2165" s="32" t="s">
        <v>763</v>
      </c>
      <c r="D2165" s="32" t="s">
        <v>2868</v>
      </c>
      <c r="E2165" s="33" t="s">
        <v>764</v>
      </c>
      <c r="F2165" s="34">
        <v>0</v>
      </c>
      <c r="G2165" s="34">
        <v>1721030</v>
      </c>
      <c r="H2165" s="35" t="s">
        <v>3197</v>
      </c>
    </row>
    <row r="2166" spans="1:8" ht="27" customHeight="1" x14ac:dyDescent="0.2">
      <c r="A2166" s="31" t="s">
        <v>3195</v>
      </c>
      <c r="B2166" s="32" t="s">
        <v>3196</v>
      </c>
      <c r="C2166" s="32" t="s">
        <v>763</v>
      </c>
      <c r="D2166" s="32" t="s">
        <v>3198</v>
      </c>
      <c r="E2166" s="33" t="s">
        <v>764</v>
      </c>
      <c r="F2166" s="34">
        <v>6513370</v>
      </c>
      <c r="G2166" s="34">
        <v>5513370</v>
      </c>
      <c r="H2166" s="35" t="s">
        <v>3199</v>
      </c>
    </row>
    <row r="2167" spans="1:8" ht="27" customHeight="1" x14ac:dyDescent="0.2">
      <c r="A2167" s="31" t="s">
        <v>3195</v>
      </c>
      <c r="B2167" s="32" t="s">
        <v>3196</v>
      </c>
      <c r="C2167" s="32" t="s">
        <v>770</v>
      </c>
      <c r="D2167" s="32" t="s">
        <v>3200</v>
      </c>
      <c r="E2167" s="33" t="s">
        <v>772</v>
      </c>
      <c r="F2167" s="34">
        <v>3821015</v>
      </c>
      <c r="G2167" s="34">
        <v>3828275</v>
      </c>
      <c r="H2167" s="35" t="s">
        <v>3201</v>
      </c>
    </row>
    <row r="2168" spans="1:8" ht="27" customHeight="1" x14ac:dyDescent="0.2">
      <c r="A2168" s="31" t="s">
        <v>3195</v>
      </c>
      <c r="B2168" s="32" t="s">
        <v>3196</v>
      </c>
      <c r="C2168" s="32" t="s">
        <v>796</v>
      </c>
      <c r="D2168" s="32" t="s">
        <v>3202</v>
      </c>
      <c r="E2168" s="33" t="s">
        <v>823</v>
      </c>
      <c r="F2168" s="34">
        <v>12919441</v>
      </c>
      <c r="G2168" s="34">
        <v>7443988</v>
      </c>
      <c r="H2168" s="35" t="s">
        <v>3203</v>
      </c>
    </row>
    <row r="2169" spans="1:8" ht="27" customHeight="1" x14ac:dyDescent="0.2">
      <c r="A2169" s="31" t="s">
        <v>3195</v>
      </c>
      <c r="B2169" s="32" t="s">
        <v>3196</v>
      </c>
      <c r="C2169" s="32" t="s">
        <v>779</v>
      </c>
      <c r="D2169" s="32" t="s">
        <v>826</v>
      </c>
      <c r="E2169" s="33" t="s">
        <v>780</v>
      </c>
      <c r="F2169" s="34">
        <v>984228</v>
      </c>
      <c r="G2169" s="34">
        <v>265066</v>
      </c>
      <c r="H2169" s="35" t="s">
        <v>3204</v>
      </c>
    </row>
    <row r="2170" spans="1:8" ht="27" customHeight="1" x14ac:dyDescent="0.2">
      <c r="A2170" s="31" t="s">
        <v>3195</v>
      </c>
      <c r="B2170" s="32" t="s">
        <v>3196</v>
      </c>
      <c r="C2170" s="32" t="s">
        <v>782</v>
      </c>
      <c r="D2170" s="32" t="s">
        <v>813</v>
      </c>
      <c r="E2170" s="33" t="s">
        <v>784</v>
      </c>
      <c r="F2170" s="34">
        <v>2964999</v>
      </c>
      <c r="G2170" s="34">
        <v>1970633</v>
      </c>
      <c r="H2170" s="35" t="s">
        <v>3205</v>
      </c>
    </row>
    <row r="2171" spans="1:8" ht="27" customHeight="1" x14ac:dyDescent="0.2">
      <c r="A2171" s="31" t="s">
        <v>3206</v>
      </c>
      <c r="B2171" s="32" t="s">
        <v>561</v>
      </c>
      <c r="C2171" s="32" t="s">
        <v>763</v>
      </c>
      <c r="D2171" s="32" t="s">
        <v>3207</v>
      </c>
      <c r="E2171" s="33" t="s">
        <v>764</v>
      </c>
      <c r="F2171" s="34">
        <v>0</v>
      </c>
      <c r="G2171" s="34">
        <v>5870000</v>
      </c>
      <c r="H2171" s="35" t="s">
        <v>3208</v>
      </c>
    </row>
    <row r="2172" spans="1:8" ht="27" customHeight="1" x14ac:dyDescent="0.2">
      <c r="A2172" s="31" t="s">
        <v>3206</v>
      </c>
      <c r="B2172" s="32" t="s">
        <v>561</v>
      </c>
      <c r="C2172" s="32" t="s">
        <v>763</v>
      </c>
      <c r="D2172" s="32" t="s">
        <v>2895</v>
      </c>
      <c r="E2172" s="33" t="s">
        <v>764</v>
      </c>
      <c r="F2172" s="34">
        <v>7049176</v>
      </c>
      <c r="G2172" s="34">
        <v>5750976</v>
      </c>
      <c r="H2172" s="35" t="s">
        <v>3209</v>
      </c>
    </row>
    <row r="2173" spans="1:8" ht="27" customHeight="1" x14ac:dyDescent="0.2">
      <c r="A2173" s="31" t="s">
        <v>3206</v>
      </c>
      <c r="B2173" s="32" t="s">
        <v>561</v>
      </c>
      <c r="C2173" s="32" t="s">
        <v>770</v>
      </c>
      <c r="D2173" s="32" t="s">
        <v>1011</v>
      </c>
      <c r="E2173" s="33" t="s">
        <v>772</v>
      </c>
      <c r="F2173" s="34">
        <v>4052612</v>
      </c>
      <c r="G2173" s="34">
        <v>3852612</v>
      </c>
      <c r="H2173" s="35" t="s">
        <v>3210</v>
      </c>
    </row>
    <row r="2174" spans="1:8" ht="27" customHeight="1" x14ac:dyDescent="0.2">
      <c r="A2174" s="31" t="s">
        <v>3206</v>
      </c>
      <c r="B2174" s="32" t="s">
        <v>561</v>
      </c>
      <c r="C2174" s="32" t="s">
        <v>796</v>
      </c>
      <c r="D2174" s="32" t="s">
        <v>3211</v>
      </c>
      <c r="E2174" s="33" t="s">
        <v>823</v>
      </c>
      <c r="F2174" s="34">
        <v>9202404</v>
      </c>
      <c r="G2174" s="34">
        <v>6202404</v>
      </c>
      <c r="H2174" s="35" t="s">
        <v>3212</v>
      </c>
    </row>
    <row r="2175" spans="1:8" ht="27" customHeight="1" x14ac:dyDescent="0.2">
      <c r="A2175" s="31" t="s">
        <v>3206</v>
      </c>
      <c r="B2175" s="32" t="s">
        <v>561</v>
      </c>
      <c r="C2175" s="32" t="s">
        <v>779</v>
      </c>
      <c r="D2175" s="32" t="s">
        <v>1661</v>
      </c>
      <c r="E2175" s="33" t="s">
        <v>780</v>
      </c>
      <c r="F2175" s="34">
        <v>3117168</v>
      </c>
      <c r="G2175" s="34">
        <v>1117168</v>
      </c>
      <c r="H2175" s="35" t="s">
        <v>3213</v>
      </c>
    </row>
    <row r="2176" spans="1:8" ht="27" customHeight="1" x14ac:dyDescent="0.2">
      <c r="A2176" s="31" t="s">
        <v>3206</v>
      </c>
      <c r="B2176" s="32" t="s">
        <v>561</v>
      </c>
      <c r="C2176" s="32" t="s">
        <v>782</v>
      </c>
      <c r="D2176" s="32" t="s">
        <v>3214</v>
      </c>
      <c r="E2176" s="33" t="s">
        <v>784</v>
      </c>
      <c r="F2176" s="34">
        <v>1885266</v>
      </c>
      <c r="G2176" s="34">
        <v>1015266</v>
      </c>
      <c r="H2176" s="35" t="s">
        <v>3215</v>
      </c>
    </row>
    <row r="2177" spans="1:8" ht="27" customHeight="1" x14ac:dyDescent="0.2">
      <c r="A2177" s="31" t="s">
        <v>3216</v>
      </c>
      <c r="B2177" s="32" t="s">
        <v>3217</v>
      </c>
      <c r="C2177" s="32" t="s">
        <v>763</v>
      </c>
      <c r="D2177" s="32" t="s">
        <v>1335</v>
      </c>
      <c r="E2177" s="33" t="s">
        <v>764</v>
      </c>
      <c r="F2177" s="34">
        <v>6202158</v>
      </c>
      <c r="G2177" s="34">
        <v>3669477</v>
      </c>
      <c r="H2177" s="35" t="s">
        <v>1604</v>
      </c>
    </row>
    <row r="2178" spans="1:8" ht="27" customHeight="1" x14ac:dyDescent="0.2">
      <c r="A2178" s="31" t="s">
        <v>3216</v>
      </c>
      <c r="B2178" s="32" t="s">
        <v>3217</v>
      </c>
      <c r="C2178" s="32" t="s">
        <v>770</v>
      </c>
      <c r="D2178" s="32" t="s">
        <v>949</v>
      </c>
      <c r="E2178" s="33" t="s">
        <v>772</v>
      </c>
      <c r="F2178" s="34">
        <v>2600503</v>
      </c>
      <c r="G2178" s="34">
        <v>2609442</v>
      </c>
      <c r="H2178" s="35" t="s">
        <v>2589</v>
      </c>
    </row>
    <row r="2179" spans="1:8" ht="27" customHeight="1" x14ac:dyDescent="0.2">
      <c r="A2179" s="31" t="s">
        <v>3216</v>
      </c>
      <c r="B2179" s="32" t="s">
        <v>3217</v>
      </c>
      <c r="C2179" s="32" t="s">
        <v>773</v>
      </c>
      <c r="D2179" s="32" t="s">
        <v>3218</v>
      </c>
      <c r="E2179" s="33" t="s">
        <v>775</v>
      </c>
      <c r="F2179" s="34">
        <v>996932</v>
      </c>
      <c r="G2179" s="34">
        <v>0</v>
      </c>
      <c r="H2179" s="35" t="s">
        <v>3219</v>
      </c>
    </row>
    <row r="2180" spans="1:8" ht="27" customHeight="1" x14ac:dyDescent="0.2">
      <c r="A2180" s="31" t="s">
        <v>3216</v>
      </c>
      <c r="B2180" s="32" t="s">
        <v>3217</v>
      </c>
      <c r="C2180" s="32" t="s">
        <v>796</v>
      </c>
      <c r="D2180" s="32" t="s">
        <v>1314</v>
      </c>
      <c r="E2180" s="33" t="s">
        <v>823</v>
      </c>
      <c r="F2180" s="34">
        <v>3964893</v>
      </c>
      <c r="G2180" s="34">
        <v>4031670</v>
      </c>
      <c r="H2180" s="35" t="s">
        <v>3220</v>
      </c>
    </row>
    <row r="2181" spans="1:8" ht="27" customHeight="1" x14ac:dyDescent="0.2">
      <c r="A2181" s="31" t="s">
        <v>3216</v>
      </c>
      <c r="B2181" s="32" t="s">
        <v>3217</v>
      </c>
      <c r="C2181" s="32" t="s">
        <v>779</v>
      </c>
      <c r="D2181" s="32" t="s">
        <v>2514</v>
      </c>
      <c r="E2181" s="33" t="s">
        <v>780</v>
      </c>
      <c r="F2181" s="34">
        <v>175756</v>
      </c>
      <c r="G2181" s="34">
        <v>176360</v>
      </c>
      <c r="H2181" s="35" t="s">
        <v>3221</v>
      </c>
    </row>
    <row r="2182" spans="1:8" ht="27" customHeight="1" x14ac:dyDescent="0.2">
      <c r="A2182" s="31" t="s">
        <v>3216</v>
      </c>
      <c r="B2182" s="32" t="s">
        <v>3217</v>
      </c>
      <c r="C2182" s="32" t="s">
        <v>782</v>
      </c>
      <c r="D2182" s="32" t="s">
        <v>2662</v>
      </c>
      <c r="E2182" s="33" t="s">
        <v>784</v>
      </c>
      <c r="F2182" s="34">
        <v>476769</v>
      </c>
      <c r="G2182" s="34">
        <v>553408</v>
      </c>
      <c r="H2182" s="35" t="s">
        <v>2589</v>
      </c>
    </row>
    <row r="2183" spans="1:8" ht="27" customHeight="1" x14ac:dyDescent="0.2">
      <c r="A2183" s="31" t="s">
        <v>3222</v>
      </c>
      <c r="B2183" s="32" t="s">
        <v>3223</v>
      </c>
      <c r="C2183" s="32" t="s">
        <v>763</v>
      </c>
      <c r="D2183" s="32" t="s">
        <v>1416</v>
      </c>
      <c r="E2183" s="33" t="s">
        <v>764</v>
      </c>
      <c r="F2183" s="34">
        <v>10786344</v>
      </c>
      <c r="G2183" s="34">
        <v>12652055</v>
      </c>
      <c r="H2183" s="35" t="s">
        <v>3224</v>
      </c>
    </row>
    <row r="2184" spans="1:8" ht="27" customHeight="1" x14ac:dyDescent="0.2">
      <c r="A2184" s="31" t="s">
        <v>3222</v>
      </c>
      <c r="B2184" s="32" t="s">
        <v>3223</v>
      </c>
      <c r="C2184" s="32" t="s">
        <v>766</v>
      </c>
      <c r="D2184" s="32" t="s">
        <v>3225</v>
      </c>
      <c r="E2184" s="33" t="s">
        <v>768</v>
      </c>
      <c r="F2184" s="34">
        <v>665240</v>
      </c>
      <c r="G2184" s="34">
        <v>498930</v>
      </c>
      <c r="H2184" s="35" t="s">
        <v>3226</v>
      </c>
    </row>
    <row r="2185" spans="1:8" ht="27" customHeight="1" x14ac:dyDescent="0.2">
      <c r="A2185" s="31" t="s">
        <v>3222</v>
      </c>
      <c r="B2185" s="32" t="s">
        <v>3223</v>
      </c>
      <c r="C2185" s="32" t="s">
        <v>770</v>
      </c>
      <c r="D2185" s="32" t="s">
        <v>1196</v>
      </c>
      <c r="E2185" s="33" t="s">
        <v>772</v>
      </c>
      <c r="F2185" s="34">
        <v>2189742</v>
      </c>
      <c r="G2185" s="34">
        <v>2099070</v>
      </c>
      <c r="H2185" s="35" t="s">
        <v>3227</v>
      </c>
    </row>
    <row r="2186" spans="1:8" ht="27" customHeight="1" x14ac:dyDescent="0.2">
      <c r="A2186" s="31" t="s">
        <v>3222</v>
      </c>
      <c r="B2186" s="32" t="s">
        <v>3223</v>
      </c>
      <c r="C2186" s="32" t="s">
        <v>844</v>
      </c>
      <c r="D2186" s="32" t="s">
        <v>3228</v>
      </c>
      <c r="E2186" s="33" t="s">
        <v>846</v>
      </c>
      <c r="F2186" s="34">
        <v>404315</v>
      </c>
      <c r="G2186" s="34">
        <v>406037</v>
      </c>
      <c r="H2186" s="35" t="s">
        <v>3224</v>
      </c>
    </row>
    <row r="2187" spans="1:8" ht="27" customHeight="1" x14ac:dyDescent="0.2">
      <c r="A2187" s="31" t="s">
        <v>3222</v>
      </c>
      <c r="B2187" s="32" t="s">
        <v>3223</v>
      </c>
      <c r="C2187" s="32" t="s">
        <v>796</v>
      </c>
      <c r="D2187" s="32" t="s">
        <v>1422</v>
      </c>
      <c r="E2187" s="33" t="s">
        <v>772</v>
      </c>
      <c r="F2187" s="34">
        <v>5016646</v>
      </c>
      <c r="G2187" s="34">
        <v>5038014</v>
      </c>
      <c r="H2187" s="35" t="s">
        <v>3224</v>
      </c>
    </row>
    <row r="2188" spans="1:8" ht="27" customHeight="1" x14ac:dyDescent="0.2">
      <c r="A2188" s="31" t="s">
        <v>3222</v>
      </c>
      <c r="B2188" s="32" t="s">
        <v>3223</v>
      </c>
      <c r="C2188" s="32" t="s">
        <v>779</v>
      </c>
      <c r="D2188" s="32" t="s">
        <v>3229</v>
      </c>
      <c r="E2188" s="33" t="s">
        <v>780</v>
      </c>
      <c r="F2188" s="34">
        <v>609143</v>
      </c>
      <c r="G2188" s="34">
        <v>611738</v>
      </c>
      <c r="H2188" s="35" t="s">
        <v>3224</v>
      </c>
    </row>
    <row r="2189" spans="1:8" ht="27" customHeight="1" x14ac:dyDescent="0.2">
      <c r="A2189" s="31" t="s">
        <v>3222</v>
      </c>
      <c r="B2189" s="32" t="s">
        <v>3223</v>
      </c>
      <c r="C2189" s="32" t="s">
        <v>782</v>
      </c>
      <c r="D2189" s="32" t="s">
        <v>1428</v>
      </c>
      <c r="E2189" s="33" t="s">
        <v>784</v>
      </c>
      <c r="F2189" s="34">
        <v>194810</v>
      </c>
      <c r="G2189" s="34">
        <v>195640</v>
      </c>
      <c r="H2189" s="35" t="s">
        <v>3230</v>
      </c>
    </row>
    <row r="2190" spans="1:8" ht="27" customHeight="1" x14ac:dyDescent="0.2">
      <c r="A2190" s="31" t="s">
        <v>3231</v>
      </c>
      <c r="B2190" s="32" t="s">
        <v>3232</v>
      </c>
      <c r="C2190" s="32" t="s">
        <v>763</v>
      </c>
      <c r="D2190" s="32" t="s">
        <v>1924</v>
      </c>
      <c r="E2190" s="33" t="s">
        <v>764</v>
      </c>
      <c r="F2190" s="34">
        <v>517522</v>
      </c>
      <c r="G2190" s="34">
        <v>517522</v>
      </c>
      <c r="H2190" s="35" t="s">
        <v>3233</v>
      </c>
    </row>
    <row r="2191" spans="1:8" ht="27" customHeight="1" x14ac:dyDescent="0.2">
      <c r="A2191" s="31" t="s">
        <v>3231</v>
      </c>
      <c r="B2191" s="32" t="s">
        <v>3232</v>
      </c>
      <c r="C2191" s="32" t="s">
        <v>770</v>
      </c>
      <c r="D2191" s="32" t="s">
        <v>3234</v>
      </c>
      <c r="E2191" s="33" t="s">
        <v>772</v>
      </c>
      <c r="F2191" s="34">
        <v>8527053</v>
      </c>
      <c r="G2191" s="34">
        <v>8927053</v>
      </c>
      <c r="H2191" s="35" t="s">
        <v>3233</v>
      </c>
    </row>
    <row r="2192" spans="1:8" ht="27" customHeight="1" x14ac:dyDescent="0.2">
      <c r="A2192" s="31" t="s">
        <v>3231</v>
      </c>
      <c r="B2192" s="32" t="s">
        <v>3232</v>
      </c>
      <c r="C2192" s="32" t="s">
        <v>886</v>
      </c>
      <c r="D2192" s="32" t="s">
        <v>886</v>
      </c>
      <c r="E2192" s="33" t="s">
        <v>887</v>
      </c>
      <c r="F2192" s="34">
        <v>4438414</v>
      </c>
      <c r="G2192" s="34">
        <v>4438414</v>
      </c>
      <c r="H2192" s="35" t="s">
        <v>3233</v>
      </c>
    </row>
    <row r="2193" spans="1:8" ht="27" customHeight="1" x14ac:dyDescent="0.2">
      <c r="A2193" s="31" t="s">
        <v>3231</v>
      </c>
      <c r="B2193" s="32" t="s">
        <v>3232</v>
      </c>
      <c r="C2193" s="32" t="s">
        <v>796</v>
      </c>
      <c r="D2193" s="32" t="s">
        <v>3235</v>
      </c>
      <c r="E2193" s="33" t="s">
        <v>772</v>
      </c>
      <c r="F2193" s="34">
        <v>5938936</v>
      </c>
      <c r="G2193" s="34">
        <v>6638936</v>
      </c>
      <c r="H2193" s="35" t="s">
        <v>3236</v>
      </c>
    </row>
    <row r="2194" spans="1:8" ht="27" customHeight="1" x14ac:dyDescent="0.2">
      <c r="A2194" s="31" t="s">
        <v>3231</v>
      </c>
      <c r="B2194" s="32" t="s">
        <v>3232</v>
      </c>
      <c r="C2194" s="32" t="s">
        <v>798</v>
      </c>
      <c r="D2194" s="32" t="s">
        <v>799</v>
      </c>
      <c r="E2194" s="33" t="s">
        <v>800</v>
      </c>
      <c r="F2194" s="34">
        <v>7725000</v>
      </c>
      <c r="G2194" s="34">
        <v>7725000</v>
      </c>
      <c r="H2194" s="35" t="s">
        <v>3237</v>
      </c>
    </row>
    <row r="2195" spans="1:8" ht="27" customHeight="1" x14ac:dyDescent="0.2">
      <c r="A2195" s="31" t="s">
        <v>3231</v>
      </c>
      <c r="B2195" s="32" t="s">
        <v>3232</v>
      </c>
      <c r="C2195" s="32" t="s">
        <v>779</v>
      </c>
      <c r="D2195" s="32" t="s">
        <v>1661</v>
      </c>
      <c r="E2195" s="33" t="s">
        <v>780</v>
      </c>
      <c r="F2195" s="34">
        <v>4850128</v>
      </c>
      <c r="G2195" s="34">
        <v>4850128</v>
      </c>
      <c r="H2195" s="35" t="s">
        <v>3233</v>
      </c>
    </row>
    <row r="2196" spans="1:8" ht="27" customHeight="1" x14ac:dyDescent="0.2">
      <c r="A2196" s="31" t="s">
        <v>3231</v>
      </c>
      <c r="B2196" s="32" t="s">
        <v>3232</v>
      </c>
      <c r="C2196" s="32" t="s">
        <v>782</v>
      </c>
      <c r="D2196" s="32" t="s">
        <v>782</v>
      </c>
      <c r="E2196" s="33" t="s">
        <v>784</v>
      </c>
      <c r="F2196" s="34">
        <v>2308340</v>
      </c>
      <c r="G2196" s="34">
        <v>2458340</v>
      </c>
      <c r="H2196" s="35" t="s">
        <v>3238</v>
      </c>
    </row>
    <row r="2197" spans="1:8" ht="27" customHeight="1" x14ac:dyDescent="0.2">
      <c r="A2197" s="31" t="s">
        <v>3239</v>
      </c>
      <c r="B2197" s="32" t="s">
        <v>3240</v>
      </c>
      <c r="C2197" s="32" t="s">
        <v>763</v>
      </c>
      <c r="D2197" s="32" t="s">
        <v>816</v>
      </c>
      <c r="E2197" s="33" t="s">
        <v>764</v>
      </c>
      <c r="F2197" s="34">
        <v>513711</v>
      </c>
      <c r="G2197" s="34">
        <v>13711</v>
      </c>
      <c r="H2197" s="35" t="s">
        <v>859</v>
      </c>
    </row>
    <row r="2198" spans="1:8" ht="27" customHeight="1" x14ac:dyDescent="0.2">
      <c r="A2198" s="31" t="s">
        <v>3239</v>
      </c>
      <c r="B2198" s="32" t="s">
        <v>3240</v>
      </c>
      <c r="C2198" s="32" t="s">
        <v>770</v>
      </c>
      <c r="D2198" s="32" t="s">
        <v>1720</v>
      </c>
      <c r="E2198" s="33" t="s">
        <v>772</v>
      </c>
      <c r="F2198" s="34">
        <v>60584</v>
      </c>
      <c r="G2198" s="34">
        <v>60584</v>
      </c>
      <c r="H2198" s="35" t="s">
        <v>3241</v>
      </c>
    </row>
    <row r="2199" spans="1:8" ht="27" customHeight="1" x14ac:dyDescent="0.2">
      <c r="A2199" s="31" t="s">
        <v>3239</v>
      </c>
      <c r="B2199" s="32" t="s">
        <v>3240</v>
      </c>
      <c r="C2199" s="32" t="s">
        <v>860</v>
      </c>
      <c r="D2199" s="32" t="s">
        <v>911</v>
      </c>
      <c r="E2199" s="33" t="s">
        <v>861</v>
      </c>
      <c r="F2199" s="34">
        <v>175514</v>
      </c>
      <c r="G2199" s="34">
        <v>145511</v>
      </c>
      <c r="H2199" s="35" t="s">
        <v>3242</v>
      </c>
    </row>
    <row r="2200" spans="1:8" ht="27" customHeight="1" x14ac:dyDescent="0.2">
      <c r="A2200" s="31" t="s">
        <v>3243</v>
      </c>
      <c r="B2200" s="32" t="s">
        <v>3244</v>
      </c>
      <c r="C2200" s="32" t="s">
        <v>763</v>
      </c>
      <c r="D2200" s="32" t="s">
        <v>3245</v>
      </c>
      <c r="E2200" s="33" t="s">
        <v>764</v>
      </c>
      <c r="F2200" s="34">
        <v>0</v>
      </c>
      <c r="G2200" s="34">
        <v>0</v>
      </c>
      <c r="H2200" s="35" t="s">
        <v>3246</v>
      </c>
    </row>
    <row r="2201" spans="1:8" ht="27" customHeight="1" x14ac:dyDescent="0.2">
      <c r="A2201" s="31" t="s">
        <v>3243</v>
      </c>
      <c r="B2201" s="32" t="s">
        <v>3244</v>
      </c>
      <c r="C2201" s="32" t="s">
        <v>763</v>
      </c>
      <c r="D2201" s="32" t="s">
        <v>3247</v>
      </c>
      <c r="E2201" s="33" t="s">
        <v>764</v>
      </c>
      <c r="F2201" s="34">
        <v>3819112</v>
      </c>
      <c r="G2201" s="34">
        <v>3825972</v>
      </c>
      <c r="H2201" s="35" t="s">
        <v>3248</v>
      </c>
    </row>
    <row r="2202" spans="1:8" ht="27" customHeight="1" x14ac:dyDescent="0.2">
      <c r="A2202" s="31" t="s">
        <v>3243</v>
      </c>
      <c r="B2202" s="32" t="s">
        <v>3244</v>
      </c>
      <c r="C2202" s="32" t="s">
        <v>766</v>
      </c>
      <c r="D2202" s="32" t="s">
        <v>767</v>
      </c>
      <c r="E2202" s="33" t="s">
        <v>768</v>
      </c>
      <c r="F2202" s="34">
        <v>2486840</v>
      </c>
      <c r="G2202" s="34">
        <v>2491306</v>
      </c>
      <c r="H2202" s="35" t="s">
        <v>3249</v>
      </c>
    </row>
    <row r="2203" spans="1:8" ht="27" customHeight="1" x14ac:dyDescent="0.2">
      <c r="A2203" s="31" t="s">
        <v>3243</v>
      </c>
      <c r="B2203" s="32" t="s">
        <v>3244</v>
      </c>
      <c r="C2203" s="32" t="s">
        <v>770</v>
      </c>
      <c r="D2203" s="32" t="s">
        <v>770</v>
      </c>
      <c r="E2203" s="33" t="s">
        <v>772</v>
      </c>
      <c r="F2203" s="34">
        <v>4008105</v>
      </c>
      <c r="G2203" s="34">
        <v>4015304</v>
      </c>
      <c r="H2203" s="35" t="s">
        <v>3250</v>
      </c>
    </row>
    <row r="2204" spans="1:8" ht="27" customHeight="1" x14ac:dyDescent="0.2">
      <c r="A2204" s="31" t="s">
        <v>3243</v>
      </c>
      <c r="B2204" s="32" t="s">
        <v>3244</v>
      </c>
      <c r="C2204" s="32" t="s">
        <v>884</v>
      </c>
      <c r="D2204" s="32" t="s">
        <v>1091</v>
      </c>
      <c r="E2204" s="33" t="s">
        <v>885</v>
      </c>
      <c r="F2204" s="34">
        <v>0</v>
      </c>
      <c r="G2204" s="34">
        <v>0</v>
      </c>
      <c r="H2204" s="35" t="s">
        <v>3251</v>
      </c>
    </row>
    <row r="2205" spans="1:8" ht="27" customHeight="1" x14ac:dyDescent="0.2">
      <c r="A2205" s="31" t="s">
        <v>3243</v>
      </c>
      <c r="B2205" s="32" t="s">
        <v>3244</v>
      </c>
      <c r="C2205" s="32" t="s">
        <v>844</v>
      </c>
      <c r="D2205" s="32" t="s">
        <v>3252</v>
      </c>
      <c r="E2205" s="33" t="s">
        <v>846</v>
      </c>
      <c r="F2205" s="34">
        <v>0</v>
      </c>
      <c r="G2205" s="34">
        <v>0</v>
      </c>
      <c r="H2205" s="35" t="s">
        <v>3253</v>
      </c>
    </row>
    <row r="2206" spans="1:8" ht="27" customHeight="1" x14ac:dyDescent="0.2">
      <c r="A2206" s="31" t="s">
        <v>3243</v>
      </c>
      <c r="B2206" s="32" t="s">
        <v>3244</v>
      </c>
      <c r="C2206" s="32" t="s">
        <v>773</v>
      </c>
      <c r="D2206" s="32" t="s">
        <v>773</v>
      </c>
      <c r="E2206" s="33" t="s">
        <v>775</v>
      </c>
      <c r="F2206" s="34">
        <v>2000438</v>
      </c>
      <c r="G2206" s="34">
        <v>2004031</v>
      </c>
      <c r="H2206" s="35" t="s">
        <v>3248</v>
      </c>
    </row>
    <row r="2207" spans="1:8" ht="27" customHeight="1" x14ac:dyDescent="0.2">
      <c r="A2207" s="31" t="s">
        <v>3243</v>
      </c>
      <c r="B2207" s="32" t="s">
        <v>3244</v>
      </c>
      <c r="C2207" s="32" t="s">
        <v>831</v>
      </c>
      <c r="D2207" s="32" t="s">
        <v>1091</v>
      </c>
      <c r="E2207" s="33"/>
      <c r="F2207" s="34">
        <v>0</v>
      </c>
      <c r="G2207" s="34">
        <v>0</v>
      </c>
      <c r="H2207" s="35" t="s">
        <v>3254</v>
      </c>
    </row>
    <row r="2208" spans="1:8" ht="27" customHeight="1" x14ac:dyDescent="0.2">
      <c r="A2208" s="31" t="s">
        <v>3243</v>
      </c>
      <c r="B2208" s="32" t="s">
        <v>3244</v>
      </c>
      <c r="C2208" s="32" t="s">
        <v>886</v>
      </c>
      <c r="D2208" s="32" t="s">
        <v>1091</v>
      </c>
      <c r="E2208" s="33" t="s">
        <v>887</v>
      </c>
      <c r="F2208" s="34">
        <v>0</v>
      </c>
      <c r="G2208" s="34">
        <v>0</v>
      </c>
      <c r="H2208" s="35" t="s">
        <v>3254</v>
      </c>
    </row>
    <row r="2209" spans="1:8" ht="27" customHeight="1" x14ac:dyDescent="0.2">
      <c r="A2209" s="31" t="s">
        <v>3243</v>
      </c>
      <c r="B2209" s="32" t="s">
        <v>3244</v>
      </c>
      <c r="C2209" s="32" t="s">
        <v>860</v>
      </c>
      <c r="D2209" s="32" t="s">
        <v>1091</v>
      </c>
      <c r="E2209" s="33" t="s">
        <v>861</v>
      </c>
      <c r="F2209" s="34">
        <v>0</v>
      </c>
      <c r="G2209" s="34">
        <v>0</v>
      </c>
      <c r="H2209" s="35" t="s">
        <v>3254</v>
      </c>
    </row>
    <row r="2210" spans="1:8" ht="27" customHeight="1" x14ac:dyDescent="0.2">
      <c r="A2210" s="31" t="s">
        <v>3243</v>
      </c>
      <c r="B2210" s="32" t="s">
        <v>3244</v>
      </c>
      <c r="C2210" s="32" t="s">
        <v>796</v>
      </c>
      <c r="D2210" s="32" t="s">
        <v>796</v>
      </c>
      <c r="E2210" s="33" t="s">
        <v>772</v>
      </c>
      <c r="F2210" s="34">
        <v>1641705</v>
      </c>
      <c r="G2210" s="34">
        <v>1644654</v>
      </c>
      <c r="H2210" s="35" t="s">
        <v>3255</v>
      </c>
    </row>
    <row r="2211" spans="1:8" ht="27" customHeight="1" x14ac:dyDescent="0.2">
      <c r="A2211" s="31" t="s">
        <v>3243</v>
      </c>
      <c r="B2211" s="32" t="s">
        <v>3244</v>
      </c>
      <c r="C2211" s="32" t="s">
        <v>776</v>
      </c>
      <c r="D2211" s="32" t="s">
        <v>776</v>
      </c>
      <c r="E2211" s="33" t="s">
        <v>777</v>
      </c>
      <c r="F2211" s="34">
        <v>0</v>
      </c>
      <c r="G2211" s="34">
        <v>0</v>
      </c>
      <c r="H2211" s="35" t="s">
        <v>3253</v>
      </c>
    </row>
    <row r="2212" spans="1:8" ht="27" customHeight="1" x14ac:dyDescent="0.2">
      <c r="A2212" s="31" t="s">
        <v>3243</v>
      </c>
      <c r="B2212" s="32" t="s">
        <v>3244</v>
      </c>
      <c r="C2212" s="32" t="s">
        <v>798</v>
      </c>
      <c r="D2212" s="32" t="s">
        <v>1091</v>
      </c>
      <c r="E2212" s="33" t="s">
        <v>800</v>
      </c>
      <c r="F2212" s="34">
        <v>0</v>
      </c>
      <c r="G2212" s="34">
        <v>0</v>
      </c>
      <c r="H2212" s="35" t="s">
        <v>3254</v>
      </c>
    </row>
    <row r="2213" spans="1:8" ht="27" customHeight="1" x14ac:dyDescent="0.2">
      <c r="A2213" s="31" t="s">
        <v>3243</v>
      </c>
      <c r="B2213" s="32" t="s">
        <v>3244</v>
      </c>
      <c r="C2213" s="32" t="s">
        <v>892</v>
      </c>
      <c r="D2213" s="32" t="s">
        <v>1091</v>
      </c>
      <c r="E2213" s="33" t="s">
        <v>893</v>
      </c>
      <c r="F2213" s="34">
        <v>0</v>
      </c>
      <c r="G2213" s="34">
        <v>0</v>
      </c>
      <c r="H2213" s="35" t="s">
        <v>3254</v>
      </c>
    </row>
    <row r="2214" spans="1:8" ht="27" customHeight="1" x14ac:dyDescent="0.2">
      <c r="A2214" s="31" t="s">
        <v>3243</v>
      </c>
      <c r="B2214" s="32" t="s">
        <v>3244</v>
      </c>
      <c r="C2214" s="32" t="s">
        <v>779</v>
      </c>
      <c r="D2214" s="32" t="s">
        <v>779</v>
      </c>
      <c r="E2214" s="33" t="s">
        <v>780</v>
      </c>
      <c r="F2214" s="34">
        <v>0</v>
      </c>
      <c r="G2214" s="34">
        <v>0</v>
      </c>
      <c r="H2214" s="35" t="s">
        <v>3253</v>
      </c>
    </row>
    <row r="2215" spans="1:8" ht="27" customHeight="1" x14ac:dyDescent="0.2">
      <c r="A2215" s="31" t="s">
        <v>3243</v>
      </c>
      <c r="B2215" s="32" t="s">
        <v>3244</v>
      </c>
      <c r="C2215" s="32" t="s">
        <v>782</v>
      </c>
      <c r="D2215" s="32" t="s">
        <v>3256</v>
      </c>
      <c r="E2215" s="33" t="s">
        <v>784</v>
      </c>
      <c r="F2215" s="34">
        <v>500000</v>
      </c>
      <c r="G2215" s="34">
        <v>500898</v>
      </c>
      <c r="H2215" s="35" t="s">
        <v>3257</v>
      </c>
    </row>
    <row r="2216" spans="1:8" ht="27" customHeight="1" x14ac:dyDescent="0.2">
      <c r="A2216" s="31" t="s">
        <v>3258</v>
      </c>
      <c r="B2216" s="32" t="s">
        <v>3259</v>
      </c>
      <c r="C2216" s="32" t="s">
        <v>766</v>
      </c>
      <c r="D2216" s="32" t="s">
        <v>767</v>
      </c>
      <c r="E2216" s="33" t="s">
        <v>768</v>
      </c>
      <c r="F2216" s="34">
        <v>966090</v>
      </c>
      <c r="G2216" s="34">
        <v>966090</v>
      </c>
      <c r="H2216" s="35" t="s">
        <v>3260</v>
      </c>
    </row>
    <row r="2217" spans="1:8" ht="27" customHeight="1" x14ac:dyDescent="0.2">
      <c r="A2217" s="31" t="s">
        <v>3258</v>
      </c>
      <c r="B2217" s="32" t="s">
        <v>3259</v>
      </c>
      <c r="C2217" s="32" t="s">
        <v>770</v>
      </c>
      <c r="D2217" s="32" t="s">
        <v>3261</v>
      </c>
      <c r="E2217" s="33" t="s">
        <v>772</v>
      </c>
      <c r="F2217" s="34">
        <v>12577417</v>
      </c>
      <c r="G2217" s="34">
        <v>12577417</v>
      </c>
      <c r="H2217" s="35" t="s">
        <v>3262</v>
      </c>
    </row>
    <row r="2218" spans="1:8" ht="27" customHeight="1" x14ac:dyDescent="0.2">
      <c r="A2218" s="31" t="s">
        <v>3258</v>
      </c>
      <c r="B2218" s="32" t="s">
        <v>3259</v>
      </c>
      <c r="C2218" s="32" t="s">
        <v>831</v>
      </c>
      <c r="D2218" s="32" t="s">
        <v>3263</v>
      </c>
      <c r="E2218" s="33"/>
      <c r="F2218" s="34">
        <v>1737011</v>
      </c>
      <c r="G2218" s="34">
        <v>1437011</v>
      </c>
      <c r="H2218" s="35" t="s">
        <v>829</v>
      </c>
    </row>
    <row r="2219" spans="1:8" ht="27" customHeight="1" x14ac:dyDescent="0.2">
      <c r="A2219" s="31" t="s">
        <v>3258</v>
      </c>
      <c r="B2219" s="32" t="s">
        <v>3259</v>
      </c>
      <c r="C2219" s="32" t="s">
        <v>796</v>
      </c>
      <c r="D2219" s="32" t="s">
        <v>796</v>
      </c>
      <c r="E2219" s="33" t="s">
        <v>772</v>
      </c>
      <c r="F2219" s="34">
        <v>655688</v>
      </c>
      <c r="G2219" s="34">
        <v>655688</v>
      </c>
      <c r="H2219" s="35" t="s">
        <v>829</v>
      </c>
    </row>
    <row r="2220" spans="1:8" ht="27" customHeight="1" x14ac:dyDescent="0.2">
      <c r="A2220" s="31" t="s">
        <v>3258</v>
      </c>
      <c r="B2220" s="32" t="s">
        <v>3259</v>
      </c>
      <c r="C2220" s="32" t="s">
        <v>779</v>
      </c>
      <c r="D2220" s="32" t="s">
        <v>802</v>
      </c>
      <c r="E2220" s="33" t="s">
        <v>780</v>
      </c>
      <c r="F2220" s="34">
        <v>345435</v>
      </c>
      <c r="G2220" s="34">
        <v>345435</v>
      </c>
      <c r="H2220" s="35" t="s">
        <v>3264</v>
      </c>
    </row>
    <row r="2221" spans="1:8" ht="27" customHeight="1" x14ac:dyDescent="0.2">
      <c r="A2221" s="31" t="s">
        <v>3265</v>
      </c>
      <c r="B2221" s="32" t="s">
        <v>3266</v>
      </c>
      <c r="C2221" s="32" t="s">
        <v>763</v>
      </c>
      <c r="D2221" s="32" t="s">
        <v>3267</v>
      </c>
      <c r="E2221" s="33" t="s">
        <v>764</v>
      </c>
      <c r="F2221" s="34">
        <v>1522515</v>
      </c>
      <c r="G2221" s="34">
        <v>862738</v>
      </c>
      <c r="H2221" s="35" t="s">
        <v>2793</v>
      </c>
    </row>
    <row r="2222" spans="1:8" ht="27" customHeight="1" x14ac:dyDescent="0.2">
      <c r="A2222" s="31" t="s">
        <v>3265</v>
      </c>
      <c r="B2222" s="32" t="s">
        <v>3266</v>
      </c>
      <c r="C2222" s="32" t="s">
        <v>770</v>
      </c>
      <c r="D2222" s="32" t="s">
        <v>771</v>
      </c>
      <c r="E2222" s="33" t="s">
        <v>772</v>
      </c>
      <c r="F2222" s="34">
        <v>1983957</v>
      </c>
      <c r="G2222" s="34">
        <v>1983957</v>
      </c>
      <c r="H2222" s="35" t="s">
        <v>3268</v>
      </c>
    </row>
    <row r="2223" spans="1:8" ht="27" customHeight="1" x14ac:dyDescent="0.2">
      <c r="A2223" s="31" t="s">
        <v>3265</v>
      </c>
      <c r="B2223" s="32" t="s">
        <v>3266</v>
      </c>
      <c r="C2223" s="32" t="s">
        <v>831</v>
      </c>
      <c r="D2223" s="32" t="s">
        <v>3263</v>
      </c>
      <c r="E2223" s="33" t="s">
        <v>3269</v>
      </c>
      <c r="F2223" s="34">
        <v>755822</v>
      </c>
      <c r="G2223" s="34">
        <v>1250000</v>
      </c>
      <c r="H2223" s="35" t="s">
        <v>3270</v>
      </c>
    </row>
    <row r="2224" spans="1:8" ht="27" customHeight="1" x14ac:dyDescent="0.2">
      <c r="A2224" s="31" t="s">
        <v>3265</v>
      </c>
      <c r="B2224" s="32" t="s">
        <v>3266</v>
      </c>
      <c r="C2224" s="32" t="s">
        <v>796</v>
      </c>
      <c r="D2224" s="32" t="s">
        <v>1050</v>
      </c>
      <c r="E2224" s="33" t="s">
        <v>772</v>
      </c>
      <c r="F2224" s="34">
        <v>1000000</v>
      </c>
      <c r="G2224" s="34">
        <v>1000000</v>
      </c>
      <c r="H2224" s="35" t="s">
        <v>3271</v>
      </c>
    </row>
    <row r="2225" spans="1:8" ht="27" customHeight="1" x14ac:dyDescent="0.2">
      <c r="A2225" s="31" t="s">
        <v>3265</v>
      </c>
      <c r="B2225" s="32" t="s">
        <v>3266</v>
      </c>
      <c r="C2225" s="32" t="s">
        <v>782</v>
      </c>
      <c r="D2225" s="32" t="s">
        <v>1975</v>
      </c>
      <c r="E2225" s="33" t="s">
        <v>784</v>
      </c>
      <c r="F2225" s="34">
        <v>1026987</v>
      </c>
      <c r="G2225" s="34">
        <v>1026987</v>
      </c>
      <c r="H2225" s="35" t="s">
        <v>3272</v>
      </c>
    </row>
    <row r="2226" spans="1:8" ht="27" customHeight="1" x14ac:dyDescent="0.2">
      <c r="A2226" s="31" t="s">
        <v>3273</v>
      </c>
      <c r="B2226" s="32" t="s">
        <v>3274</v>
      </c>
      <c r="C2226" s="32" t="s">
        <v>831</v>
      </c>
      <c r="D2226" s="32" t="s">
        <v>818</v>
      </c>
      <c r="E2226" s="33" t="s">
        <v>3275</v>
      </c>
      <c r="F2226" s="34">
        <v>4649090</v>
      </c>
      <c r="G2226" s="34">
        <v>4649090</v>
      </c>
      <c r="H2226" s="35" t="s">
        <v>3276</v>
      </c>
    </row>
    <row r="2227" spans="1:8" ht="27" customHeight="1" x14ac:dyDescent="0.2">
      <c r="A2227" s="31" t="s">
        <v>3273</v>
      </c>
      <c r="B2227" s="32" t="s">
        <v>3274</v>
      </c>
      <c r="C2227" s="32" t="s">
        <v>796</v>
      </c>
      <c r="D2227" s="32" t="s">
        <v>862</v>
      </c>
      <c r="E2227" s="33" t="s">
        <v>823</v>
      </c>
      <c r="F2227" s="34">
        <v>2326235</v>
      </c>
      <c r="G2227" s="34">
        <v>2326235</v>
      </c>
      <c r="H2227" s="35" t="s">
        <v>3277</v>
      </c>
    </row>
    <row r="2228" spans="1:8" ht="27" customHeight="1" x14ac:dyDescent="0.2">
      <c r="A2228" s="31" t="s">
        <v>3273</v>
      </c>
      <c r="B2228" s="32" t="s">
        <v>3274</v>
      </c>
      <c r="C2228" s="32" t="s">
        <v>782</v>
      </c>
      <c r="D2228" s="32" t="s">
        <v>782</v>
      </c>
      <c r="E2228" s="33" t="s">
        <v>784</v>
      </c>
      <c r="F2228" s="34">
        <v>2504405</v>
      </c>
      <c r="G2228" s="34">
        <v>2504405</v>
      </c>
      <c r="H2228" s="35" t="s">
        <v>3278</v>
      </c>
    </row>
    <row r="2229" spans="1:8" ht="27" customHeight="1" x14ac:dyDescent="0.2">
      <c r="A2229" s="31" t="s">
        <v>3279</v>
      </c>
      <c r="B2229" s="32" t="s">
        <v>3280</v>
      </c>
      <c r="C2229" s="32" t="s">
        <v>766</v>
      </c>
      <c r="D2229" s="32" t="s">
        <v>3281</v>
      </c>
      <c r="E2229" s="33" t="s">
        <v>768</v>
      </c>
      <c r="F2229" s="34">
        <v>3330525</v>
      </c>
      <c r="G2229" s="34">
        <v>3331747</v>
      </c>
      <c r="H2229" s="35" t="s">
        <v>829</v>
      </c>
    </row>
    <row r="2230" spans="1:8" ht="27" customHeight="1" x14ac:dyDescent="0.2">
      <c r="A2230" s="31" t="s">
        <v>3279</v>
      </c>
      <c r="B2230" s="32" t="s">
        <v>3280</v>
      </c>
      <c r="C2230" s="32" t="s">
        <v>770</v>
      </c>
      <c r="D2230" s="32" t="s">
        <v>810</v>
      </c>
      <c r="E2230" s="33" t="s">
        <v>772</v>
      </c>
      <c r="F2230" s="34">
        <v>104336</v>
      </c>
      <c r="G2230" s="34">
        <v>104416</v>
      </c>
      <c r="H2230" s="35" t="s">
        <v>829</v>
      </c>
    </row>
    <row r="2231" spans="1:8" ht="27" customHeight="1" x14ac:dyDescent="0.2">
      <c r="A2231" s="31" t="s">
        <v>3279</v>
      </c>
      <c r="B2231" s="32" t="s">
        <v>3280</v>
      </c>
      <c r="C2231" s="32" t="s">
        <v>844</v>
      </c>
      <c r="D2231" s="32" t="s">
        <v>3282</v>
      </c>
      <c r="E2231" s="33" t="s">
        <v>846</v>
      </c>
      <c r="F2231" s="34">
        <v>1163887</v>
      </c>
      <c r="G2231" s="34">
        <v>1164811</v>
      </c>
      <c r="H2231" s="35" t="s">
        <v>829</v>
      </c>
    </row>
    <row r="2232" spans="1:8" ht="27" customHeight="1" x14ac:dyDescent="0.2">
      <c r="A2232" s="31" t="s">
        <v>3279</v>
      </c>
      <c r="B2232" s="32" t="s">
        <v>3280</v>
      </c>
      <c r="C2232" s="32" t="s">
        <v>796</v>
      </c>
      <c r="D2232" s="32" t="s">
        <v>954</v>
      </c>
      <c r="E2232" s="33" t="s">
        <v>772</v>
      </c>
      <c r="F2232" s="34">
        <v>421160</v>
      </c>
      <c r="G2232" s="34">
        <v>421494</v>
      </c>
      <c r="H2232" s="35" t="s">
        <v>829</v>
      </c>
    </row>
    <row r="2233" spans="1:8" ht="27" customHeight="1" x14ac:dyDescent="0.2">
      <c r="A2233" s="31" t="s">
        <v>3279</v>
      </c>
      <c r="B2233" s="32" t="s">
        <v>3280</v>
      </c>
      <c r="C2233" s="32" t="s">
        <v>779</v>
      </c>
      <c r="D2233" s="32" t="s">
        <v>876</v>
      </c>
      <c r="E2233" s="33" t="s">
        <v>780</v>
      </c>
      <c r="F2233" s="34">
        <v>156386</v>
      </c>
      <c r="G2233" s="34">
        <v>156510</v>
      </c>
      <c r="H2233" s="35" t="s">
        <v>829</v>
      </c>
    </row>
    <row r="2234" spans="1:8" ht="27" customHeight="1" x14ac:dyDescent="0.2">
      <c r="A2234" s="31" t="s">
        <v>3279</v>
      </c>
      <c r="B2234" s="32" t="s">
        <v>3280</v>
      </c>
      <c r="C2234" s="32" t="s">
        <v>782</v>
      </c>
      <c r="D2234" s="32" t="s">
        <v>813</v>
      </c>
      <c r="E2234" s="33" t="s">
        <v>784</v>
      </c>
      <c r="F2234" s="34">
        <v>212155</v>
      </c>
      <c r="G2234" s="34">
        <v>212324</v>
      </c>
      <c r="H2234" s="35" t="s">
        <v>829</v>
      </c>
    </row>
    <row r="2235" spans="1:8" ht="27" customHeight="1" x14ac:dyDescent="0.2">
      <c r="A2235" s="31" t="s">
        <v>3283</v>
      </c>
      <c r="B2235" s="32" t="s">
        <v>3284</v>
      </c>
      <c r="C2235" s="32" t="s">
        <v>766</v>
      </c>
      <c r="D2235" s="32" t="s">
        <v>832</v>
      </c>
      <c r="E2235" s="33" t="s">
        <v>768</v>
      </c>
      <c r="F2235" s="34">
        <v>2013320</v>
      </c>
      <c r="G2235" s="34">
        <v>2025048</v>
      </c>
      <c r="H2235" s="35" t="s">
        <v>3285</v>
      </c>
    </row>
    <row r="2236" spans="1:8" ht="27" customHeight="1" x14ac:dyDescent="0.2">
      <c r="A2236" s="31" t="s">
        <v>3283</v>
      </c>
      <c r="B2236" s="32" t="s">
        <v>3284</v>
      </c>
      <c r="C2236" s="32" t="s">
        <v>770</v>
      </c>
      <c r="D2236" s="32" t="s">
        <v>770</v>
      </c>
      <c r="E2236" s="33" t="s">
        <v>772</v>
      </c>
      <c r="F2236" s="34">
        <v>6568186</v>
      </c>
      <c r="G2236" s="34">
        <v>6604498</v>
      </c>
      <c r="H2236" s="35" t="s">
        <v>3286</v>
      </c>
    </row>
    <row r="2237" spans="1:8" ht="27" customHeight="1" x14ac:dyDescent="0.2">
      <c r="A2237" s="31" t="s">
        <v>3283</v>
      </c>
      <c r="B2237" s="32" t="s">
        <v>3284</v>
      </c>
      <c r="C2237" s="32" t="s">
        <v>773</v>
      </c>
      <c r="D2237" s="32" t="s">
        <v>973</v>
      </c>
      <c r="E2237" s="33" t="s">
        <v>775</v>
      </c>
      <c r="F2237" s="34">
        <v>943952</v>
      </c>
      <c r="G2237" s="34">
        <v>949246</v>
      </c>
      <c r="H2237" s="35" t="s">
        <v>3287</v>
      </c>
    </row>
    <row r="2238" spans="1:8" ht="27" customHeight="1" x14ac:dyDescent="0.2">
      <c r="A2238" s="31" t="s">
        <v>3283</v>
      </c>
      <c r="B2238" s="32" t="s">
        <v>3284</v>
      </c>
      <c r="C2238" s="32" t="s">
        <v>796</v>
      </c>
      <c r="D2238" s="32" t="s">
        <v>1314</v>
      </c>
      <c r="E2238" s="33" t="s">
        <v>823</v>
      </c>
      <c r="F2238" s="34">
        <v>396995</v>
      </c>
      <c r="G2238" s="34">
        <v>398942</v>
      </c>
      <c r="H2238" s="35" t="s">
        <v>3288</v>
      </c>
    </row>
    <row r="2239" spans="1:8" ht="27" customHeight="1" x14ac:dyDescent="0.2">
      <c r="A2239" s="31" t="s">
        <v>3289</v>
      </c>
      <c r="B2239" s="32" t="s">
        <v>3290</v>
      </c>
      <c r="C2239" s="32" t="s">
        <v>763</v>
      </c>
      <c r="D2239" s="32" t="s">
        <v>816</v>
      </c>
      <c r="E2239" s="33" t="s">
        <v>764</v>
      </c>
      <c r="F2239" s="34">
        <v>0</v>
      </c>
      <c r="G2239" s="34">
        <v>2500000</v>
      </c>
      <c r="H2239" s="35" t="s">
        <v>1547</v>
      </c>
    </row>
    <row r="2240" spans="1:8" ht="27" customHeight="1" x14ac:dyDescent="0.2">
      <c r="A2240" s="31" t="s">
        <v>3289</v>
      </c>
      <c r="B2240" s="32" t="s">
        <v>3290</v>
      </c>
      <c r="C2240" s="32" t="s">
        <v>770</v>
      </c>
      <c r="D2240" s="32" t="s">
        <v>770</v>
      </c>
      <c r="E2240" s="33" t="s">
        <v>772</v>
      </c>
      <c r="F2240" s="34">
        <v>1625834</v>
      </c>
      <c r="G2240" s="34">
        <v>1563834</v>
      </c>
      <c r="H2240" s="35" t="s">
        <v>3291</v>
      </c>
    </row>
    <row r="2241" spans="1:8" ht="27" customHeight="1" x14ac:dyDescent="0.2">
      <c r="A2241" s="31" t="s">
        <v>3289</v>
      </c>
      <c r="B2241" s="32" t="s">
        <v>3290</v>
      </c>
      <c r="C2241" s="32" t="s">
        <v>796</v>
      </c>
      <c r="D2241" s="32" t="s">
        <v>796</v>
      </c>
      <c r="E2241" s="33" t="s">
        <v>823</v>
      </c>
      <c r="F2241" s="34">
        <v>835500</v>
      </c>
      <c r="G2241" s="34">
        <v>1035500</v>
      </c>
      <c r="H2241" s="35" t="s">
        <v>1547</v>
      </c>
    </row>
    <row r="2242" spans="1:8" ht="27" customHeight="1" x14ac:dyDescent="0.2">
      <c r="A2242" s="31" t="s">
        <v>3289</v>
      </c>
      <c r="B2242" s="32" t="s">
        <v>3290</v>
      </c>
      <c r="C2242" s="32" t="s">
        <v>779</v>
      </c>
      <c r="D2242" s="32" t="s">
        <v>779</v>
      </c>
      <c r="E2242" s="33" t="s">
        <v>780</v>
      </c>
      <c r="F2242" s="34">
        <v>17405</v>
      </c>
      <c r="G2242" s="34">
        <v>30000</v>
      </c>
      <c r="H2242" s="35" t="s">
        <v>1547</v>
      </c>
    </row>
    <row r="2243" spans="1:8" ht="27" customHeight="1" x14ac:dyDescent="0.2">
      <c r="A2243" s="31" t="s">
        <v>3289</v>
      </c>
      <c r="B2243" s="32" t="s">
        <v>3290</v>
      </c>
      <c r="C2243" s="32" t="s">
        <v>782</v>
      </c>
      <c r="D2243" s="32" t="s">
        <v>782</v>
      </c>
      <c r="E2243" s="33" t="s">
        <v>784</v>
      </c>
      <c r="F2243" s="34">
        <v>85199</v>
      </c>
      <c r="G2243" s="34">
        <v>85199</v>
      </c>
      <c r="H2243" s="35" t="s">
        <v>1547</v>
      </c>
    </row>
    <row r="2244" spans="1:8" ht="27" customHeight="1" x14ac:dyDescent="0.2">
      <c r="A2244" s="31" t="s">
        <v>3292</v>
      </c>
      <c r="B2244" s="32" t="s">
        <v>3293</v>
      </c>
      <c r="C2244" s="32" t="s">
        <v>763</v>
      </c>
      <c r="D2244" s="32" t="s">
        <v>3294</v>
      </c>
      <c r="E2244" s="33" t="s">
        <v>764</v>
      </c>
      <c r="F2244" s="34">
        <v>1473484</v>
      </c>
      <c r="G2244" s="34">
        <v>1487298</v>
      </c>
      <c r="H2244" s="35" t="s">
        <v>1261</v>
      </c>
    </row>
    <row r="2245" spans="1:8" ht="27" customHeight="1" x14ac:dyDescent="0.2">
      <c r="A2245" s="31" t="s">
        <v>3292</v>
      </c>
      <c r="B2245" s="32" t="s">
        <v>3293</v>
      </c>
      <c r="C2245" s="32" t="s">
        <v>763</v>
      </c>
      <c r="D2245" s="32" t="s">
        <v>3295</v>
      </c>
      <c r="E2245" s="33" t="s">
        <v>764</v>
      </c>
      <c r="F2245" s="34">
        <v>2576011</v>
      </c>
      <c r="G2245" s="34">
        <v>2600161</v>
      </c>
      <c r="H2245" s="35" t="s">
        <v>1261</v>
      </c>
    </row>
    <row r="2246" spans="1:8" ht="27" customHeight="1" x14ac:dyDescent="0.2">
      <c r="A2246" s="31" t="s">
        <v>3292</v>
      </c>
      <c r="B2246" s="32" t="s">
        <v>3293</v>
      </c>
      <c r="C2246" s="32" t="s">
        <v>770</v>
      </c>
      <c r="D2246" s="32" t="s">
        <v>3296</v>
      </c>
      <c r="E2246" s="33" t="s">
        <v>772</v>
      </c>
      <c r="F2246" s="34">
        <v>3131276</v>
      </c>
      <c r="G2246" s="34">
        <v>3160632</v>
      </c>
      <c r="H2246" s="35" t="s">
        <v>3297</v>
      </c>
    </row>
    <row r="2247" spans="1:8" ht="27" customHeight="1" x14ac:dyDescent="0.2">
      <c r="A2247" s="31" t="s">
        <v>3292</v>
      </c>
      <c r="B2247" s="32" t="s">
        <v>3293</v>
      </c>
      <c r="C2247" s="32" t="s">
        <v>886</v>
      </c>
      <c r="D2247" s="32" t="s">
        <v>1013</v>
      </c>
      <c r="E2247" s="33" t="s">
        <v>887</v>
      </c>
      <c r="F2247" s="34">
        <v>317629</v>
      </c>
      <c r="G2247" s="34">
        <v>320607</v>
      </c>
      <c r="H2247" s="35" t="s">
        <v>1261</v>
      </c>
    </row>
    <row r="2248" spans="1:8" ht="27" customHeight="1" x14ac:dyDescent="0.2">
      <c r="A2248" s="31" t="s">
        <v>3292</v>
      </c>
      <c r="B2248" s="32" t="s">
        <v>3293</v>
      </c>
      <c r="C2248" s="32" t="s">
        <v>779</v>
      </c>
      <c r="D2248" s="32" t="s">
        <v>826</v>
      </c>
      <c r="E2248" s="33" t="s">
        <v>780</v>
      </c>
      <c r="F2248" s="34">
        <v>10094</v>
      </c>
      <c r="G2248" s="34">
        <v>0</v>
      </c>
      <c r="H2248" s="35" t="s">
        <v>3298</v>
      </c>
    </row>
    <row r="2249" spans="1:8" ht="27" customHeight="1" x14ac:dyDescent="0.2">
      <c r="A2249" s="31" t="s">
        <v>3299</v>
      </c>
      <c r="B2249" s="32" t="s">
        <v>3300</v>
      </c>
      <c r="C2249" s="32" t="s">
        <v>763</v>
      </c>
      <c r="D2249" s="32" t="s">
        <v>763</v>
      </c>
      <c r="E2249" s="33" t="s">
        <v>764</v>
      </c>
      <c r="F2249" s="34">
        <v>4492941</v>
      </c>
      <c r="G2249" s="34">
        <v>5492941</v>
      </c>
      <c r="H2249" s="35" t="s">
        <v>3301</v>
      </c>
    </row>
    <row r="2250" spans="1:8" ht="27" customHeight="1" x14ac:dyDescent="0.2">
      <c r="A2250" s="31" t="s">
        <v>3299</v>
      </c>
      <c r="B2250" s="32" t="s">
        <v>3300</v>
      </c>
      <c r="C2250" s="32" t="s">
        <v>766</v>
      </c>
      <c r="D2250" s="32" t="s">
        <v>767</v>
      </c>
      <c r="E2250" s="33" t="s">
        <v>768</v>
      </c>
      <c r="F2250" s="34">
        <v>2975858</v>
      </c>
      <c r="G2250" s="34">
        <v>2775858</v>
      </c>
      <c r="H2250" s="35" t="s">
        <v>3302</v>
      </c>
    </row>
    <row r="2251" spans="1:8" ht="27" customHeight="1" x14ac:dyDescent="0.2">
      <c r="A2251" s="31" t="s">
        <v>3299</v>
      </c>
      <c r="B2251" s="32" t="s">
        <v>3300</v>
      </c>
      <c r="C2251" s="32" t="s">
        <v>770</v>
      </c>
      <c r="D2251" s="32" t="s">
        <v>770</v>
      </c>
      <c r="E2251" s="33" t="s">
        <v>772</v>
      </c>
      <c r="F2251" s="34">
        <v>381073</v>
      </c>
      <c r="G2251" s="34">
        <v>380000</v>
      </c>
      <c r="H2251" s="35" t="s">
        <v>3303</v>
      </c>
    </row>
    <row r="2252" spans="1:8" ht="27" customHeight="1" x14ac:dyDescent="0.2">
      <c r="A2252" s="31" t="s">
        <v>3299</v>
      </c>
      <c r="B2252" s="32" t="s">
        <v>3300</v>
      </c>
      <c r="C2252" s="32" t="s">
        <v>844</v>
      </c>
      <c r="D2252" s="32" t="s">
        <v>844</v>
      </c>
      <c r="E2252" s="33" t="s">
        <v>846</v>
      </c>
      <c r="F2252" s="34">
        <v>733708</v>
      </c>
      <c r="G2252" s="34">
        <v>733708</v>
      </c>
      <c r="H2252" s="35" t="s">
        <v>1677</v>
      </c>
    </row>
    <row r="2253" spans="1:8" ht="27" customHeight="1" x14ac:dyDescent="0.2">
      <c r="A2253" s="31" t="s">
        <v>3299</v>
      </c>
      <c r="B2253" s="32" t="s">
        <v>3300</v>
      </c>
      <c r="C2253" s="32" t="s">
        <v>796</v>
      </c>
      <c r="D2253" s="32" t="s">
        <v>796</v>
      </c>
      <c r="E2253" s="33" t="s">
        <v>772</v>
      </c>
      <c r="F2253" s="34">
        <v>1504596</v>
      </c>
      <c r="G2253" s="34">
        <v>2000000</v>
      </c>
      <c r="H2253" s="35" t="s">
        <v>1677</v>
      </c>
    </row>
    <row r="2254" spans="1:8" ht="27" customHeight="1" x14ac:dyDescent="0.2">
      <c r="A2254" s="31" t="s">
        <v>3299</v>
      </c>
      <c r="B2254" s="32" t="s">
        <v>3300</v>
      </c>
      <c r="C2254" s="32" t="s">
        <v>776</v>
      </c>
      <c r="D2254" s="32" t="s">
        <v>776</v>
      </c>
      <c r="E2254" s="33" t="s">
        <v>777</v>
      </c>
      <c r="F2254" s="34">
        <v>20000</v>
      </c>
      <c r="G2254" s="34">
        <v>0</v>
      </c>
      <c r="H2254" s="35" t="s">
        <v>3304</v>
      </c>
    </row>
    <row r="2255" spans="1:8" ht="27" customHeight="1" x14ac:dyDescent="0.2">
      <c r="A2255" s="31" t="s">
        <v>3299</v>
      </c>
      <c r="B2255" s="32" t="s">
        <v>3300</v>
      </c>
      <c r="C2255" s="32" t="s">
        <v>779</v>
      </c>
      <c r="D2255" s="32" t="s">
        <v>779</v>
      </c>
      <c r="E2255" s="33" t="s">
        <v>780</v>
      </c>
      <c r="F2255" s="34">
        <v>400469</v>
      </c>
      <c r="G2255" s="34">
        <v>400469</v>
      </c>
      <c r="H2255" s="35" t="s">
        <v>1677</v>
      </c>
    </row>
    <row r="2256" spans="1:8" ht="27" customHeight="1" x14ac:dyDescent="0.2">
      <c r="A2256" s="31" t="s">
        <v>3299</v>
      </c>
      <c r="B2256" s="32" t="s">
        <v>3300</v>
      </c>
      <c r="C2256" s="32" t="s">
        <v>782</v>
      </c>
      <c r="D2256" s="32" t="s">
        <v>783</v>
      </c>
      <c r="E2256" s="33" t="s">
        <v>784</v>
      </c>
      <c r="F2256" s="34">
        <v>818054</v>
      </c>
      <c r="G2256" s="34">
        <v>818054</v>
      </c>
      <c r="H2256" s="35" t="s">
        <v>1677</v>
      </c>
    </row>
    <row r="2257" spans="1:8" ht="27" customHeight="1" x14ac:dyDescent="0.2">
      <c r="A2257" s="31" t="s">
        <v>3305</v>
      </c>
      <c r="B2257" s="32" t="s">
        <v>94</v>
      </c>
      <c r="C2257" s="32" t="s">
        <v>763</v>
      </c>
      <c r="D2257" s="32" t="s">
        <v>763</v>
      </c>
      <c r="E2257" s="33" t="s">
        <v>764</v>
      </c>
      <c r="F2257" s="34">
        <v>2958175</v>
      </c>
      <c r="G2257" s="34">
        <v>2958175</v>
      </c>
      <c r="H2257" s="35" t="s">
        <v>859</v>
      </c>
    </row>
    <row r="2258" spans="1:8" ht="27" customHeight="1" x14ac:dyDescent="0.2">
      <c r="A2258" s="31" t="s">
        <v>3305</v>
      </c>
      <c r="B2258" s="32" t="s">
        <v>94</v>
      </c>
      <c r="C2258" s="32" t="s">
        <v>770</v>
      </c>
      <c r="D2258" s="32" t="s">
        <v>1011</v>
      </c>
      <c r="E2258" s="33" t="s">
        <v>772</v>
      </c>
      <c r="F2258" s="34">
        <v>1119752</v>
      </c>
      <c r="G2258" s="34">
        <v>1119752</v>
      </c>
      <c r="H2258" s="35" t="s">
        <v>859</v>
      </c>
    </row>
    <row r="2259" spans="1:8" ht="27" customHeight="1" x14ac:dyDescent="0.2">
      <c r="A2259" s="31" t="s">
        <v>3305</v>
      </c>
      <c r="B2259" s="32" t="s">
        <v>94</v>
      </c>
      <c r="C2259" s="32" t="s">
        <v>796</v>
      </c>
      <c r="D2259" s="32" t="s">
        <v>1050</v>
      </c>
      <c r="E2259" s="33" t="s">
        <v>823</v>
      </c>
      <c r="F2259" s="34">
        <v>213673</v>
      </c>
      <c r="G2259" s="34">
        <v>213673</v>
      </c>
      <c r="H2259" s="35" t="s">
        <v>859</v>
      </c>
    </row>
    <row r="2260" spans="1:8" ht="27" customHeight="1" x14ac:dyDescent="0.2">
      <c r="A2260" s="31" t="s">
        <v>3305</v>
      </c>
      <c r="B2260" s="32" t="s">
        <v>94</v>
      </c>
      <c r="C2260" s="32" t="s">
        <v>779</v>
      </c>
      <c r="D2260" s="32" t="s">
        <v>802</v>
      </c>
      <c r="E2260" s="33" t="s">
        <v>780</v>
      </c>
      <c r="F2260" s="34">
        <v>10038</v>
      </c>
      <c r="G2260" s="34">
        <v>10038</v>
      </c>
      <c r="H2260" s="35" t="s">
        <v>859</v>
      </c>
    </row>
    <row r="2261" spans="1:8" ht="27" customHeight="1" x14ac:dyDescent="0.2">
      <c r="A2261" s="31" t="s">
        <v>3305</v>
      </c>
      <c r="B2261" s="32" t="s">
        <v>94</v>
      </c>
      <c r="C2261" s="32" t="s">
        <v>782</v>
      </c>
      <c r="D2261" s="32" t="s">
        <v>901</v>
      </c>
      <c r="E2261" s="33" t="s">
        <v>784</v>
      </c>
      <c r="F2261" s="34">
        <v>452515</v>
      </c>
      <c r="G2261" s="34">
        <v>452515</v>
      </c>
      <c r="H2261" s="35" t="s">
        <v>859</v>
      </c>
    </row>
    <row r="2262" spans="1:8" ht="27" customHeight="1" x14ac:dyDescent="0.2">
      <c r="A2262" s="31" t="s">
        <v>3306</v>
      </c>
      <c r="B2262" s="32" t="s">
        <v>3307</v>
      </c>
      <c r="C2262" s="32" t="s">
        <v>763</v>
      </c>
      <c r="D2262" s="32" t="s">
        <v>763</v>
      </c>
      <c r="E2262" s="33" t="s">
        <v>764</v>
      </c>
      <c r="F2262" s="34">
        <v>390835</v>
      </c>
      <c r="G2262" s="34">
        <v>191000</v>
      </c>
      <c r="H2262" s="35" t="s">
        <v>3308</v>
      </c>
    </row>
    <row r="2263" spans="1:8" ht="27" customHeight="1" x14ac:dyDescent="0.2">
      <c r="A2263" s="31" t="s">
        <v>3306</v>
      </c>
      <c r="B2263" s="32" t="s">
        <v>3307</v>
      </c>
      <c r="C2263" s="32" t="s">
        <v>766</v>
      </c>
      <c r="D2263" s="32" t="s">
        <v>767</v>
      </c>
      <c r="E2263" s="33" t="s">
        <v>768</v>
      </c>
      <c r="F2263" s="34">
        <v>7012932</v>
      </c>
      <c r="G2263" s="34">
        <v>6275000</v>
      </c>
      <c r="H2263" s="35" t="s">
        <v>3309</v>
      </c>
    </row>
    <row r="2264" spans="1:8" ht="27" customHeight="1" x14ac:dyDescent="0.2">
      <c r="A2264" s="31" t="s">
        <v>3306</v>
      </c>
      <c r="B2264" s="32" t="s">
        <v>3307</v>
      </c>
      <c r="C2264" s="32" t="s">
        <v>770</v>
      </c>
      <c r="D2264" s="32" t="s">
        <v>794</v>
      </c>
      <c r="E2264" s="33" t="s">
        <v>772</v>
      </c>
      <c r="F2264" s="34">
        <v>2831986</v>
      </c>
      <c r="G2264" s="34">
        <v>2331976</v>
      </c>
      <c r="H2264" s="35" t="s">
        <v>3310</v>
      </c>
    </row>
    <row r="2265" spans="1:8" ht="27" customHeight="1" x14ac:dyDescent="0.2">
      <c r="A2265" s="31" t="s">
        <v>3306</v>
      </c>
      <c r="B2265" s="32" t="s">
        <v>3307</v>
      </c>
      <c r="C2265" s="32" t="s">
        <v>796</v>
      </c>
      <c r="D2265" s="32" t="s">
        <v>822</v>
      </c>
      <c r="E2265" s="33" t="s">
        <v>772</v>
      </c>
      <c r="F2265" s="34">
        <v>305000</v>
      </c>
      <c r="G2265" s="34">
        <v>305000</v>
      </c>
      <c r="H2265" s="35" t="s">
        <v>3311</v>
      </c>
    </row>
    <row r="2266" spans="1:8" ht="27" customHeight="1" x14ac:dyDescent="0.2">
      <c r="A2266" s="31" t="s">
        <v>3306</v>
      </c>
      <c r="B2266" s="32" t="s">
        <v>3307</v>
      </c>
      <c r="C2266" s="32" t="s">
        <v>779</v>
      </c>
      <c r="D2266" s="32" t="s">
        <v>802</v>
      </c>
      <c r="E2266" s="33" t="s">
        <v>780</v>
      </c>
      <c r="F2266" s="34">
        <v>188072</v>
      </c>
      <c r="G2266" s="34">
        <v>189000</v>
      </c>
      <c r="H2266" s="35" t="s">
        <v>3312</v>
      </c>
    </row>
    <row r="2267" spans="1:8" ht="27" customHeight="1" x14ac:dyDescent="0.2">
      <c r="A2267" s="31" t="s">
        <v>3313</v>
      </c>
      <c r="B2267" s="32" t="s">
        <v>3314</v>
      </c>
      <c r="C2267" s="32" t="s">
        <v>763</v>
      </c>
      <c r="D2267" s="32" t="s">
        <v>816</v>
      </c>
      <c r="E2267" s="33" t="s">
        <v>764</v>
      </c>
      <c r="F2267" s="34">
        <v>2787801</v>
      </c>
      <c r="G2267" s="34">
        <v>3000000</v>
      </c>
      <c r="H2267" s="35" t="s">
        <v>3315</v>
      </c>
    </row>
    <row r="2268" spans="1:8" ht="27" customHeight="1" x14ac:dyDescent="0.2">
      <c r="A2268" s="31" t="s">
        <v>3313</v>
      </c>
      <c r="B2268" s="32" t="s">
        <v>3314</v>
      </c>
      <c r="C2268" s="32" t="s">
        <v>766</v>
      </c>
      <c r="D2268" s="32" t="s">
        <v>767</v>
      </c>
      <c r="E2268" s="33" t="s">
        <v>768</v>
      </c>
      <c r="F2268" s="34">
        <v>169381</v>
      </c>
      <c r="G2268" s="34">
        <v>171000</v>
      </c>
      <c r="H2268" s="35" t="s">
        <v>3315</v>
      </c>
    </row>
    <row r="2269" spans="1:8" ht="27" customHeight="1" x14ac:dyDescent="0.2">
      <c r="A2269" s="31" t="s">
        <v>3313</v>
      </c>
      <c r="B2269" s="32" t="s">
        <v>3314</v>
      </c>
      <c r="C2269" s="32" t="s">
        <v>770</v>
      </c>
      <c r="D2269" s="32" t="s">
        <v>830</v>
      </c>
      <c r="E2269" s="33" t="s">
        <v>772</v>
      </c>
      <c r="F2269" s="34">
        <v>237513</v>
      </c>
      <c r="G2269" s="34">
        <v>260000</v>
      </c>
      <c r="H2269" s="35" t="s">
        <v>3316</v>
      </c>
    </row>
    <row r="2270" spans="1:8" ht="27" customHeight="1" x14ac:dyDescent="0.2">
      <c r="A2270" s="31" t="s">
        <v>3313</v>
      </c>
      <c r="B2270" s="32" t="s">
        <v>3314</v>
      </c>
      <c r="C2270" s="32" t="s">
        <v>796</v>
      </c>
      <c r="D2270" s="32" t="s">
        <v>835</v>
      </c>
      <c r="E2270" s="33" t="s">
        <v>772</v>
      </c>
      <c r="F2270" s="34">
        <v>1166414</v>
      </c>
      <c r="G2270" s="34">
        <v>1066414</v>
      </c>
      <c r="H2270" s="35" t="s">
        <v>3317</v>
      </c>
    </row>
    <row r="2271" spans="1:8" ht="27" customHeight="1" x14ac:dyDescent="0.2">
      <c r="A2271" s="31" t="s">
        <v>3313</v>
      </c>
      <c r="B2271" s="32" t="s">
        <v>3314</v>
      </c>
      <c r="C2271" s="32" t="s">
        <v>779</v>
      </c>
      <c r="D2271" s="32" t="s">
        <v>779</v>
      </c>
      <c r="E2271" s="33" t="s">
        <v>780</v>
      </c>
      <c r="F2271" s="34">
        <v>50496</v>
      </c>
      <c r="G2271" s="34">
        <v>51000</v>
      </c>
      <c r="H2271" s="35" t="s">
        <v>3318</v>
      </c>
    </row>
    <row r="2272" spans="1:8" ht="27" customHeight="1" x14ac:dyDescent="0.2">
      <c r="A2272" s="31" t="s">
        <v>3319</v>
      </c>
      <c r="B2272" s="32" t="s">
        <v>3320</v>
      </c>
      <c r="C2272" s="32" t="s">
        <v>770</v>
      </c>
      <c r="D2272" s="32" t="s">
        <v>3321</v>
      </c>
      <c r="E2272" s="33" t="s">
        <v>772</v>
      </c>
      <c r="F2272" s="34">
        <v>795626</v>
      </c>
      <c r="G2272" s="34">
        <v>795626</v>
      </c>
      <c r="H2272" s="35" t="s">
        <v>3322</v>
      </c>
    </row>
    <row r="2273" spans="1:8" ht="27" customHeight="1" x14ac:dyDescent="0.2">
      <c r="A2273" s="31" t="s">
        <v>3319</v>
      </c>
      <c r="B2273" s="32" t="s">
        <v>3320</v>
      </c>
      <c r="C2273" s="32" t="s">
        <v>844</v>
      </c>
      <c r="D2273" s="32" t="s">
        <v>972</v>
      </c>
      <c r="E2273" s="33" t="s">
        <v>846</v>
      </c>
      <c r="F2273" s="34">
        <v>500000</v>
      </c>
      <c r="G2273" s="34">
        <v>500000</v>
      </c>
      <c r="H2273" s="35" t="s">
        <v>3323</v>
      </c>
    </row>
    <row r="2274" spans="1:8" ht="27" customHeight="1" x14ac:dyDescent="0.2">
      <c r="A2274" s="31" t="s">
        <v>3319</v>
      </c>
      <c r="B2274" s="32" t="s">
        <v>3320</v>
      </c>
      <c r="C2274" s="32" t="s">
        <v>773</v>
      </c>
      <c r="D2274" s="32" t="s">
        <v>973</v>
      </c>
      <c r="E2274" s="33" t="s">
        <v>775</v>
      </c>
      <c r="F2274" s="34">
        <v>447165</v>
      </c>
      <c r="G2274" s="34">
        <v>447165</v>
      </c>
      <c r="H2274" s="35" t="s">
        <v>3324</v>
      </c>
    </row>
    <row r="2275" spans="1:8" ht="27" customHeight="1" x14ac:dyDescent="0.2">
      <c r="A2275" s="31" t="s">
        <v>3325</v>
      </c>
      <c r="B2275" s="32" t="s">
        <v>3326</v>
      </c>
      <c r="C2275" s="32" t="s">
        <v>763</v>
      </c>
      <c r="D2275" s="32" t="s">
        <v>3327</v>
      </c>
      <c r="E2275" s="33" t="s">
        <v>764</v>
      </c>
      <c r="F2275" s="34">
        <v>591777</v>
      </c>
      <c r="G2275" s="34">
        <v>591777</v>
      </c>
      <c r="H2275" s="35" t="s">
        <v>859</v>
      </c>
    </row>
    <row r="2276" spans="1:8" ht="27" customHeight="1" x14ac:dyDescent="0.2">
      <c r="A2276" s="31" t="s">
        <v>3325</v>
      </c>
      <c r="B2276" s="32" t="s">
        <v>3326</v>
      </c>
      <c r="C2276" s="32" t="s">
        <v>770</v>
      </c>
      <c r="D2276" s="32" t="s">
        <v>1011</v>
      </c>
      <c r="E2276" s="33" t="s">
        <v>772</v>
      </c>
      <c r="F2276" s="34">
        <v>421620</v>
      </c>
      <c r="G2276" s="34">
        <v>421620</v>
      </c>
      <c r="H2276" s="35" t="s">
        <v>859</v>
      </c>
    </row>
    <row r="2277" spans="1:8" ht="27" customHeight="1" x14ac:dyDescent="0.2">
      <c r="A2277" s="31" t="s">
        <v>3325</v>
      </c>
      <c r="B2277" s="32" t="s">
        <v>3326</v>
      </c>
      <c r="C2277" s="32" t="s">
        <v>860</v>
      </c>
      <c r="D2277" s="32" t="s">
        <v>860</v>
      </c>
      <c r="E2277" s="33" t="s">
        <v>861</v>
      </c>
      <c r="F2277" s="34">
        <v>35000</v>
      </c>
      <c r="G2277" s="34">
        <v>35000</v>
      </c>
      <c r="H2277" s="35" t="s">
        <v>859</v>
      </c>
    </row>
    <row r="2278" spans="1:8" ht="27" customHeight="1" x14ac:dyDescent="0.2">
      <c r="A2278" s="31" t="s">
        <v>3325</v>
      </c>
      <c r="B2278" s="32" t="s">
        <v>3326</v>
      </c>
      <c r="C2278" s="32" t="s">
        <v>796</v>
      </c>
      <c r="D2278" s="32" t="s">
        <v>3328</v>
      </c>
      <c r="E2278" s="33" t="s">
        <v>772</v>
      </c>
      <c r="F2278" s="34">
        <v>167404</v>
      </c>
      <c r="G2278" s="34">
        <v>167404</v>
      </c>
      <c r="H2278" s="35" t="s">
        <v>859</v>
      </c>
    </row>
    <row r="2279" spans="1:8" ht="27" customHeight="1" x14ac:dyDescent="0.2">
      <c r="A2279" s="31" t="s">
        <v>3325</v>
      </c>
      <c r="B2279" s="32" t="s">
        <v>3326</v>
      </c>
      <c r="C2279" s="32" t="s">
        <v>776</v>
      </c>
      <c r="D2279" s="32" t="s">
        <v>776</v>
      </c>
      <c r="E2279" s="33" t="s">
        <v>777</v>
      </c>
      <c r="F2279" s="34">
        <v>669114</v>
      </c>
      <c r="G2279" s="34">
        <v>384298</v>
      </c>
      <c r="H2279" s="35" t="s">
        <v>3329</v>
      </c>
    </row>
    <row r="2280" spans="1:8" ht="27" customHeight="1" x14ac:dyDescent="0.2">
      <c r="A2280" s="31" t="s">
        <v>3330</v>
      </c>
      <c r="B2280" s="32" t="s">
        <v>3331</v>
      </c>
      <c r="C2280" s="32" t="s">
        <v>779</v>
      </c>
      <c r="D2280" s="32" t="s">
        <v>826</v>
      </c>
      <c r="E2280" s="33" t="s">
        <v>780</v>
      </c>
      <c r="F2280" s="34">
        <v>4853</v>
      </c>
      <c r="G2280" s="34">
        <v>4853</v>
      </c>
      <c r="H2280" s="35" t="s">
        <v>803</v>
      </c>
    </row>
    <row r="2281" spans="1:8" ht="27" customHeight="1" x14ac:dyDescent="0.2">
      <c r="A2281" s="31" t="s">
        <v>3332</v>
      </c>
      <c r="B2281" s="32" t="s">
        <v>3333</v>
      </c>
      <c r="C2281" s="32" t="s">
        <v>763</v>
      </c>
      <c r="D2281" s="32" t="s">
        <v>897</v>
      </c>
      <c r="E2281" s="33" t="s">
        <v>764</v>
      </c>
      <c r="F2281" s="34">
        <v>579062</v>
      </c>
      <c r="G2281" s="34">
        <v>579062</v>
      </c>
      <c r="H2281" s="35" t="s">
        <v>3334</v>
      </c>
    </row>
    <row r="2282" spans="1:8" ht="27" customHeight="1" x14ac:dyDescent="0.2">
      <c r="A2282" s="31" t="s">
        <v>3332</v>
      </c>
      <c r="B2282" s="32" t="s">
        <v>3333</v>
      </c>
      <c r="C2282" s="32" t="s">
        <v>770</v>
      </c>
      <c r="D2282" s="32" t="s">
        <v>1892</v>
      </c>
      <c r="E2282" s="33" t="s">
        <v>772</v>
      </c>
      <c r="F2282" s="34">
        <v>196572</v>
      </c>
      <c r="G2282" s="34">
        <v>196572</v>
      </c>
      <c r="H2282" s="35" t="s">
        <v>3335</v>
      </c>
    </row>
    <row r="2283" spans="1:8" ht="27" customHeight="1" x14ac:dyDescent="0.2">
      <c r="A2283" s="31" t="s">
        <v>3332</v>
      </c>
      <c r="B2283" s="32" t="s">
        <v>3333</v>
      </c>
      <c r="C2283" s="32" t="s">
        <v>860</v>
      </c>
      <c r="D2283" s="32" t="s">
        <v>911</v>
      </c>
      <c r="E2283" s="33" t="s">
        <v>861</v>
      </c>
      <c r="F2283" s="34">
        <v>62808</v>
      </c>
      <c r="G2283" s="34">
        <v>62808</v>
      </c>
      <c r="H2283" s="35" t="s">
        <v>3336</v>
      </c>
    </row>
    <row r="2284" spans="1:8" ht="27" customHeight="1" x14ac:dyDescent="0.2">
      <c r="A2284" s="31" t="s">
        <v>3332</v>
      </c>
      <c r="B2284" s="32" t="s">
        <v>3333</v>
      </c>
      <c r="C2284" s="32" t="s">
        <v>796</v>
      </c>
      <c r="D2284" s="32" t="s">
        <v>811</v>
      </c>
      <c r="E2284" s="33" t="s">
        <v>772</v>
      </c>
      <c r="F2284" s="34">
        <v>514468</v>
      </c>
      <c r="G2284" s="34">
        <v>514468</v>
      </c>
      <c r="H2284" s="35" t="s">
        <v>3337</v>
      </c>
    </row>
    <row r="2285" spans="1:8" ht="27" customHeight="1" x14ac:dyDescent="0.2">
      <c r="A2285" s="31" t="s">
        <v>3338</v>
      </c>
      <c r="B2285" s="32" t="s">
        <v>3339</v>
      </c>
      <c r="C2285" s="32" t="s">
        <v>766</v>
      </c>
      <c r="D2285" s="32" t="s">
        <v>767</v>
      </c>
      <c r="E2285" s="33" t="s">
        <v>768</v>
      </c>
      <c r="F2285" s="34">
        <v>1990313</v>
      </c>
      <c r="G2285" s="34">
        <v>1990313</v>
      </c>
      <c r="H2285" s="35" t="s">
        <v>3340</v>
      </c>
    </row>
    <row r="2286" spans="1:8" ht="27" customHeight="1" x14ac:dyDescent="0.2">
      <c r="A2286" s="31" t="s">
        <v>3338</v>
      </c>
      <c r="B2286" s="32" t="s">
        <v>3339</v>
      </c>
      <c r="C2286" s="32" t="s">
        <v>770</v>
      </c>
      <c r="D2286" s="32" t="s">
        <v>1136</v>
      </c>
      <c r="E2286" s="33" t="s">
        <v>772</v>
      </c>
      <c r="F2286" s="34">
        <v>1389886</v>
      </c>
      <c r="G2286" s="34">
        <v>1389886</v>
      </c>
      <c r="H2286" s="35" t="s">
        <v>3341</v>
      </c>
    </row>
    <row r="2287" spans="1:8" ht="27" customHeight="1" x14ac:dyDescent="0.2">
      <c r="A2287" s="31" t="s">
        <v>3338</v>
      </c>
      <c r="B2287" s="32" t="s">
        <v>3339</v>
      </c>
      <c r="C2287" s="32" t="s">
        <v>776</v>
      </c>
      <c r="D2287" s="32" t="s">
        <v>3342</v>
      </c>
      <c r="E2287" s="33" t="s">
        <v>777</v>
      </c>
      <c r="F2287" s="34">
        <v>337720</v>
      </c>
      <c r="G2287" s="34">
        <v>337720</v>
      </c>
      <c r="H2287" s="35" t="s">
        <v>3343</v>
      </c>
    </row>
    <row r="2288" spans="1:8" ht="27" customHeight="1" x14ac:dyDescent="0.2">
      <c r="A2288" s="31" t="s">
        <v>3344</v>
      </c>
      <c r="B2288" s="32" t="s">
        <v>710</v>
      </c>
      <c r="C2288" s="32" t="s">
        <v>763</v>
      </c>
      <c r="D2288" s="32" t="s">
        <v>816</v>
      </c>
      <c r="E2288" s="33" t="s">
        <v>764</v>
      </c>
      <c r="F2288" s="34">
        <v>575000</v>
      </c>
      <c r="G2288" s="34">
        <v>575000</v>
      </c>
      <c r="H2288" s="35" t="s">
        <v>3345</v>
      </c>
    </row>
    <row r="2289" spans="1:8" ht="27" customHeight="1" x14ac:dyDescent="0.2">
      <c r="A2289" s="31" t="s">
        <v>3344</v>
      </c>
      <c r="B2289" s="32" t="s">
        <v>710</v>
      </c>
      <c r="C2289" s="32" t="s">
        <v>766</v>
      </c>
      <c r="D2289" s="32" t="s">
        <v>832</v>
      </c>
      <c r="E2289" s="33" t="s">
        <v>768</v>
      </c>
      <c r="F2289" s="34">
        <v>227292</v>
      </c>
      <c r="G2289" s="34">
        <v>102292</v>
      </c>
      <c r="H2289" s="35" t="s">
        <v>3346</v>
      </c>
    </row>
    <row r="2290" spans="1:8" ht="27" customHeight="1" x14ac:dyDescent="0.2">
      <c r="A2290" s="31" t="s">
        <v>3344</v>
      </c>
      <c r="B2290" s="32" t="s">
        <v>710</v>
      </c>
      <c r="C2290" s="32" t="s">
        <v>770</v>
      </c>
      <c r="D2290" s="32" t="s">
        <v>810</v>
      </c>
      <c r="E2290" s="33" t="s">
        <v>772</v>
      </c>
      <c r="F2290" s="34">
        <v>100769</v>
      </c>
      <c r="G2290" s="34">
        <v>80769</v>
      </c>
      <c r="H2290" s="35" t="s">
        <v>3347</v>
      </c>
    </row>
    <row r="2291" spans="1:8" ht="27" customHeight="1" x14ac:dyDescent="0.2">
      <c r="A2291" s="31" t="s">
        <v>3344</v>
      </c>
      <c r="B2291" s="32" t="s">
        <v>710</v>
      </c>
      <c r="C2291" s="32" t="s">
        <v>844</v>
      </c>
      <c r="D2291" s="32" t="s">
        <v>973</v>
      </c>
      <c r="E2291" s="33" t="s">
        <v>846</v>
      </c>
      <c r="F2291" s="34">
        <v>124286</v>
      </c>
      <c r="G2291" s="34">
        <v>124286</v>
      </c>
      <c r="H2291" s="35" t="s">
        <v>3345</v>
      </c>
    </row>
    <row r="2292" spans="1:8" ht="27" customHeight="1" x14ac:dyDescent="0.2">
      <c r="A2292" s="31" t="s">
        <v>3344</v>
      </c>
      <c r="B2292" s="32" t="s">
        <v>710</v>
      </c>
      <c r="C2292" s="32" t="s">
        <v>860</v>
      </c>
      <c r="D2292" s="32" t="s">
        <v>911</v>
      </c>
      <c r="E2292" s="33" t="s">
        <v>861</v>
      </c>
      <c r="F2292" s="34">
        <v>25740</v>
      </c>
      <c r="G2292" s="34">
        <v>25740</v>
      </c>
      <c r="H2292" s="35" t="s">
        <v>3348</v>
      </c>
    </row>
    <row r="2293" spans="1:8" ht="27" customHeight="1" x14ac:dyDescent="0.2">
      <c r="A2293" s="31" t="s">
        <v>3344</v>
      </c>
      <c r="B2293" s="32" t="s">
        <v>710</v>
      </c>
      <c r="C2293" s="32" t="s">
        <v>796</v>
      </c>
      <c r="D2293" s="32" t="s">
        <v>811</v>
      </c>
      <c r="E2293" s="33" t="s">
        <v>823</v>
      </c>
      <c r="F2293" s="34">
        <v>1210409</v>
      </c>
      <c r="G2293" s="34">
        <v>1210409</v>
      </c>
      <c r="H2293" s="35" t="s">
        <v>3349</v>
      </c>
    </row>
    <row r="2294" spans="1:8" ht="27" customHeight="1" x14ac:dyDescent="0.2">
      <c r="A2294" s="31" t="s">
        <v>3344</v>
      </c>
      <c r="B2294" s="32" t="s">
        <v>710</v>
      </c>
      <c r="C2294" s="32" t="s">
        <v>779</v>
      </c>
      <c r="D2294" s="32" t="s">
        <v>876</v>
      </c>
      <c r="E2294" s="33" t="s">
        <v>780</v>
      </c>
      <c r="F2294" s="34">
        <v>62431</v>
      </c>
      <c r="G2294" s="34">
        <v>62431</v>
      </c>
      <c r="H2294" s="35" t="s">
        <v>3345</v>
      </c>
    </row>
    <row r="2295" spans="1:8" ht="27" customHeight="1" x14ac:dyDescent="0.2">
      <c r="A2295" s="31" t="s">
        <v>3344</v>
      </c>
      <c r="B2295" s="32" t="s">
        <v>710</v>
      </c>
      <c r="C2295" s="32" t="s">
        <v>782</v>
      </c>
      <c r="D2295" s="32" t="s">
        <v>813</v>
      </c>
      <c r="E2295" s="33" t="s">
        <v>784</v>
      </c>
      <c r="F2295" s="34">
        <v>63860</v>
      </c>
      <c r="G2295" s="34">
        <v>63860</v>
      </c>
      <c r="H2295" s="35" t="s">
        <v>3345</v>
      </c>
    </row>
    <row r="2296" spans="1:8" ht="27" customHeight="1" x14ac:dyDescent="0.2">
      <c r="A2296" s="31" t="s">
        <v>3350</v>
      </c>
      <c r="B2296" s="32" t="s">
        <v>3351</v>
      </c>
      <c r="C2296" s="32" t="s">
        <v>763</v>
      </c>
      <c r="D2296" s="32" t="s">
        <v>816</v>
      </c>
      <c r="E2296" s="33" t="s">
        <v>764</v>
      </c>
      <c r="F2296" s="34">
        <v>0</v>
      </c>
      <c r="G2296" s="34">
        <v>0</v>
      </c>
      <c r="H2296" s="35" t="s">
        <v>859</v>
      </c>
    </row>
    <row r="2297" spans="1:8" ht="27" customHeight="1" x14ac:dyDescent="0.2">
      <c r="A2297" s="31" t="s">
        <v>3350</v>
      </c>
      <c r="B2297" s="32" t="s">
        <v>3351</v>
      </c>
      <c r="C2297" s="32" t="s">
        <v>770</v>
      </c>
      <c r="D2297" s="32" t="s">
        <v>1937</v>
      </c>
      <c r="E2297" s="33" t="s">
        <v>772</v>
      </c>
      <c r="F2297" s="34">
        <v>1091373</v>
      </c>
      <c r="G2297" s="34">
        <v>1091373</v>
      </c>
      <c r="H2297" s="35" t="s">
        <v>3352</v>
      </c>
    </row>
    <row r="2298" spans="1:8" ht="27" customHeight="1" x14ac:dyDescent="0.2">
      <c r="A2298" s="31" t="s">
        <v>3350</v>
      </c>
      <c r="B2298" s="32" t="s">
        <v>3351</v>
      </c>
      <c r="C2298" s="32" t="s">
        <v>844</v>
      </c>
      <c r="D2298" s="32" t="s">
        <v>3353</v>
      </c>
      <c r="E2298" s="33" t="s">
        <v>846</v>
      </c>
      <c r="F2298" s="34">
        <v>4007139</v>
      </c>
      <c r="G2298" s="34">
        <v>4007139</v>
      </c>
      <c r="H2298" s="35" t="s">
        <v>3354</v>
      </c>
    </row>
    <row r="2299" spans="1:8" ht="27" customHeight="1" x14ac:dyDescent="0.2">
      <c r="A2299" s="31" t="s">
        <v>3350</v>
      </c>
      <c r="B2299" s="32" t="s">
        <v>3351</v>
      </c>
      <c r="C2299" s="32" t="s">
        <v>776</v>
      </c>
      <c r="D2299" s="32" t="s">
        <v>812</v>
      </c>
      <c r="E2299" s="33" t="s">
        <v>777</v>
      </c>
      <c r="F2299" s="34">
        <v>4621461</v>
      </c>
      <c r="G2299" s="34">
        <v>4621461</v>
      </c>
      <c r="H2299" s="35" t="s">
        <v>3355</v>
      </c>
    </row>
    <row r="2300" spans="1:8" ht="27" customHeight="1" x14ac:dyDescent="0.2">
      <c r="A2300" s="31" t="s">
        <v>3350</v>
      </c>
      <c r="B2300" s="32" t="s">
        <v>3351</v>
      </c>
      <c r="C2300" s="32" t="s">
        <v>779</v>
      </c>
      <c r="D2300" s="32" t="s">
        <v>826</v>
      </c>
      <c r="E2300" s="33" t="s">
        <v>780</v>
      </c>
      <c r="F2300" s="34">
        <v>82100</v>
      </c>
      <c r="G2300" s="34">
        <v>82100</v>
      </c>
      <c r="H2300" s="35" t="s">
        <v>3356</v>
      </c>
    </row>
    <row r="2301" spans="1:8" ht="27" customHeight="1" x14ac:dyDescent="0.2">
      <c r="A2301" s="31" t="s">
        <v>3357</v>
      </c>
      <c r="B2301" s="32" t="s">
        <v>3358</v>
      </c>
      <c r="C2301" s="32" t="s">
        <v>831</v>
      </c>
      <c r="D2301" s="32" t="s">
        <v>767</v>
      </c>
      <c r="E2301" s="33" t="s">
        <v>3359</v>
      </c>
      <c r="F2301" s="34">
        <v>16031000</v>
      </c>
      <c r="G2301" s="34">
        <v>15334000</v>
      </c>
      <c r="H2301" s="35" t="s">
        <v>3360</v>
      </c>
    </row>
    <row r="2302" spans="1:8" ht="27" customHeight="1" x14ac:dyDescent="0.2">
      <c r="A2302" s="31" t="s">
        <v>3357</v>
      </c>
      <c r="B2302" s="32" t="s">
        <v>3358</v>
      </c>
      <c r="C2302" s="32" t="s">
        <v>782</v>
      </c>
      <c r="D2302" s="32" t="s">
        <v>3361</v>
      </c>
      <c r="E2302" s="33" t="s">
        <v>784</v>
      </c>
      <c r="F2302" s="34">
        <v>1000000</v>
      </c>
      <c r="G2302" s="34">
        <v>1000000</v>
      </c>
      <c r="H2302" s="35" t="s">
        <v>3362</v>
      </c>
    </row>
    <row r="2303" spans="1:8" ht="27" customHeight="1" x14ac:dyDescent="0.2">
      <c r="A2303" s="31" t="s">
        <v>3363</v>
      </c>
      <c r="B2303" s="32" t="s">
        <v>3364</v>
      </c>
      <c r="C2303" s="32" t="s">
        <v>763</v>
      </c>
      <c r="D2303" s="32" t="s">
        <v>763</v>
      </c>
      <c r="E2303" s="33" t="s">
        <v>764</v>
      </c>
      <c r="F2303" s="34">
        <v>986062</v>
      </c>
      <c r="G2303" s="34">
        <v>986062</v>
      </c>
      <c r="H2303" s="35" t="s">
        <v>3365</v>
      </c>
    </row>
    <row r="2304" spans="1:8" ht="27" customHeight="1" x14ac:dyDescent="0.2">
      <c r="A2304" s="31" t="s">
        <v>3363</v>
      </c>
      <c r="B2304" s="32" t="s">
        <v>3364</v>
      </c>
      <c r="C2304" s="32" t="s">
        <v>770</v>
      </c>
      <c r="D2304" s="32" t="s">
        <v>1136</v>
      </c>
      <c r="E2304" s="33" t="s">
        <v>772</v>
      </c>
      <c r="F2304" s="34">
        <v>606244</v>
      </c>
      <c r="G2304" s="34">
        <v>606244</v>
      </c>
      <c r="H2304" s="35" t="s">
        <v>3366</v>
      </c>
    </row>
    <row r="2305" spans="1:8" ht="27" customHeight="1" x14ac:dyDescent="0.2">
      <c r="A2305" s="31" t="s">
        <v>3363</v>
      </c>
      <c r="B2305" s="32" t="s">
        <v>3364</v>
      </c>
      <c r="C2305" s="32" t="s">
        <v>860</v>
      </c>
      <c r="D2305" s="32" t="s">
        <v>860</v>
      </c>
      <c r="E2305" s="33" t="s">
        <v>861</v>
      </c>
      <c r="F2305" s="34">
        <v>817318</v>
      </c>
      <c r="G2305" s="34">
        <v>817318</v>
      </c>
      <c r="H2305" s="35" t="s">
        <v>3367</v>
      </c>
    </row>
    <row r="2306" spans="1:8" ht="27" customHeight="1" x14ac:dyDescent="0.2">
      <c r="A2306" s="31" t="s">
        <v>3363</v>
      </c>
      <c r="B2306" s="32" t="s">
        <v>3364</v>
      </c>
      <c r="C2306" s="32" t="s">
        <v>796</v>
      </c>
      <c r="D2306" s="32" t="s">
        <v>1050</v>
      </c>
      <c r="E2306" s="33" t="s">
        <v>823</v>
      </c>
      <c r="F2306" s="34">
        <v>699461</v>
      </c>
      <c r="G2306" s="34">
        <v>699461</v>
      </c>
      <c r="H2306" s="35" t="s">
        <v>3368</v>
      </c>
    </row>
    <row r="2307" spans="1:8" ht="27" customHeight="1" x14ac:dyDescent="0.2">
      <c r="A2307" s="31" t="s">
        <v>3363</v>
      </c>
      <c r="B2307" s="32" t="s">
        <v>3364</v>
      </c>
      <c r="C2307" s="32" t="s">
        <v>779</v>
      </c>
      <c r="D2307" s="32" t="s">
        <v>802</v>
      </c>
      <c r="E2307" s="33" t="s">
        <v>780</v>
      </c>
      <c r="F2307" s="34">
        <v>151620</v>
      </c>
      <c r="G2307" s="34">
        <v>151620</v>
      </c>
      <c r="H2307" s="35" t="s">
        <v>3369</v>
      </c>
    </row>
    <row r="2308" spans="1:8" ht="27" customHeight="1" x14ac:dyDescent="0.2">
      <c r="A2308" s="31" t="s">
        <v>3370</v>
      </c>
      <c r="B2308" s="32" t="s">
        <v>3371</v>
      </c>
      <c r="C2308" s="32" t="s">
        <v>763</v>
      </c>
      <c r="D2308" s="32" t="s">
        <v>763</v>
      </c>
      <c r="E2308" s="33" t="s">
        <v>764</v>
      </c>
      <c r="F2308" s="34">
        <v>843100</v>
      </c>
      <c r="G2308" s="34">
        <v>843230</v>
      </c>
      <c r="H2308" s="35" t="s">
        <v>1667</v>
      </c>
    </row>
    <row r="2309" spans="1:8" ht="27" customHeight="1" x14ac:dyDescent="0.2">
      <c r="A2309" s="31" t="s">
        <v>3370</v>
      </c>
      <c r="B2309" s="32" t="s">
        <v>3371</v>
      </c>
      <c r="C2309" s="32" t="s">
        <v>766</v>
      </c>
      <c r="D2309" s="32" t="s">
        <v>767</v>
      </c>
      <c r="E2309" s="33" t="s">
        <v>768</v>
      </c>
      <c r="F2309" s="34">
        <v>882393</v>
      </c>
      <c r="G2309" s="34">
        <v>882524</v>
      </c>
      <c r="H2309" s="35" t="s">
        <v>1667</v>
      </c>
    </row>
    <row r="2310" spans="1:8" ht="27" customHeight="1" x14ac:dyDescent="0.2">
      <c r="A2310" s="31" t="s">
        <v>3370</v>
      </c>
      <c r="B2310" s="32" t="s">
        <v>3371</v>
      </c>
      <c r="C2310" s="32" t="s">
        <v>770</v>
      </c>
      <c r="D2310" s="32" t="s">
        <v>1751</v>
      </c>
      <c r="E2310" s="33" t="s">
        <v>772</v>
      </c>
      <c r="F2310" s="34">
        <v>555068</v>
      </c>
      <c r="G2310" s="34">
        <v>555153</v>
      </c>
      <c r="H2310" s="35" t="s">
        <v>1667</v>
      </c>
    </row>
    <row r="2311" spans="1:8" ht="27" customHeight="1" x14ac:dyDescent="0.2">
      <c r="A2311" s="31" t="s">
        <v>3370</v>
      </c>
      <c r="B2311" s="32" t="s">
        <v>3371</v>
      </c>
      <c r="C2311" s="32" t="s">
        <v>844</v>
      </c>
      <c r="D2311" s="32" t="s">
        <v>844</v>
      </c>
      <c r="E2311" s="33" t="s">
        <v>846</v>
      </c>
      <c r="F2311" s="34">
        <v>808524</v>
      </c>
      <c r="G2311" s="34">
        <v>808649</v>
      </c>
      <c r="H2311" s="35" t="s">
        <v>1667</v>
      </c>
    </row>
    <row r="2312" spans="1:8" ht="27" customHeight="1" x14ac:dyDescent="0.2">
      <c r="A2312" s="31" t="s">
        <v>3370</v>
      </c>
      <c r="B2312" s="32" t="s">
        <v>3371</v>
      </c>
      <c r="C2312" s="32" t="s">
        <v>773</v>
      </c>
      <c r="D2312" s="32" t="s">
        <v>773</v>
      </c>
      <c r="E2312" s="33" t="s">
        <v>775</v>
      </c>
      <c r="F2312" s="34">
        <v>98541</v>
      </c>
      <c r="G2312" s="34">
        <v>98556</v>
      </c>
      <c r="H2312" s="35" t="s">
        <v>1667</v>
      </c>
    </row>
    <row r="2313" spans="1:8" ht="27" customHeight="1" x14ac:dyDescent="0.2">
      <c r="A2313" s="31" t="s">
        <v>3370</v>
      </c>
      <c r="B2313" s="32" t="s">
        <v>3371</v>
      </c>
      <c r="C2313" s="32" t="s">
        <v>886</v>
      </c>
      <c r="D2313" s="32" t="s">
        <v>886</v>
      </c>
      <c r="E2313" s="33" t="s">
        <v>887</v>
      </c>
      <c r="F2313" s="34">
        <v>50112</v>
      </c>
      <c r="G2313" s="34">
        <v>50118</v>
      </c>
      <c r="H2313" s="35" t="s">
        <v>1667</v>
      </c>
    </row>
    <row r="2314" spans="1:8" ht="27" customHeight="1" x14ac:dyDescent="0.2">
      <c r="A2314" s="31" t="s">
        <v>3370</v>
      </c>
      <c r="B2314" s="32" t="s">
        <v>3371</v>
      </c>
      <c r="C2314" s="32" t="s">
        <v>860</v>
      </c>
      <c r="D2314" s="32" t="s">
        <v>2840</v>
      </c>
      <c r="E2314" s="33" t="s">
        <v>861</v>
      </c>
      <c r="F2314" s="34">
        <v>197667</v>
      </c>
      <c r="G2314" s="34">
        <v>197697</v>
      </c>
      <c r="H2314" s="35" t="s">
        <v>1667</v>
      </c>
    </row>
    <row r="2315" spans="1:8" ht="27" customHeight="1" x14ac:dyDescent="0.2">
      <c r="A2315" s="31" t="s">
        <v>3370</v>
      </c>
      <c r="B2315" s="32" t="s">
        <v>3371</v>
      </c>
      <c r="C2315" s="32" t="s">
        <v>796</v>
      </c>
      <c r="D2315" s="32" t="s">
        <v>1411</v>
      </c>
      <c r="E2315" s="33" t="s">
        <v>772</v>
      </c>
      <c r="F2315" s="34">
        <v>841254</v>
      </c>
      <c r="G2315" s="34">
        <v>841384</v>
      </c>
      <c r="H2315" s="35" t="s">
        <v>1667</v>
      </c>
    </row>
    <row r="2316" spans="1:8" ht="27" customHeight="1" x14ac:dyDescent="0.2">
      <c r="A2316" s="31" t="s">
        <v>3370</v>
      </c>
      <c r="B2316" s="32" t="s">
        <v>3371</v>
      </c>
      <c r="C2316" s="32" t="s">
        <v>776</v>
      </c>
      <c r="D2316" s="32" t="s">
        <v>776</v>
      </c>
      <c r="E2316" s="33" t="s">
        <v>777</v>
      </c>
      <c r="F2316" s="34">
        <v>397018</v>
      </c>
      <c r="G2316" s="34">
        <v>397079</v>
      </c>
      <c r="H2316" s="35" t="s">
        <v>1667</v>
      </c>
    </row>
    <row r="2317" spans="1:8" ht="27" customHeight="1" x14ac:dyDescent="0.2">
      <c r="A2317" s="31" t="s">
        <v>3370</v>
      </c>
      <c r="B2317" s="32" t="s">
        <v>3371</v>
      </c>
      <c r="C2317" s="32" t="s">
        <v>779</v>
      </c>
      <c r="D2317" s="32" t="s">
        <v>802</v>
      </c>
      <c r="E2317" s="33" t="s">
        <v>780</v>
      </c>
      <c r="F2317" s="34">
        <v>87543</v>
      </c>
      <c r="G2317" s="34">
        <v>87556</v>
      </c>
      <c r="H2317" s="35" t="s">
        <v>1667</v>
      </c>
    </row>
    <row r="2318" spans="1:8" ht="27" customHeight="1" x14ac:dyDescent="0.2">
      <c r="A2318" s="31" t="s">
        <v>3370</v>
      </c>
      <c r="B2318" s="32" t="s">
        <v>3371</v>
      </c>
      <c r="C2318" s="32" t="s">
        <v>782</v>
      </c>
      <c r="D2318" s="32" t="s">
        <v>782</v>
      </c>
      <c r="E2318" s="33" t="s">
        <v>784</v>
      </c>
      <c r="F2318" s="34">
        <v>140941</v>
      </c>
      <c r="G2318" s="34">
        <v>140962</v>
      </c>
      <c r="H2318" s="35" t="s">
        <v>1667</v>
      </c>
    </row>
    <row r="2319" spans="1:8" ht="27" customHeight="1" x14ac:dyDescent="0.2">
      <c r="A2319" s="31" t="s">
        <v>3372</v>
      </c>
      <c r="B2319" s="32" t="s">
        <v>738</v>
      </c>
      <c r="C2319" s="32" t="s">
        <v>763</v>
      </c>
      <c r="D2319" s="32" t="s">
        <v>816</v>
      </c>
      <c r="E2319" s="33" t="s">
        <v>764</v>
      </c>
      <c r="F2319" s="34">
        <v>2702299</v>
      </c>
      <c r="G2319" s="34">
        <v>2702953</v>
      </c>
      <c r="H2319" s="35" t="s">
        <v>3373</v>
      </c>
    </row>
    <row r="2320" spans="1:8" ht="27" customHeight="1" x14ac:dyDescent="0.2">
      <c r="A2320" s="31" t="s">
        <v>3372</v>
      </c>
      <c r="B2320" s="32" t="s">
        <v>738</v>
      </c>
      <c r="C2320" s="32" t="s">
        <v>766</v>
      </c>
      <c r="D2320" s="32" t="s">
        <v>2034</v>
      </c>
      <c r="E2320" s="33" t="s">
        <v>768</v>
      </c>
      <c r="F2320" s="34">
        <v>331651</v>
      </c>
      <c r="G2320" s="34">
        <v>331666</v>
      </c>
      <c r="H2320" s="35" t="s">
        <v>829</v>
      </c>
    </row>
    <row r="2321" spans="1:8" ht="27" customHeight="1" x14ac:dyDescent="0.2">
      <c r="A2321" s="31" t="s">
        <v>3372</v>
      </c>
      <c r="B2321" s="32" t="s">
        <v>738</v>
      </c>
      <c r="C2321" s="32" t="s">
        <v>770</v>
      </c>
      <c r="D2321" s="32" t="s">
        <v>810</v>
      </c>
      <c r="E2321" s="33" t="s">
        <v>772</v>
      </c>
      <c r="F2321" s="34">
        <v>284048</v>
      </c>
      <c r="G2321" s="34">
        <v>284114</v>
      </c>
      <c r="H2321" s="35" t="s">
        <v>829</v>
      </c>
    </row>
    <row r="2322" spans="1:8" ht="27" customHeight="1" x14ac:dyDescent="0.2">
      <c r="A2322" s="31" t="s">
        <v>3372</v>
      </c>
      <c r="B2322" s="32" t="s">
        <v>738</v>
      </c>
      <c r="C2322" s="32" t="s">
        <v>886</v>
      </c>
      <c r="D2322" s="32" t="s">
        <v>1013</v>
      </c>
      <c r="E2322" s="33" t="s">
        <v>887</v>
      </c>
      <c r="F2322" s="34">
        <v>1101633</v>
      </c>
      <c r="G2322" s="34">
        <v>1101897</v>
      </c>
      <c r="H2322" s="35" t="s">
        <v>829</v>
      </c>
    </row>
    <row r="2323" spans="1:8" ht="27" customHeight="1" x14ac:dyDescent="0.2">
      <c r="A2323" s="31" t="s">
        <v>3372</v>
      </c>
      <c r="B2323" s="32" t="s">
        <v>738</v>
      </c>
      <c r="C2323" s="32" t="s">
        <v>860</v>
      </c>
      <c r="D2323" s="32" t="s">
        <v>911</v>
      </c>
      <c r="E2323" s="33" t="s">
        <v>861</v>
      </c>
      <c r="F2323" s="34">
        <v>301411</v>
      </c>
      <c r="G2323" s="34">
        <v>301484</v>
      </c>
      <c r="H2323" s="35" t="s">
        <v>829</v>
      </c>
    </row>
    <row r="2324" spans="1:8" ht="27" customHeight="1" x14ac:dyDescent="0.2">
      <c r="A2324" s="31" t="s">
        <v>3372</v>
      </c>
      <c r="B2324" s="32" t="s">
        <v>738</v>
      </c>
      <c r="C2324" s="32" t="s">
        <v>796</v>
      </c>
      <c r="D2324" s="32" t="s">
        <v>1602</v>
      </c>
      <c r="E2324" s="33" t="s">
        <v>772</v>
      </c>
      <c r="F2324" s="34">
        <v>1147646</v>
      </c>
      <c r="G2324" s="34">
        <v>1147922</v>
      </c>
      <c r="H2324" s="35" t="s">
        <v>829</v>
      </c>
    </row>
    <row r="2325" spans="1:8" ht="27" customHeight="1" x14ac:dyDescent="0.2">
      <c r="A2325" s="31" t="s">
        <v>3372</v>
      </c>
      <c r="B2325" s="32" t="s">
        <v>738</v>
      </c>
      <c r="C2325" s="32" t="s">
        <v>776</v>
      </c>
      <c r="D2325" s="32" t="s">
        <v>914</v>
      </c>
      <c r="E2325" s="33" t="s">
        <v>777</v>
      </c>
      <c r="F2325" s="34">
        <v>689900</v>
      </c>
      <c r="G2325" s="34">
        <v>690065</v>
      </c>
      <c r="H2325" s="35" t="s">
        <v>829</v>
      </c>
    </row>
    <row r="2326" spans="1:8" ht="27" customHeight="1" x14ac:dyDescent="0.2">
      <c r="A2326" s="31" t="s">
        <v>3372</v>
      </c>
      <c r="B2326" s="32" t="s">
        <v>738</v>
      </c>
      <c r="C2326" s="32" t="s">
        <v>779</v>
      </c>
      <c r="D2326" s="32" t="s">
        <v>826</v>
      </c>
      <c r="E2326" s="33" t="s">
        <v>780</v>
      </c>
      <c r="F2326" s="34">
        <v>85528</v>
      </c>
      <c r="G2326" s="34">
        <v>85548</v>
      </c>
      <c r="H2326" s="35" t="s">
        <v>829</v>
      </c>
    </row>
    <row r="2327" spans="1:8" ht="27" customHeight="1" x14ac:dyDescent="0.2">
      <c r="A2327" s="31" t="s">
        <v>3374</v>
      </c>
      <c r="B2327" s="32" t="s">
        <v>3375</v>
      </c>
      <c r="C2327" s="32" t="s">
        <v>763</v>
      </c>
      <c r="D2327" s="32" t="s">
        <v>3376</v>
      </c>
      <c r="E2327" s="33" t="s">
        <v>764</v>
      </c>
      <c r="F2327" s="34">
        <v>700985</v>
      </c>
      <c r="G2327" s="34">
        <v>701090</v>
      </c>
      <c r="H2327" s="35" t="s">
        <v>3377</v>
      </c>
    </row>
    <row r="2328" spans="1:8" ht="27" customHeight="1" x14ac:dyDescent="0.2">
      <c r="A2328" s="31" t="s">
        <v>3374</v>
      </c>
      <c r="B2328" s="32" t="s">
        <v>3375</v>
      </c>
      <c r="C2328" s="32" t="s">
        <v>770</v>
      </c>
      <c r="D2328" s="32" t="s">
        <v>3378</v>
      </c>
      <c r="E2328" s="33" t="s">
        <v>772</v>
      </c>
      <c r="F2328" s="34">
        <v>2816443</v>
      </c>
      <c r="G2328" s="34">
        <v>2816872</v>
      </c>
      <c r="H2328" s="35" t="s">
        <v>3379</v>
      </c>
    </row>
    <row r="2329" spans="1:8" ht="27" customHeight="1" x14ac:dyDescent="0.2">
      <c r="A2329" s="31" t="s">
        <v>3374</v>
      </c>
      <c r="B2329" s="32" t="s">
        <v>3375</v>
      </c>
      <c r="C2329" s="32" t="s">
        <v>796</v>
      </c>
      <c r="D2329" s="32" t="s">
        <v>835</v>
      </c>
      <c r="E2329" s="33" t="s">
        <v>772</v>
      </c>
      <c r="F2329" s="34">
        <v>1817447</v>
      </c>
      <c r="G2329" s="34">
        <v>1592727</v>
      </c>
      <c r="H2329" s="35" t="s">
        <v>3380</v>
      </c>
    </row>
    <row r="2330" spans="1:8" ht="27" customHeight="1" x14ac:dyDescent="0.2">
      <c r="A2330" s="31" t="s">
        <v>3374</v>
      </c>
      <c r="B2330" s="32" t="s">
        <v>3375</v>
      </c>
      <c r="C2330" s="32" t="s">
        <v>776</v>
      </c>
      <c r="D2330" s="32" t="s">
        <v>776</v>
      </c>
      <c r="E2330" s="33" t="s">
        <v>777</v>
      </c>
      <c r="F2330" s="34">
        <v>750456</v>
      </c>
      <c r="G2330" s="34">
        <v>750570</v>
      </c>
      <c r="H2330" s="35" t="s">
        <v>3381</v>
      </c>
    </row>
    <row r="2331" spans="1:8" ht="27" customHeight="1" x14ac:dyDescent="0.2">
      <c r="A2331" s="31" t="s">
        <v>3374</v>
      </c>
      <c r="B2331" s="32" t="s">
        <v>3375</v>
      </c>
      <c r="C2331" s="32" t="s">
        <v>779</v>
      </c>
      <c r="D2331" s="32" t="s">
        <v>802</v>
      </c>
      <c r="E2331" s="33" t="s">
        <v>780</v>
      </c>
      <c r="F2331" s="34">
        <v>252082</v>
      </c>
      <c r="G2331" s="34">
        <v>244273</v>
      </c>
      <c r="H2331" s="35" t="s">
        <v>3382</v>
      </c>
    </row>
    <row r="2332" spans="1:8" ht="27" customHeight="1" x14ac:dyDescent="0.2">
      <c r="A2332" s="31" t="s">
        <v>3374</v>
      </c>
      <c r="B2332" s="32" t="s">
        <v>3375</v>
      </c>
      <c r="C2332" s="32" t="s">
        <v>782</v>
      </c>
      <c r="D2332" s="32" t="s">
        <v>1735</v>
      </c>
      <c r="E2332" s="33" t="s">
        <v>784</v>
      </c>
      <c r="F2332" s="34">
        <v>556337</v>
      </c>
      <c r="G2332" s="34">
        <v>331417</v>
      </c>
      <c r="H2332" s="35" t="s">
        <v>3380</v>
      </c>
    </row>
    <row r="2333" spans="1:8" ht="27" customHeight="1" x14ac:dyDescent="0.2">
      <c r="A2333" s="31" t="s">
        <v>3383</v>
      </c>
      <c r="B2333" s="32" t="s">
        <v>3384</v>
      </c>
      <c r="C2333" s="32" t="s">
        <v>763</v>
      </c>
      <c r="D2333" s="32" t="s">
        <v>816</v>
      </c>
      <c r="E2333" s="33" t="s">
        <v>764</v>
      </c>
      <c r="F2333" s="34">
        <v>2501834</v>
      </c>
      <c r="G2333" s="34">
        <v>2503000</v>
      </c>
      <c r="H2333" s="35" t="s">
        <v>3385</v>
      </c>
    </row>
    <row r="2334" spans="1:8" ht="27" customHeight="1" x14ac:dyDescent="0.2">
      <c r="A2334" s="31" t="s">
        <v>3383</v>
      </c>
      <c r="B2334" s="32" t="s">
        <v>3384</v>
      </c>
      <c r="C2334" s="32" t="s">
        <v>773</v>
      </c>
      <c r="D2334" s="32" t="s">
        <v>3386</v>
      </c>
      <c r="E2334" s="33" t="s">
        <v>775</v>
      </c>
      <c r="F2334" s="34">
        <v>1000000</v>
      </c>
      <c r="G2334" s="34">
        <v>1000600</v>
      </c>
      <c r="H2334" s="35" t="s">
        <v>3387</v>
      </c>
    </row>
    <row r="2335" spans="1:8" ht="27" customHeight="1" x14ac:dyDescent="0.2">
      <c r="A2335" s="31" t="s">
        <v>3383</v>
      </c>
      <c r="B2335" s="32" t="s">
        <v>3384</v>
      </c>
      <c r="C2335" s="32" t="s">
        <v>776</v>
      </c>
      <c r="D2335" s="32" t="s">
        <v>776</v>
      </c>
      <c r="E2335" s="33" t="s">
        <v>777</v>
      </c>
      <c r="F2335" s="34">
        <v>2000000</v>
      </c>
      <c r="G2335" s="34">
        <v>2001100</v>
      </c>
      <c r="H2335" s="35" t="s">
        <v>3388</v>
      </c>
    </row>
    <row r="2336" spans="1:8" ht="27" customHeight="1" x14ac:dyDescent="0.2">
      <c r="A2336" s="31" t="s">
        <v>3383</v>
      </c>
      <c r="B2336" s="32" t="s">
        <v>3384</v>
      </c>
      <c r="C2336" s="32" t="s">
        <v>782</v>
      </c>
      <c r="D2336" s="32" t="s">
        <v>782</v>
      </c>
      <c r="E2336" s="33" t="s">
        <v>784</v>
      </c>
      <c r="F2336" s="34">
        <v>2106621</v>
      </c>
      <c r="G2336" s="34">
        <v>2107800</v>
      </c>
      <c r="H2336" s="35" t="s">
        <v>3389</v>
      </c>
    </row>
    <row r="2337" spans="1:8" ht="27" customHeight="1" x14ac:dyDescent="0.2">
      <c r="A2337" s="31" t="s">
        <v>3390</v>
      </c>
      <c r="B2337" s="32" t="s">
        <v>3391</v>
      </c>
      <c r="C2337" s="32" t="s">
        <v>763</v>
      </c>
      <c r="D2337" s="32" t="s">
        <v>897</v>
      </c>
      <c r="E2337" s="33" t="s">
        <v>764</v>
      </c>
      <c r="F2337" s="34">
        <v>4130000</v>
      </c>
      <c r="G2337" s="34">
        <v>4130000</v>
      </c>
      <c r="H2337" s="35" t="s">
        <v>3392</v>
      </c>
    </row>
    <row r="2338" spans="1:8" ht="27" customHeight="1" x14ac:dyDescent="0.2">
      <c r="A2338" s="31" t="s">
        <v>3390</v>
      </c>
      <c r="B2338" s="32" t="s">
        <v>3391</v>
      </c>
      <c r="C2338" s="32" t="s">
        <v>763</v>
      </c>
      <c r="D2338" s="32" t="s">
        <v>1019</v>
      </c>
      <c r="E2338" s="33" t="s">
        <v>764</v>
      </c>
      <c r="F2338" s="34">
        <v>3236</v>
      </c>
      <c r="G2338" s="34">
        <v>632449</v>
      </c>
      <c r="H2338" s="35" t="s">
        <v>1665</v>
      </c>
    </row>
    <row r="2339" spans="1:8" ht="27" customHeight="1" x14ac:dyDescent="0.2">
      <c r="A2339" s="31" t="s">
        <v>3390</v>
      </c>
      <c r="B2339" s="32" t="s">
        <v>3391</v>
      </c>
      <c r="C2339" s="32" t="s">
        <v>763</v>
      </c>
      <c r="D2339" s="32" t="s">
        <v>3393</v>
      </c>
      <c r="E2339" s="33" t="s">
        <v>764</v>
      </c>
      <c r="F2339" s="34">
        <v>3984057</v>
      </c>
      <c r="G2339" s="34">
        <v>3984057</v>
      </c>
      <c r="H2339" s="35" t="s">
        <v>3392</v>
      </c>
    </row>
    <row r="2340" spans="1:8" ht="27" customHeight="1" x14ac:dyDescent="0.2">
      <c r="A2340" s="31" t="s">
        <v>3390</v>
      </c>
      <c r="B2340" s="32" t="s">
        <v>3391</v>
      </c>
      <c r="C2340" s="32" t="s">
        <v>766</v>
      </c>
      <c r="D2340" s="32" t="s">
        <v>767</v>
      </c>
      <c r="E2340" s="33" t="s">
        <v>768</v>
      </c>
      <c r="F2340" s="34">
        <v>5218138</v>
      </c>
      <c r="G2340" s="34">
        <v>5218138</v>
      </c>
      <c r="H2340" s="35" t="s">
        <v>3392</v>
      </c>
    </row>
    <row r="2341" spans="1:8" ht="27" customHeight="1" x14ac:dyDescent="0.2">
      <c r="A2341" s="31" t="s">
        <v>3390</v>
      </c>
      <c r="B2341" s="32" t="s">
        <v>3391</v>
      </c>
      <c r="C2341" s="32" t="s">
        <v>770</v>
      </c>
      <c r="D2341" s="32" t="s">
        <v>794</v>
      </c>
      <c r="E2341" s="33" t="s">
        <v>772</v>
      </c>
      <c r="F2341" s="34">
        <v>195865</v>
      </c>
      <c r="G2341" s="34">
        <v>195865</v>
      </c>
      <c r="H2341" s="35" t="s">
        <v>3394</v>
      </c>
    </row>
    <row r="2342" spans="1:8" ht="27" customHeight="1" x14ac:dyDescent="0.2">
      <c r="A2342" s="31" t="s">
        <v>3390</v>
      </c>
      <c r="B2342" s="32" t="s">
        <v>3391</v>
      </c>
      <c r="C2342" s="32" t="s">
        <v>796</v>
      </c>
      <c r="D2342" s="32" t="s">
        <v>1252</v>
      </c>
      <c r="E2342" s="33" t="s">
        <v>772</v>
      </c>
      <c r="F2342" s="34">
        <v>960372</v>
      </c>
      <c r="G2342" s="34">
        <v>960372</v>
      </c>
      <c r="H2342" s="35" t="s">
        <v>3395</v>
      </c>
    </row>
    <row r="2343" spans="1:8" ht="27" customHeight="1" x14ac:dyDescent="0.2">
      <c r="A2343" s="31" t="s">
        <v>3390</v>
      </c>
      <c r="B2343" s="32" t="s">
        <v>3391</v>
      </c>
      <c r="C2343" s="32" t="s">
        <v>776</v>
      </c>
      <c r="D2343" s="32" t="s">
        <v>3396</v>
      </c>
      <c r="E2343" s="33" t="s">
        <v>777</v>
      </c>
      <c r="F2343" s="34">
        <v>1584972</v>
      </c>
      <c r="G2343" s="34">
        <v>1584972</v>
      </c>
      <c r="H2343" s="35" t="s">
        <v>3397</v>
      </c>
    </row>
    <row r="2344" spans="1:8" ht="27" customHeight="1" x14ac:dyDescent="0.2">
      <c r="A2344" s="31" t="s">
        <v>3390</v>
      </c>
      <c r="B2344" s="32" t="s">
        <v>3391</v>
      </c>
      <c r="C2344" s="32" t="s">
        <v>779</v>
      </c>
      <c r="D2344" s="32" t="s">
        <v>826</v>
      </c>
      <c r="E2344" s="33" t="s">
        <v>780</v>
      </c>
      <c r="F2344" s="34">
        <v>555601</v>
      </c>
      <c r="G2344" s="34">
        <v>555601</v>
      </c>
      <c r="H2344" s="35" t="s">
        <v>3398</v>
      </c>
    </row>
    <row r="2345" spans="1:8" ht="27" customHeight="1" x14ac:dyDescent="0.2">
      <c r="A2345" s="31" t="s">
        <v>3390</v>
      </c>
      <c r="B2345" s="32" t="s">
        <v>3391</v>
      </c>
      <c r="C2345" s="32" t="s">
        <v>782</v>
      </c>
      <c r="D2345" s="32" t="s">
        <v>865</v>
      </c>
      <c r="E2345" s="33" t="s">
        <v>784</v>
      </c>
      <c r="F2345" s="34">
        <v>1011764</v>
      </c>
      <c r="G2345" s="34">
        <v>1011764</v>
      </c>
      <c r="H2345" s="35" t="s">
        <v>3399</v>
      </c>
    </row>
    <row r="2346" spans="1:8" ht="27" customHeight="1" x14ac:dyDescent="0.2">
      <c r="A2346" s="31" t="s">
        <v>3400</v>
      </c>
      <c r="B2346" s="32" t="s">
        <v>3401</v>
      </c>
      <c r="C2346" s="32" t="s">
        <v>763</v>
      </c>
      <c r="D2346" s="32" t="s">
        <v>1805</v>
      </c>
      <c r="E2346" s="33" t="s">
        <v>764</v>
      </c>
      <c r="F2346" s="34">
        <v>1001000</v>
      </c>
      <c r="G2346" s="34">
        <v>1003002</v>
      </c>
      <c r="H2346" s="35" t="s">
        <v>3402</v>
      </c>
    </row>
    <row r="2347" spans="1:8" ht="27" customHeight="1" x14ac:dyDescent="0.2">
      <c r="A2347" s="31" t="s">
        <v>3400</v>
      </c>
      <c r="B2347" s="32" t="s">
        <v>3401</v>
      </c>
      <c r="C2347" s="32" t="s">
        <v>763</v>
      </c>
      <c r="D2347" s="32" t="s">
        <v>3403</v>
      </c>
      <c r="E2347" s="33" t="s">
        <v>764</v>
      </c>
      <c r="F2347" s="34">
        <v>2671</v>
      </c>
      <c r="G2347" s="34">
        <v>2671</v>
      </c>
      <c r="H2347" s="35" t="s">
        <v>3402</v>
      </c>
    </row>
    <row r="2348" spans="1:8" ht="27" customHeight="1" x14ac:dyDescent="0.2">
      <c r="A2348" s="31" t="s">
        <v>3400</v>
      </c>
      <c r="B2348" s="32" t="s">
        <v>3401</v>
      </c>
      <c r="C2348" s="32" t="s">
        <v>763</v>
      </c>
      <c r="D2348" s="32" t="s">
        <v>3404</v>
      </c>
      <c r="E2348" s="33" t="s">
        <v>764</v>
      </c>
      <c r="F2348" s="34">
        <v>900000</v>
      </c>
      <c r="G2348" s="34">
        <v>901119</v>
      </c>
      <c r="H2348" s="35" t="s">
        <v>3405</v>
      </c>
    </row>
    <row r="2349" spans="1:8" ht="27" customHeight="1" x14ac:dyDescent="0.2">
      <c r="A2349" s="31" t="s">
        <v>3400</v>
      </c>
      <c r="B2349" s="32" t="s">
        <v>3401</v>
      </c>
      <c r="C2349" s="32" t="s">
        <v>770</v>
      </c>
      <c r="D2349" s="32" t="s">
        <v>919</v>
      </c>
      <c r="E2349" s="33" t="s">
        <v>772</v>
      </c>
      <c r="F2349" s="34">
        <v>174305</v>
      </c>
      <c r="G2349" s="34">
        <v>174654</v>
      </c>
      <c r="H2349" s="35" t="s">
        <v>3406</v>
      </c>
    </row>
    <row r="2350" spans="1:8" ht="27" customHeight="1" x14ac:dyDescent="0.2">
      <c r="A2350" s="31" t="s">
        <v>3400</v>
      </c>
      <c r="B2350" s="32" t="s">
        <v>3401</v>
      </c>
      <c r="C2350" s="32" t="s">
        <v>844</v>
      </c>
      <c r="D2350" s="32" t="s">
        <v>844</v>
      </c>
      <c r="E2350" s="33" t="s">
        <v>846</v>
      </c>
      <c r="F2350" s="34">
        <v>0</v>
      </c>
      <c r="G2350" s="34">
        <v>150000</v>
      </c>
      <c r="H2350" s="35" t="s">
        <v>3407</v>
      </c>
    </row>
    <row r="2351" spans="1:8" ht="27" customHeight="1" x14ac:dyDescent="0.2">
      <c r="A2351" s="31" t="s">
        <v>3400</v>
      </c>
      <c r="B2351" s="32" t="s">
        <v>3401</v>
      </c>
      <c r="C2351" s="32" t="s">
        <v>773</v>
      </c>
      <c r="D2351" s="32" t="s">
        <v>773</v>
      </c>
      <c r="E2351" s="33" t="s">
        <v>775</v>
      </c>
      <c r="F2351" s="34">
        <v>286001</v>
      </c>
      <c r="G2351" s="34">
        <v>286573</v>
      </c>
      <c r="H2351" s="35" t="s">
        <v>3406</v>
      </c>
    </row>
    <row r="2352" spans="1:8" ht="27" customHeight="1" x14ac:dyDescent="0.2">
      <c r="A2352" s="31" t="s">
        <v>3400</v>
      </c>
      <c r="B2352" s="32" t="s">
        <v>3401</v>
      </c>
      <c r="C2352" s="32" t="s">
        <v>796</v>
      </c>
      <c r="D2352" s="32" t="s">
        <v>835</v>
      </c>
      <c r="E2352" s="33" t="s">
        <v>823</v>
      </c>
      <c r="F2352" s="34">
        <v>757716</v>
      </c>
      <c r="G2352" s="34">
        <v>759231</v>
      </c>
      <c r="H2352" s="35" t="s">
        <v>3408</v>
      </c>
    </row>
    <row r="2353" spans="1:8" ht="27" customHeight="1" x14ac:dyDescent="0.2">
      <c r="A2353" s="31" t="s">
        <v>3400</v>
      </c>
      <c r="B2353" s="32" t="s">
        <v>3401</v>
      </c>
      <c r="C2353" s="32" t="s">
        <v>776</v>
      </c>
      <c r="D2353" s="32" t="s">
        <v>776</v>
      </c>
      <c r="E2353" s="33" t="s">
        <v>777</v>
      </c>
      <c r="F2353" s="34">
        <v>197201</v>
      </c>
      <c r="G2353" s="34">
        <v>157595</v>
      </c>
      <c r="H2353" s="35" t="s">
        <v>3406</v>
      </c>
    </row>
    <row r="2354" spans="1:8" ht="27" customHeight="1" x14ac:dyDescent="0.2">
      <c r="A2354" s="31" t="s">
        <v>3400</v>
      </c>
      <c r="B2354" s="32" t="s">
        <v>3401</v>
      </c>
      <c r="C2354" s="32" t="s">
        <v>779</v>
      </c>
      <c r="D2354" s="32" t="s">
        <v>779</v>
      </c>
      <c r="E2354" s="33" t="s">
        <v>780</v>
      </c>
      <c r="F2354" s="34">
        <v>495141</v>
      </c>
      <c r="G2354" s="34">
        <v>496151</v>
      </c>
      <c r="H2354" s="35" t="s">
        <v>3409</v>
      </c>
    </row>
    <row r="2355" spans="1:8" ht="27" customHeight="1" x14ac:dyDescent="0.2">
      <c r="A2355" s="31" t="s">
        <v>3410</v>
      </c>
      <c r="B2355" s="32" t="s">
        <v>3411</v>
      </c>
      <c r="C2355" s="32" t="s">
        <v>763</v>
      </c>
      <c r="D2355" s="32" t="s">
        <v>816</v>
      </c>
      <c r="E2355" s="33" t="s">
        <v>764</v>
      </c>
      <c r="F2355" s="34">
        <v>750000</v>
      </c>
      <c r="G2355" s="34">
        <v>750000</v>
      </c>
      <c r="H2355" s="35" t="s">
        <v>3412</v>
      </c>
    </row>
    <row r="2356" spans="1:8" ht="27" customHeight="1" x14ac:dyDescent="0.2">
      <c r="A2356" s="31" t="s">
        <v>3410</v>
      </c>
      <c r="B2356" s="32" t="s">
        <v>3411</v>
      </c>
      <c r="C2356" s="32" t="s">
        <v>770</v>
      </c>
      <c r="D2356" s="32" t="s">
        <v>810</v>
      </c>
      <c r="E2356" s="33" t="s">
        <v>772</v>
      </c>
      <c r="F2356" s="34">
        <v>700746</v>
      </c>
      <c r="G2356" s="34">
        <v>751588</v>
      </c>
      <c r="H2356" s="35" t="s">
        <v>3413</v>
      </c>
    </row>
    <row r="2357" spans="1:8" ht="27" customHeight="1" x14ac:dyDescent="0.2">
      <c r="A2357" s="31" t="s">
        <v>3410</v>
      </c>
      <c r="B2357" s="32" t="s">
        <v>3411</v>
      </c>
      <c r="C2357" s="32" t="s">
        <v>773</v>
      </c>
      <c r="D2357" s="32" t="s">
        <v>973</v>
      </c>
      <c r="E2357" s="33" t="s">
        <v>775</v>
      </c>
      <c r="F2357" s="34">
        <v>175000</v>
      </c>
      <c r="G2357" s="34">
        <v>175000</v>
      </c>
      <c r="H2357" s="35" t="s">
        <v>3414</v>
      </c>
    </row>
    <row r="2358" spans="1:8" ht="27" customHeight="1" x14ac:dyDescent="0.2">
      <c r="A2358" s="31" t="s">
        <v>3410</v>
      </c>
      <c r="B2358" s="32" t="s">
        <v>3411</v>
      </c>
      <c r="C2358" s="32" t="s">
        <v>860</v>
      </c>
      <c r="D2358" s="32" t="s">
        <v>911</v>
      </c>
      <c r="E2358" s="33" t="s">
        <v>861</v>
      </c>
      <c r="F2358" s="34">
        <v>15000</v>
      </c>
      <c r="G2358" s="34">
        <v>15000</v>
      </c>
      <c r="H2358" s="35" t="s">
        <v>3415</v>
      </c>
    </row>
    <row r="2359" spans="1:8" ht="27" customHeight="1" x14ac:dyDescent="0.2">
      <c r="A2359" s="31" t="s">
        <v>3410</v>
      </c>
      <c r="B2359" s="32" t="s">
        <v>3411</v>
      </c>
      <c r="C2359" s="32" t="s">
        <v>796</v>
      </c>
      <c r="D2359" s="32" t="s">
        <v>811</v>
      </c>
      <c r="E2359" s="33" t="s">
        <v>772</v>
      </c>
      <c r="F2359" s="34">
        <v>557118</v>
      </c>
      <c r="G2359" s="34">
        <v>557118</v>
      </c>
      <c r="H2359" s="35" t="s">
        <v>3416</v>
      </c>
    </row>
    <row r="2360" spans="1:8" ht="27" customHeight="1" x14ac:dyDescent="0.2">
      <c r="A2360" s="31" t="s">
        <v>3410</v>
      </c>
      <c r="B2360" s="32" t="s">
        <v>3411</v>
      </c>
      <c r="C2360" s="32" t="s">
        <v>779</v>
      </c>
      <c r="D2360" s="32" t="s">
        <v>876</v>
      </c>
      <c r="E2360" s="33" t="s">
        <v>780</v>
      </c>
      <c r="F2360" s="34">
        <v>75000</v>
      </c>
      <c r="G2360" s="34">
        <v>75000</v>
      </c>
      <c r="H2360" s="35" t="s">
        <v>3414</v>
      </c>
    </row>
    <row r="2361" spans="1:8" ht="27" customHeight="1" x14ac:dyDescent="0.2">
      <c r="A2361" s="31" t="s">
        <v>3417</v>
      </c>
      <c r="B2361" s="32" t="s">
        <v>3418</v>
      </c>
      <c r="C2361" s="32" t="s">
        <v>763</v>
      </c>
      <c r="D2361" s="32" t="s">
        <v>3419</v>
      </c>
      <c r="E2361" s="33" t="s">
        <v>764</v>
      </c>
      <c r="F2361" s="34">
        <v>0</v>
      </c>
      <c r="G2361" s="34">
        <v>950000</v>
      </c>
      <c r="H2361" s="35" t="s">
        <v>3420</v>
      </c>
    </row>
    <row r="2362" spans="1:8" ht="27" customHeight="1" x14ac:dyDescent="0.2">
      <c r="A2362" s="31" t="s">
        <v>3417</v>
      </c>
      <c r="B2362" s="32" t="s">
        <v>3418</v>
      </c>
      <c r="C2362" s="32" t="s">
        <v>763</v>
      </c>
      <c r="D2362" s="32" t="s">
        <v>3421</v>
      </c>
      <c r="E2362" s="33" t="s">
        <v>764</v>
      </c>
      <c r="F2362" s="34">
        <v>300000</v>
      </c>
      <c r="G2362" s="34">
        <v>300000</v>
      </c>
      <c r="H2362" s="35" t="s">
        <v>859</v>
      </c>
    </row>
    <row r="2363" spans="1:8" ht="27" customHeight="1" x14ac:dyDescent="0.2">
      <c r="A2363" s="31" t="s">
        <v>3417</v>
      </c>
      <c r="B2363" s="32" t="s">
        <v>3418</v>
      </c>
      <c r="C2363" s="32" t="s">
        <v>770</v>
      </c>
      <c r="D2363" s="32" t="s">
        <v>1011</v>
      </c>
      <c r="E2363" s="33" t="s">
        <v>772</v>
      </c>
      <c r="F2363" s="34">
        <v>237501</v>
      </c>
      <c r="G2363" s="34">
        <v>237501</v>
      </c>
      <c r="H2363" s="35" t="s">
        <v>859</v>
      </c>
    </row>
    <row r="2364" spans="1:8" ht="27" customHeight="1" x14ac:dyDescent="0.2">
      <c r="A2364" s="31" t="s">
        <v>3417</v>
      </c>
      <c r="B2364" s="32" t="s">
        <v>3418</v>
      </c>
      <c r="C2364" s="32" t="s">
        <v>773</v>
      </c>
      <c r="D2364" s="32" t="s">
        <v>773</v>
      </c>
      <c r="E2364" s="33" t="s">
        <v>775</v>
      </c>
      <c r="F2364" s="34">
        <v>111396</v>
      </c>
      <c r="G2364" s="34">
        <v>111396</v>
      </c>
      <c r="H2364" s="35" t="s">
        <v>859</v>
      </c>
    </row>
    <row r="2365" spans="1:8" ht="27" customHeight="1" x14ac:dyDescent="0.2">
      <c r="A2365" s="31" t="s">
        <v>3417</v>
      </c>
      <c r="B2365" s="32" t="s">
        <v>3418</v>
      </c>
      <c r="C2365" s="32" t="s">
        <v>796</v>
      </c>
      <c r="D2365" s="32" t="s">
        <v>796</v>
      </c>
      <c r="E2365" s="33" t="s">
        <v>823</v>
      </c>
      <c r="F2365" s="34">
        <v>966958</v>
      </c>
      <c r="G2365" s="34">
        <v>966958</v>
      </c>
      <c r="H2365" s="35" t="s">
        <v>859</v>
      </c>
    </row>
    <row r="2366" spans="1:8" ht="27" customHeight="1" x14ac:dyDescent="0.2">
      <c r="A2366" s="31" t="s">
        <v>3417</v>
      </c>
      <c r="B2366" s="32" t="s">
        <v>3418</v>
      </c>
      <c r="C2366" s="32" t="s">
        <v>776</v>
      </c>
      <c r="D2366" s="32" t="s">
        <v>776</v>
      </c>
      <c r="E2366" s="33" t="s">
        <v>777</v>
      </c>
      <c r="F2366" s="34">
        <v>395832</v>
      </c>
      <c r="G2366" s="34">
        <v>395832</v>
      </c>
      <c r="H2366" s="35" t="s">
        <v>859</v>
      </c>
    </row>
    <row r="2367" spans="1:8" ht="27" customHeight="1" x14ac:dyDescent="0.2">
      <c r="A2367" s="31" t="s">
        <v>3417</v>
      </c>
      <c r="B2367" s="32" t="s">
        <v>3418</v>
      </c>
      <c r="C2367" s="32" t="s">
        <v>779</v>
      </c>
      <c r="D2367" s="32" t="s">
        <v>779</v>
      </c>
      <c r="E2367" s="33" t="s">
        <v>780</v>
      </c>
      <c r="F2367" s="34">
        <v>160000</v>
      </c>
      <c r="G2367" s="34">
        <v>160000</v>
      </c>
      <c r="H2367" s="35" t="s">
        <v>859</v>
      </c>
    </row>
    <row r="2368" spans="1:8" ht="27" customHeight="1" x14ac:dyDescent="0.2">
      <c r="A2368" s="31" t="s">
        <v>3417</v>
      </c>
      <c r="B2368" s="32" t="s">
        <v>3418</v>
      </c>
      <c r="C2368" s="32" t="s">
        <v>782</v>
      </c>
      <c r="D2368" s="32" t="s">
        <v>782</v>
      </c>
      <c r="E2368" s="33" t="s">
        <v>784</v>
      </c>
      <c r="F2368" s="34">
        <v>375000</v>
      </c>
      <c r="G2368" s="34">
        <v>375000</v>
      </c>
      <c r="H2368" s="35" t="s">
        <v>859</v>
      </c>
    </row>
    <row r="2369" spans="1:8" ht="27" customHeight="1" x14ac:dyDescent="0.2">
      <c r="A2369" s="31" t="s">
        <v>3422</v>
      </c>
      <c r="B2369" s="32" t="s">
        <v>3423</v>
      </c>
      <c r="C2369" s="32" t="s">
        <v>763</v>
      </c>
      <c r="D2369" s="32" t="s">
        <v>3424</v>
      </c>
      <c r="E2369" s="33" t="s">
        <v>764</v>
      </c>
      <c r="F2369" s="34">
        <v>1000000</v>
      </c>
      <c r="G2369" s="34">
        <v>1000000</v>
      </c>
      <c r="H2369" s="35" t="s">
        <v>3425</v>
      </c>
    </row>
    <row r="2370" spans="1:8" ht="27" customHeight="1" x14ac:dyDescent="0.2">
      <c r="A2370" s="31" t="s">
        <v>3422</v>
      </c>
      <c r="B2370" s="32" t="s">
        <v>3423</v>
      </c>
      <c r="C2370" s="32" t="s">
        <v>770</v>
      </c>
      <c r="D2370" s="32" t="s">
        <v>1011</v>
      </c>
      <c r="E2370" s="33" t="s">
        <v>772</v>
      </c>
      <c r="F2370" s="34">
        <v>1500000</v>
      </c>
      <c r="G2370" s="34">
        <v>1400000</v>
      </c>
      <c r="H2370" s="35" t="s">
        <v>3367</v>
      </c>
    </row>
    <row r="2371" spans="1:8" ht="27" customHeight="1" x14ac:dyDescent="0.2">
      <c r="A2371" s="31" t="s">
        <v>3422</v>
      </c>
      <c r="B2371" s="32" t="s">
        <v>3423</v>
      </c>
      <c r="C2371" s="32" t="s">
        <v>844</v>
      </c>
      <c r="D2371" s="32" t="s">
        <v>844</v>
      </c>
      <c r="E2371" s="33" t="s">
        <v>846</v>
      </c>
      <c r="F2371" s="34">
        <v>100000</v>
      </c>
      <c r="G2371" s="34">
        <v>100000</v>
      </c>
      <c r="H2371" s="35" t="s">
        <v>3425</v>
      </c>
    </row>
    <row r="2372" spans="1:8" ht="27" customHeight="1" x14ac:dyDescent="0.2">
      <c r="A2372" s="31" t="s">
        <v>3422</v>
      </c>
      <c r="B2372" s="32" t="s">
        <v>3423</v>
      </c>
      <c r="C2372" s="32" t="s">
        <v>796</v>
      </c>
      <c r="D2372" s="32" t="s">
        <v>3426</v>
      </c>
      <c r="E2372" s="33" t="s">
        <v>823</v>
      </c>
      <c r="F2372" s="34">
        <v>1250000</v>
      </c>
      <c r="G2372" s="34">
        <v>1150000</v>
      </c>
      <c r="H2372" s="35" t="s">
        <v>3367</v>
      </c>
    </row>
    <row r="2373" spans="1:8" ht="27" customHeight="1" x14ac:dyDescent="0.2">
      <c r="A2373" s="31" t="s">
        <v>3422</v>
      </c>
      <c r="B2373" s="32" t="s">
        <v>3423</v>
      </c>
      <c r="C2373" s="32" t="s">
        <v>776</v>
      </c>
      <c r="D2373" s="32" t="s">
        <v>776</v>
      </c>
      <c r="E2373" s="33" t="s">
        <v>777</v>
      </c>
      <c r="F2373" s="34">
        <v>296943</v>
      </c>
      <c r="G2373" s="34">
        <v>555569</v>
      </c>
      <c r="H2373" s="35" t="s">
        <v>3425</v>
      </c>
    </row>
    <row r="2374" spans="1:8" ht="27" customHeight="1" x14ac:dyDescent="0.2">
      <c r="A2374" s="31" t="s">
        <v>3422</v>
      </c>
      <c r="B2374" s="32" t="s">
        <v>3423</v>
      </c>
      <c r="C2374" s="32" t="s">
        <v>779</v>
      </c>
      <c r="D2374" s="32" t="s">
        <v>779</v>
      </c>
      <c r="E2374" s="33" t="s">
        <v>780</v>
      </c>
      <c r="F2374" s="34">
        <v>200000</v>
      </c>
      <c r="G2374" s="34">
        <v>200000</v>
      </c>
      <c r="H2374" s="35" t="s">
        <v>3425</v>
      </c>
    </row>
    <row r="2375" spans="1:8" ht="27" customHeight="1" x14ac:dyDescent="0.2">
      <c r="A2375" s="31" t="s">
        <v>3422</v>
      </c>
      <c r="B2375" s="32" t="s">
        <v>3423</v>
      </c>
      <c r="C2375" s="32" t="s">
        <v>782</v>
      </c>
      <c r="D2375" s="32" t="s">
        <v>901</v>
      </c>
      <c r="E2375" s="33" t="s">
        <v>784</v>
      </c>
      <c r="F2375" s="34">
        <v>1750000</v>
      </c>
      <c r="G2375" s="34">
        <v>1700000</v>
      </c>
      <c r="H2375" s="35" t="s">
        <v>3427</v>
      </c>
    </row>
    <row r="2376" spans="1:8" ht="27" customHeight="1" x14ac:dyDescent="0.2">
      <c r="A2376" s="31" t="s">
        <v>3428</v>
      </c>
      <c r="B2376" s="32" t="s">
        <v>3429</v>
      </c>
      <c r="C2376" s="32" t="s">
        <v>766</v>
      </c>
      <c r="D2376" s="32" t="s">
        <v>818</v>
      </c>
      <c r="E2376" s="33" t="s">
        <v>768</v>
      </c>
      <c r="F2376" s="34">
        <v>1050759</v>
      </c>
      <c r="G2376" s="34">
        <v>1003872</v>
      </c>
      <c r="H2376" s="35" t="s">
        <v>3430</v>
      </c>
    </row>
    <row r="2377" spans="1:8" ht="27" customHeight="1" x14ac:dyDescent="0.2">
      <c r="A2377" s="31" t="s">
        <v>3428</v>
      </c>
      <c r="B2377" s="32" t="s">
        <v>3429</v>
      </c>
      <c r="C2377" s="32" t="s">
        <v>770</v>
      </c>
      <c r="D2377" s="32" t="s">
        <v>1312</v>
      </c>
      <c r="E2377" s="33" t="s">
        <v>772</v>
      </c>
      <c r="F2377" s="34">
        <v>497582</v>
      </c>
      <c r="G2377" s="34">
        <v>497582</v>
      </c>
      <c r="H2377" s="35" t="s">
        <v>3291</v>
      </c>
    </row>
    <row r="2378" spans="1:8" ht="27" customHeight="1" x14ac:dyDescent="0.2">
      <c r="A2378" s="31" t="s">
        <v>3428</v>
      </c>
      <c r="B2378" s="32" t="s">
        <v>3429</v>
      </c>
      <c r="C2378" s="32" t="s">
        <v>773</v>
      </c>
      <c r="D2378" s="32" t="s">
        <v>973</v>
      </c>
      <c r="E2378" s="33" t="s">
        <v>775</v>
      </c>
      <c r="F2378" s="34">
        <v>501380</v>
      </c>
      <c r="G2378" s="34">
        <v>501380</v>
      </c>
      <c r="H2378" s="35" t="s">
        <v>3431</v>
      </c>
    </row>
    <row r="2379" spans="1:8" ht="27" customHeight="1" x14ac:dyDescent="0.2">
      <c r="A2379" s="31" t="s">
        <v>3428</v>
      </c>
      <c r="B2379" s="32" t="s">
        <v>3429</v>
      </c>
      <c r="C2379" s="32" t="s">
        <v>886</v>
      </c>
      <c r="D2379" s="32" t="s">
        <v>951</v>
      </c>
      <c r="E2379" s="33" t="s">
        <v>887</v>
      </c>
      <c r="F2379" s="34">
        <v>350000</v>
      </c>
      <c r="G2379" s="34">
        <v>350000</v>
      </c>
      <c r="H2379" s="35" t="s">
        <v>3432</v>
      </c>
    </row>
    <row r="2380" spans="1:8" ht="27" customHeight="1" x14ac:dyDescent="0.2">
      <c r="A2380" s="31" t="s">
        <v>3428</v>
      </c>
      <c r="B2380" s="32" t="s">
        <v>3429</v>
      </c>
      <c r="C2380" s="32" t="s">
        <v>860</v>
      </c>
      <c r="D2380" s="32" t="s">
        <v>1027</v>
      </c>
      <c r="E2380" s="33" t="s">
        <v>861</v>
      </c>
      <c r="F2380" s="34">
        <v>583526</v>
      </c>
      <c r="G2380" s="34">
        <v>583526</v>
      </c>
      <c r="H2380" s="35" t="s">
        <v>3433</v>
      </c>
    </row>
    <row r="2381" spans="1:8" ht="27" customHeight="1" x14ac:dyDescent="0.2">
      <c r="A2381" s="31" t="s">
        <v>3428</v>
      </c>
      <c r="B2381" s="32" t="s">
        <v>3429</v>
      </c>
      <c r="C2381" s="32" t="s">
        <v>796</v>
      </c>
      <c r="D2381" s="32" t="s">
        <v>1252</v>
      </c>
      <c r="E2381" s="33" t="s">
        <v>772</v>
      </c>
      <c r="F2381" s="34">
        <v>727424</v>
      </c>
      <c r="G2381" s="34">
        <v>727424</v>
      </c>
      <c r="H2381" s="35" t="s">
        <v>3434</v>
      </c>
    </row>
    <row r="2382" spans="1:8" ht="27" customHeight="1" x14ac:dyDescent="0.2">
      <c r="A2382" s="31" t="s">
        <v>3428</v>
      </c>
      <c r="B2382" s="32" t="s">
        <v>3429</v>
      </c>
      <c r="C2382" s="32" t="s">
        <v>779</v>
      </c>
      <c r="D2382" s="32" t="s">
        <v>826</v>
      </c>
      <c r="E2382" s="33" t="s">
        <v>780</v>
      </c>
      <c r="F2382" s="34">
        <v>178349</v>
      </c>
      <c r="G2382" s="34">
        <v>178349</v>
      </c>
      <c r="H2382" s="35" t="s">
        <v>3435</v>
      </c>
    </row>
    <row r="2383" spans="1:8" ht="27" customHeight="1" x14ac:dyDescent="0.2">
      <c r="A2383" s="31" t="s">
        <v>3436</v>
      </c>
      <c r="B2383" s="32" t="s">
        <v>3437</v>
      </c>
      <c r="C2383" s="32" t="s">
        <v>763</v>
      </c>
      <c r="D2383" s="32" t="s">
        <v>816</v>
      </c>
      <c r="E2383" s="33" t="s">
        <v>764</v>
      </c>
      <c r="F2383" s="34">
        <v>4757801</v>
      </c>
      <c r="G2383" s="34">
        <v>4757801</v>
      </c>
      <c r="H2383" s="35" t="s">
        <v>829</v>
      </c>
    </row>
    <row r="2384" spans="1:8" ht="27" customHeight="1" x14ac:dyDescent="0.2">
      <c r="A2384" s="31" t="s">
        <v>3436</v>
      </c>
      <c r="B2384" s="32" t="s">
        <v>3437</v>
      </c>
      <c r="C2384" s="32" t="s">
        <v>766</v>
      </c>
      <c r="D2384" s="32" t="s">
        <v>1049</v>
      </c>
      <c r="E2384" s="33" t="s">
        <v>768</v>
      </c>
      <c r="F2384" s="34">
        <v>0</v>
      </c>
      <c r="G2384" s="34">
        <v>0</v>
      </c>
      <c r="H2384" s="35" t="s">
        <v>829</v>
      </c>
    </row>
    <row r="2385" spans="1:8" ht="27" customHeight="1" x14ac:dyDescent="0.2">
      <c r="A2385" s="31" t="s">
        <v>3436</v>
      </c>
      <c r="B2385" s="32" t="s">
        <v>3437</v>
      </c>
      <c r="C2385" s="32" t="s">
        <v>770</v>
      </c>
      <c r="D2385" s="32" t="s">
        <v>830</v>
      </c>
      <c r="E2385" s="33" t="s">
        <v>772</v>
      </c>
      <c r="F2385" s="34">
        <v>4492254</v>
      </c>
      <c r="G2385" s="34">
        <v>4492254</v>
      </c>
      <c r="H2385" s="35" t="s">
        <v>829</v>
      </c>
    </row>
    <row r="2386" spans="1:8" ht="27" customHeight="1" x14ac:dyDescent="0.2">
      <c r="A2386" s="31" t="s">
        <v>3436</v>
      </c>
      <c r="B2386" s="32" t="s">
        <v>3437</v>
      </c>
      <c r="C2386" s="32" t="s">
        <v>884</v>
      </c>
      <c r="D2386" s="32" t="s">
        <v>1049</v>
      </c>
      <c r="E2386" s="33" t="s">
        <v>885</v>
      </c>
      <c r="F2386" s="34">
        <v>0</v>
      </c>
      <c r="G2386" s="34">
        <v>0</v>
      </c>
      <c r="H2386" s="35" t="s">
        <v>829</v>
      </c>
    </row>
    <row r="2387" spans="1:8" ht="27" customHeight="1" x14ac:dyDescent="0.2">
      <c r="A2387" s="31" t="s">
        <v>3436</v>
      </c>
      <c r="B2387" s="32" t="s">
        <v>3437</v>
      </c>
      <c r="C2387" s="32" t="s">
        <v>844</v>
      </c>
      <c r="D2387" s="32" t="s">
        <v>1049</v>
      </c>
      <c r="E2387" s="33" t="s">
        <v>846</v>
      </c>
      <c r="F2387" s="34">
        <v>0</v>
      </c>
      <c r="G2387" s="34">
        <v>0</v>
      </c>
      <c r="H2387" s="35" t="s">
        <v>829</v>
      </c>
    </row>
    <row r="2388" spans="1:8" ht="27" customHeight="1" x14ac:dyDescent="0.2">
      <c r="A2388" s="31" t="s">
        <v>3436</v>
      </c>
      <c r="B2388" s="32" t="s">
        <v>3437</v>
      </c>
      <c r="C2388" s="32" t="s">
        <v>773</v>
      </c>
      <c r="D2388" s="32" t="s">
        <v>973</v>
      </c>
      <c r="E2388" s="33" t="s">
        <v>775</v>
      </c>
      <c r="F2388" s="34">
        <v>2811131</v>
      </c>
      <c r="G2388" s="34">
        <v>2811131</v>
      </c>
      <c r="H2388" s="35" t="s">
        <v>829</v>
      </c>
    </row>
    <row r="2389" spans="1:8" ht="27" customHeight="1" x14ac:dyDescent="0.2">
      <c r="A2389" s="31" t="s">
        <v>3436</v>
      </c>
      <c r="B2389" s="32" t="s">
        <v>3437</v>
      </c>
      <c r="C2389" s="32" t="s">
        <v>831</v>
      </c>
      <c r="D2389" s="32" t="s">
        <v>1049</v>
      </c>
      <c r="E2389" s="33" t="s">
        <v>3438</v>
      </c>
      <c r="F2389" s="34">
        <v>0</v>
      </c>
      <c r="G2389" s="34">
        <v>0</v>
      </c>
      <c r="H2389" s="35" t="s">
        <v>829</v>
      </c>
    </row>
    <row r="2390" spans="1:8" ht="27" customHeight="1" x14ac:dyDescent="0.2">
      <c r="A2390" s="31" t="s">
        <v>3436</v>
      </c>
      <c r="B2390" s="32" t="s">
        <v>3437</v>
      </c>
      <c r="C2390" s="32" t="s">
        <v>886</v>
      </c>
      <c r="D2390" s="32" t="s">
        <v>1049</v>
      </c>
      <c r="E2390" s="33" t="s">
        <v>887</v>
      </c>
      <c r="F2390" s="34">
        <v>0</v>
      </c>
      <c r="G2390" s="34">
        <v>0</v>
      </c>
      <c r="H2390" s="35" t="s">
        <v>829</v>
      </c>
    </row>
    <row r="2391" spans="1:8" ht="27" customHeight="1" x14ac:dyDescent="0.2">
      <c r="A2391" s="31" t="s">
        <v>3436</v>
      </c>
      <c r="B2391" s="32" t="s">
        <v>3437</v>
      </c>
      <c r="C2391" s="32" t="s">
        <v>860</v>
      </c>
      <c r="D2391" s="32" t="s">
        <v>1049</v>
      </c>
      <c r="E2391" s="33" t="s">
        <v>861</v>
      </c>
      <c r="F2391" s="34">
        <v>0</v>
      </c>
      <c r="G2391" s="34">
        <v>0</v>
      </c>
      <c r="H2391" s="35" t="s">
        <v>829</v>
      </c>
    </row>
    <row r="2392" spans="1:8" ht="27" customHeight="1" x14ac:dyDescent="0.2">
      <c r="A2392" s="31" t="s">
        <v>3436</v>
      </c>
      <c r="B2392" s="32" t="s">
        <v>3437</v>
      </c>
      <c r="C2392" s="32" t="s">
        <v>796</v>
      </c>
      <c r="D2392" s="32" t="s">
        <v>811</v>
      </c>
      <c r="E2392" s="33" t="s">
        <v>823</v>
      </c>
      <c r="F2392" s="34">
        <v>10676788</v>
      </c>
      <c r="G2392" s="34">
        <v>10676788</v>
      </c>
      <c r="H2392" s="35" t="s">
        <v>3439</v>
      </c>
    </row>
    <row r="2393" spans="1:8" ht="27" customHeight="1" x14ac:dyDescent="0.2">
      <c r="A2393" s="31" t="s">
        <v>3436</v>
      </c>
      <c r="B2393" s="32" t="s">
        <v>3437</v>
      </c>
      <c r="C2393" s="32" t="s">
        <v>776</v>
      </c>
      <c r="D2393" s="32" t="s">
        <v>914</v>
      </c>
      <c r="E2393" s="33" t="s">
        <v>777</v>
      </c>
      <c r="F2393" s="34">
        <v>253972</v>
      </c>
      <c r="G2393" s="34">
        <v>253972</v>
      </c>
      <c r="H2393" s="35" t="s">
        <v>829</v>
      </c>
    </row>
    <row r="2394" spans="1:8" ht="27" customHeight="1" x14ac:dyDescent="0.2">
      <c r="A2394" s="31" t="s">
        <v>3436</v>
      </c>
      <c r="B2394" s="32" t="s">
        <v>3437</v>
      </c>
      <c r="C2394" s="32" t="s">
        <v>798</v>
      </c>
      <c r="D2394" s="32" t="s">
        <v>1049</v>
      </c>
      <c r="E2394" s="33" t="s">
        <v>800</v>
      </c>
      <c r="F2394" s="34">
        <v>0</v>
      </c>
      <c r="G2394" s="34">
        <v>0</v>
      </c>
      <c r="H2394" s="35" t="s">
        <v>829</v>
      </c>
    </row>
    <row r="2395" spans="1:8" ht="27" customHeight="1" x14ac:dyDescent="0.2">
      <c r="A2395" s="31" t="s">
        <v>3436</v>
      </c>
      <c r="B2395" s="32" t="s">
        <v>3437</v>
      </c>
      <c r="C2395" s="32" t="s">
        <v>892</v>
      </c>
      <c r="D2395" s="32" t="s">
        <v>1049</v>
      </c>
      <c r="E2395" s="33" t="s">
        <v>893</v>
      </c>
      <c r="F2395" s="34">
        <v>0</v>
      </c>
      <c r="G2395" s="34">
        <v>0</v>
      </c>
      <c r="H2395" s="35" t="s">
        <v>829</v>
      </c>
    </row>
    <row r="2396" spans="1:8" ht="27" customHeight="1" x14ac:dyDescent="0.2">
      <c r="A2396" s="31" t="s">
        <v>3436</v>
      </c>
      <c r="B2396" s="32" t="s">
        <v>3437</v>
      </c>
      <c r="C2396" s="32" t="s">
        <v>779</v>
      </c>
      <c r="D2396" s="32" t="s">
        <v>826</v>
      </c>
      <c r="E2396" s="33" t="s">
        <v>780</v>
      </c>
      <c r="F2396" s="34">
        <v>1668567</v>
      </c>
      <c r="G2396" s="34">
        <v>1668567</v>
      </c>
      <c r="H2396" s="35" t="s">
        <v>829</v>
      </c>
    </row>
    <row r="2397" spans="1:8" ht="27" customHeight="1" x14ac:dyDescent="0.2">
      <c r="A2397" s="31" t="s">
        <v>3436</v>
      </c>
      <c r="B2397" s="32" t="s">
        <v>3437</v>
      </c>
      <c r="C2397" s="32" t="s">
        <v>782</v>
      </c>
      <c r="D2397" s="32" t="s">
        <v>839</v>
      </c>
      <c r="E2397" s="33" t="s">
        <v>784</v>
      </c>
      <c r="F2397" s="34">
        <v>967397</v>
      </c>
      <c r="G2397" s="34">
        <v>967397</v>
      </c>
      <c r="H2397" s="35" t="s">
        <v>3440</v>
      </c>
    </row>
    <row r="2398" spans="1:8" ht="27" customHeight="1" x14ac:dyDescent="0.2">
      <c r="A2398" s="31" t="s">
        <v>3441</v>
      </c>
      <c r="B2398" s="32" t="s">
        <v>3442</v>
      </c>
      <c r="C2398" s="32" t="s">
        <v>763</v>
      </c>
      <c r="D2398" s="32" t="s">
        <v>3443</v>
      </c>
      <c r="E2398" s="33" t="s">
        <v>764</v>
      </c>
      <c r="F2398" s="34">
        <v>17695</v>
      </c>
      <c r="G2398" s="34">
        <v>2021295</v>
      </c>
      <c r="H2398" s="35" t="s">
        <v>3444</v>
      </c>
    </row>
    <row r="2399" spans="1:8" ht="27" customHeight="1" x14ac:dyDescent="0.2">
      <c r="A2399" s="31" t="s">
        <v>3441</v>
      </c>
      <c r="B2399" s="32" t="s">
        <v>3442</v>
      </c>
      <c r="C2399" s="32" t="s">
        <v>763</v>
      </c>
      <c r="D2399" s="32" t="s">
        <v>3445</v>
      </c>
      <c r="E2399" s="33" t="s">
        <v>764</v>
      </c>
      <c r="F2399" s="34">
        <v>9420000</v>
      </c>
      <c r="G2399" s="34">
        <v>0</v>
      </c>
      <c r="H2399" s="35" t="s">
        <v>3446</v>
      </c>
    </row>
    <row r="2400" spans="1:8" ht="27" customHeight="1" x14ac:dyDescent="0.2">
      <c r="A2400" s="31" t="s">
        <v>3441</v>
      </c>
      <c r="B2400" s="32" t="s">
        <v>3442</v>
      </c>
      <c r="C2400" s="32" t="s">
        <v>766</v>
      </c>
      <c r="D2400" s="32" t="s">
        <v>767</v>
      </c>
      <c r="E2400" s="33" t="s">
        <v>768</v>
      </c>
      <c r="F2400" s="34">
        <v>138488</v>
      </c>
      <c r="G2400" s="34">
        <v>0</v>
      </c>
      <c r="H2400" s="35" t="s">
        <v>3444</v>
      </c>
    </row>
    <row r="2401" spans="1:8" ht="27" customHeight="1" x14ac:dyDescent="0.2">
      <c r="A2401" s="31" t="s">
        <v>3441</v>
      </c>
      <c r="B2401" s="32" t="s">
        <v>3442</v>
      </c>
      <c r="C2401" s="32" t="s">
        <v>770</v>
      </c>
      <c r="D2401" s="32" t="s">
        <v>770</v>
      </c>
      <c r="E2401" s="33" t="s">
        <v>772</v>
      </c>
      <c r="F2401" s="34">
        <v>1986254</v>
      </c>
      <c r="G2401" s="34">
        <v>1962012</v>
      </c>
      <c r="H2401" s="35" t="s">
        <v>3447</v>
      </c>
    </row>
    <row r="2402" spans="1:8" ht="27" customHeight="1" x14ac:dyDescent="0.2">
      <c r="A2402" s="31" t="s">
        <v>3441</v>
      </c>
      <c r="B2402" s="32" t="s">
        <v>3442</v>
      </c>
      <c r="C2402" s="32" t="s">
        <v>796</v>
      </c>
      <c r="D2402" s="32" t="s">
        <v>796</v>
      </c>
      <c r="E2402" s="33" t="s">
        <v>823</v>
      </c>
      <c r="F2402" s="34">
        <v>1955728</v>
      </c>
      <c r="G2402" s="34">
        <v>1976474</v>
      </c>
      <c r="H2402" s="35" t="s">
        <v>3448</v>
      </c>
    </row>
    <row r="2403" spans="1:8" ht="27" customHeight="1" x14ac:dyDescent="0.2">
      <c r="A2403" s="31" t="s">
        <v>3441</v>
      </c>
      <c r="B2403" s="32" t="s">
        <v>3442</v>
      </c>
      <c r="C2403" s="32" t="s">
        <v>776</v>
      </c>
      <c r="D2403" s="32" t="s">
        <v>776</v>
      </c>
      <c r="E2403" s="33" t="s">
        <v>777</v>
      </c>
      <c r="F2403" s="34">
        <v>1028994</v>
      </c>
      <c r="G2403" s="34">
        <v>1029386</v>
      </c>
      <c r="H2403" s="35" t="s">
        <v>3449</v>
      </c>
    </row>
    <row r="2404" spans="1:8" ht="27" customHeight="1" x14ac:dyDescent="0.2">
      <c r="A2404" s="31" t="s">
        <v>3441</v>
      </c>
      <c r="B2404" s="32" t="s">
        <v>3442</v>
      </c>
      <c r="C2404" s="32" t="s">
        <v>779</v>
      </c>
      <c r="D2404" s="32" t="s">
        <v>779</v>
      </c>
      <c r="E2404" s="33" t="s">
        <v>780</v>
      </c>
      <c r="F2404" s="34">
        <v>210933</v>
      </c>
      <c r="G2404" s="34">
        <v>211013</v>
      </c>
      <c r="H2404" s="35" t="s">
        <v>3450</v>
      </c>
    </row>
    <row r="2405" spans="1:8" ht="27" customHeight="1" x14ac:dyDescent="0.2">
      <c r="A2405" s="31" t="s">
        <v>3441</v>
      </c>
      <c r="B2405" s="32" t="s">
        <v>3442</v>
      </c>
      <c r="C2405" s="32" t="s">
        <v>782</v>
      </c>
      <c r="D2405" s="32" t="s">
        <v>782</v>
      </c>
      <c r="E2405" s="33" t="s">
        <v>784</v>
      </c>
      <c r="F2405" s="34">
        <v>1551604</v>
      </c>
      <c r="G2405" s="34">
        <v>1552196</v>
      </c>
      <c r="H2405" s="35" t="s">
        <v>3451</v>
      </c>
    </row>
    <row r="2406" spans="1:8" ht="27" customHeight="1" x14ac:dyDescent="0.2">
      <c r="A2406" s="31" t="s">
        <v>3452</v>
      </c>
      <c r="B2406" s="32" t="s">
        <v>3453</v>
      </c>
      <c r="C2406" s="32" t="s">
        <v>770</v>
      </c>
      <c r="D2406" s="32" t="s">
        <v>770</v>
      </c>
      <c r="E2406" s="33" t="s">
        <v>772</v>
      </c>
      <c r="F2406" s="34">
        <v>236029</v>
      </c>
      <c r="G2406" s="34">
        <v>225000</v>
      </c>
      <c r="H2406" s="35" t="s">
        <v>3454</v>
      </c>
    </row>
    <row r="2407" spans="1:8" ht="27" customHeight="1" x14ac:dyDescent="0.2">
      <c r="A2407" s="31" t="s">
        <v>3452</v>
      </c>
      <c r="B2407" s="32" t="s">
        <v>3453</v>
      </c>
      <c r="C2407" s="32" t="s">
        <v>796</v>
      </c>
      <c r="D2407" s="32" t="s">
        <v>796</v>
      </c>
      <c r="E2407" s="33" t="s">
        <v>823</v>
      </c>
      <c r="F2407" s="34">
        <v>2726745</v>
      </c>
      <c r="G2407" s="34">
        <v>2726745</v>
      </c>
      <c r="H2407" s="35" t="s">
        <v>3455</v>
      </c>
    </row>
    <row r="2408" spans="1:8" ht="27" customHeight="1" x14ac:dyDescent="0.2">
      <c r="A2408" s="31" t="s">
        <v>3452</v>
      </c>
      <c r="B2408" s="32" t="s">
        <v>3453</v>
      </c>
      <c r="C2408" s="32" t="s">
        <v>779</v>
      </c>
      <c r="D2408" s="32" t="s">
        <v>779</v>
      </c>
      <c r="E2408" s="33" t="s">
        <v>780</v>
      </c>
      <c r="F2408" s="34">
        <v>28386</v>
      </c>
      <c r="G2408" s="34">
        <v>27035</v>
      </c>
      <c r="H2408" s="35" t="s">
        <v>3456</v>
      </c>
    </row>
    <row r="2409" spans="1:8" ht="27" customHeight="1" x14ac:dyDescent="0.2">
      <c r="A2409" s="31" t="s">
        <v>3457</v>
      </c>
      <c r="B2409" s="32" t="s">
        <v>3458</v>
      </c>
      <c r="C2409" s="32" t="s">
        <v>763</v>
      </c>
      <c r="D2409" s="32" t="s">
        <v>763</v>
      </c>
      <c r="E2409" s="33" t="s">
        <v>764</v>
      </c>
      <c r="F2409" s="34">
        <v>1600963</v>
      </c>
      <c r="G2409" s="34">
        <v>2000000</v>
      </c>
      <c r="H2409" s="35" t="s">
        <v>3459</v>
      </c>
    </row>
    <row r="2410" spans="1:8" ht="27" customHeight="1" x14ac:dyDescent="0.2">
      <c r="A2410" s="31" t="s">
        <v>3457</v>
      </c>
      <c r="B2410" s="32" t="s">
        <v>3458</v>
      </c>
      <c r="C2410" s="32" t="s">
        <v>766</v>
      </c>
      <c r="D2410" s="32" t="s">
        <v>808</v>
      </c>
      <c r="E2410" s="33" t="s">
        <v>768</v>
      </c>
      <c r="F2410" s="34">
        <v>461749</v>
      </c>
      <c r="G2410" s="34">
        <v>461749</v>
      </c>
      <c r="H2410" s="35" t="s">
        <v>3460</v>
      </c>
    </row>
    <row r="2411" spans="1:8" ht="27" customHeight="1" x14ac:dyDescent="0.2">
      <c r="A2411" s="31" t="s">
        <v>3457</v>
      </c>
      <c r="B2411" s="32" t="s">
        <v>3458</v>
      </c>
      <c r="C2411" s="32" t="s">
        <v>770</v>
      </c>
      <c r="D2411" s="32" t="s">
        <v>770</v>
      </c>
      <c r="E2411" s="33" t="s">
        <v>772</v>
      </c>
      <c r="F2411" s="34">
        <v>490101</v>
      </c>
      <c r="G2411" s="34">
        <v>470000</v>
      </c>
      <c r="H2411" s="35" t="s">
        <v>3461</v>
      </c>
    </row>
    <row r="2412" spans="1:8" ht="27" customHeight="1" x14ac:dyDescent="0.2">
      <c r="A2412" s="31" t="s">
        <v>3457</v>
      </c>
      <c r="B2412" s="32" t="s">
        <v>3458</v>
      </c>
      <c r="C2412" s="32" t="s">
        <v>884</v>
      </c>
      <c r="D2412" s="32" t="s">
        <v>1365</v>
      </c>
      <c r="E2412" s="33" t="s">
        <v>885</v>
      </c>
      <c r="F2412" s="34">
        <v>0</v>
      </c>
      <c r="G2412" s="34">
        <v>0</v>
      </c>
      <c r="H2412" s="35" t="s">
        <v>765</v>
      </c>
    </row>
    <row r="2413" spans="1:8" ht="27" customHeight="1" x14ac:dyDescent="0.2">
      <c r="A2413" s="31" t="s">
        <v>3457</v>
      </c>
      <c r="B2413" s="32" t="s">
        <v>3458</v>
      </c>
      <c r="C2413" s="32" t="s">
        <v>844</v>
      </c>
      <c r="D2413" s="32" t="s">
        <v>844</v>
      </c>
      <c r="E2413" s="33" t="s">
        <v>846</v>
      </c>
      <c r="F2413" s="34">
        <v>0</v>
      </c>
      <c r="G2413" s="34">
        <v>0</v>
      </c>
      <c r="H2413" s="35" t="s">
        <v>765</v>
      </c>
    </row>
    <row r="2414" spans="1:8" ht="27" customHeight="1" x14ac:dyDescent="0.2">
      <c r="A2414" s="31" t="s">
        <v>3457</v>
      </c>
      <c r="B2414" s="32" t="s">
        <v>3458</v>
      </c>
      <c r="C2414" s="32" t="s">
        <v>831</v>
      </c>
      <c r="D2414" s="32" t="s">
        <v>3462</v>
      </c>
      <c r="E2414" s="33" t="s">
        <v>3463</v>
      </c>
      <c r="F2414" s="34">
        <v>0</v>
      </c>
      <c r="G2414" s="34">
        <v>300000</v>
      </c>
      <c r="H2414" s="35" t="s">
        <v>3464</v>
      </c>
    </row>
    <row r="2415" spans="1:8" ht="27" customHeight="1" x14ac:dyDescent="0.2">
      <c r="A2415" s="31" t="s">
        <v>3457</v>
      </c>
      <c r="B2415" s="32" t="s">
        <v>3458</v>
      </c>
      <c r="C2415" s="32" t="s">
        <v>860</v>
      </c>
      <c r="D2415" s="32" t="s">
        <v>860</v>
      </c>
      <c r="E2415" s="33" t="s">
        <v>861</v>
      </c>
      <c r="F2415" s="34">
        <v>0</v>
      </c>
      <c r="G2415" s="34">
        <v>0</v>
      </c>
      <c r="H2415" s="35" t="s">
        <v>3465</v>
      </c>
    </row>
    <row r="2416" spans="1:8" ht="27" customHeight="1" x14ac:dyDescent="0.2">
      <c r="A2416" s="31" t="s">
        <v>3457</v>
      </c>
      <c r="B2416" s="32" t="s">
        <v>3458</v>
      </c>
      <c r="C2416" s="32" t="s">
        <v>796</v>
      </c>
      <c r="D2416" s="32" t="s">
        <v>796</v>
      </c>
      <c r="E2416" s="33" t="s">
        <v>823</v>
      </c>
      <c r="F2416" s="34">
        <v>1458395</v>
      </c>
      <c r="G2416" s="34">
        <v>1217437</v>
      </c>
      <c r="H2416" s="35" t="s">
        <v>3466</v>
      </c>
    </row>
    <row r="2417" spans="1:8" ht="27" customHeight="1" x14ac:dyDescent="0.2">
      <c r="A2417" s="31" t="s">
        <v>3457</v>
      </c>
      <c r="B2417" s="32" t="s">
        <v>3458</v>
      </c>
      <c r="C2417" s="32" t="s">
        <v>776</v>
      </c>
      <c r="D2417" s="32" t="s">
        <v>3467</v>
      </c>
      <c r="E2417" s="33" t="s">
        <v>777</v>
      </c>
      <c r="F2417" s="34">
        <v>63102</v>
      </c>
      <c r="G2417" s="34">
        <v>100000</v>
      </c>
      <c r="H2417" s="35" t="s">
        <v>3468</v>
      </c>
    </row>
    <row r="2418" spans="1:8" ht="27" customHeight="1" x14ac:dyDescent="0.2">
      <c r="A2418" s="31" t="s">
        <v>3457</v>
      </c>
      <c r="B2418" s="32" t="s">
        <v>3458</v>
      </c>
      <c r="C2418" s="32" t="s">
        <v>798</v>
      </c>
      <c r="D2418" s="32" t="s">
        <v>1014</v>
      </c>
      <c r="E2418" s="33" t="s">
        <v>800</v>
      </c>
      <c r="F2418" s="34">
        <v>99042</v>
      </c>
      <c r="G2418" s="34">
        <v>0</v>
      </c>
      <c r="H2418" s="35" t="s">
        <v>3469</v>
      </c>
    </row>
    <row r="2419" spans="1:8" ht="27" customHeight="1" x14ac:dyDescent="0.2">
      <c r="A2419" s="31" t="s">
        <v>3457</v>
      </c>
      <c r="B2419" s="32" t="s">
        <v>3458</v>
      </c>
      <c r="C2419" s="32" t="s">
        <v>892</v>
      </c>
      <c r="D2419" s="32" t="s">
        <v>1226</v>
      </c>
      <c r="E2419" s="33" t="s">
        <v>893</v>
      </c>
      <c r="F2419" s="34">
        <v>0</v>
      </c>
      <c r="G2419" s="34">
        <v>0</v>
      </c>
      <c r="H2419" s="35" t="s">
        <v>765</v>
      </c>
    </row>
    <row r="2420" spans="1:8" ht="27" customHeight="1" x14ac:dyDescent="0.2">
      <c r="A2420" s="31" t="s">
        <v>3457</v>
      </c>
      <c r="B2420" s="32" t="s">
        <v>3458</v>
      </c>
      <c r="C2420" s="32" t="s">
        <v>779</v>
      </c>
      <c r="D2420" s="32" t="s">
        <v>802</v>
      </c>
      <c r="E2420" s="33" t="s">
        <v>780</v>
      </c>
      <c r="F2420" s="34">
        <v>162007</v>
      </c>
      <c r="G2420" s="34">
        <v>155000</v>
      </c>
      <c r="H2420" s="35" t="s">
        <v>3470</v>
      </c>
    </row>
    <row r="2421" spans="1:8" ht="27" customHeight="1" x14ac:dyDescent="0.2">
      <c r="A2421" s="31" t="s">
        <v>3457</v>
      </c>
      <c r="B2421" s="32" t="s">
        <v>3458</v>
      </c>
      <c r="C2421" s="32" t="s">
        <v>782</v>
      </c>
      <c r="D2421" s="32" t="s">
        <v>901</v>
      </c>
      <c r="E2421" s="33" t="s">
        <v>784</v>
      </c>
      <c r="F2421" s="34">
        <v>0</v>
      </c>
      <c r="G2421" s="34">
        <v>0</v>
      </c>
      <c r="H2421" s="35" t="s">
        <v>765</v>
      </c>
    </row>
    <row r="2422" spans="1:8" ht="27" customHeight="1" x14ac:dyDescent="0.2">
      <c r="A2422" s="31" t="s">
        <v>3471</v>
      </c>
      <c r="B2422" s="32" t="s">
        <v>3472</v>
      </c>
      <c r="C2422" s="32" t="s">
        <v>763</v>
      </c>
      <c r="D2422" s="32" t="s">
        <v>763</v>
      </c>
      <c r="E2422" s="33" t="s">
        <v>764</v>
      </c>
      <c r="F2422" s="34">
        <v>2174904</v>
      </c>
      <c r="G2422" s="34">
        <v>2174904</v>
      </c>
      <c r="H2422" s="35" t="s">
        <v>3473</v>
      </c>
    </row>
    <row r="2423" spans="1:8" ht="27" customHeight="1" x14ac:dyDescent="0.2">
      <c r="A2423" s="31" t="s">
        <v>3471</v>
      </c>
      <c r="B2423" s="32" t="s">
        <v>3472</v>
      </c>
      <c r="C2423" s="32" t="s">
        <v>766</v>
      </c>
      <c r="D2423" s="32" t="s">
        <v>808</v>
      </c>
      <c r="E2423" s="33" t="s">
        <v>768</v>
      </c>
      <c r="F2423" s="34">
        <v>0</v>
      </c>
      <c r="G2423" s="34">
        <v>0</v>
      </c>
      <c r="H2423" s="35" t="s">
        <v>3474</v>
      </c>
    </row>
    <row r="2424" spans="1:8" ht="27" customHeight="1" x14ac:dyDescent="0.2">
      <c r="A2424" s="31" t="s">
        <v>3471</v>
      </c>
      <c r="B2424" s="32" t="s">
        <v>3472</v>
      </c>
      <c r="C2424" s="32" t="s">
        <v>770</v>
      </c>
      <c r="D2424" s="32" t="s">
        <v>770</v>
      </c>
      <c r="E2424" s="33" t="s">
        <v>772</v>
      </c>
      <c r="F2424" s="34">
        <v>2667887</v>
      </c>
      <c r="G2424" s="34">
        <v>2667887</v>
      </c>
      <c r="H2424" s="35" t="s">
        <v>3475</v>
      </c>
    </row>
    <row r="2425" spans="1:8" ht="27" customHeight="1" x14ac:dyDescent="0.2">
      <c r="A2425" s="31" t="s">
        <v>3471</v>
      </c>
      <c r="B2425" s="32" t="s">
        <v>3472</v>
      </c>
      <c r="C2425" s="32" t="s">
        <v>884</v>
      </c>
      <c r="D2425" s="32" t="s">
        <v>1365</v>
      </c>
      <c r="E2425" s="33" t="s">
        <v>885</v>
      </c>
      <c r="F2425" s="34">
        <v>0</v>
      </c>
      <c r="G2425" s="34">
        <v>0</v>
      </c>
      <c r="H2425" s="35" t="s">
        <v>3476</v>
      </c>
    </row>
    <row r="2426" spans="1:8" ht="27" customHeight="1" x14ac:dyDescent="0.2">
      <c r="A2426" s="31" t="s">
        <v>3471</v>
      </c>
      <c r="B2426" s="32" t="s">
        <v>3472</v>
      </c>
      <c r="C2426" s="32" t="s">
        <v>844</v>
      </c>
      <c r="D2426" s="32" t="s">
        <v>844</v>
      </c>
      <c r="E2426" s="33" t="s">
        <v>846</v>
      </c>
      <c r="F2426" s="34">
        <v>0</v>
      </c>
      <c r="G2426" s="34">
        <v>0</v>
      </c>
      <c r="H2426" s="35" t="s">
        <v>3477</v>
      </c>
    </row>
    <row r="2427" spans="1:8" ht="27" customHeight="1" x14ac:dyDescent="0.2">
      <c r="A2427" s="31" t="s">
        <v>3471</v>
      </c>
      <c r="B2427" s="32" t="s">
        <v>3472</v>
      </c>
      <c r="C2427" s="32" t="s">
        <v>773</v>
      </c>
      <c r="D2427" s="32" t="s">
        <v>773</v>
      </c>
      <c r="E2427" s="33" t="s">
        <v>775</v>
      </c>
      <c r="F2427" s="34">
        <v>3218040</v>
      </c>
      <c r="G2427" s="34">
        <v>3218040</v>
      </c>
      <c r="H2427" s="35" t="s">
        <v>3478</v>
      </c>
    </row>
    <row r="2428" spans="1:8" ht="27" customHeight="1" x14ac:dyDescent="0.2">
      <c r="A2428" s="31" t="s">
        <v>3471</v>
      </c>
      <c r="B2428" s="32" t="s">
        <v>3472</v>
      </c>
      <c r="C2428" s="32" t="s">
        <v>886</v>
      </c>
      <c r="D2428" s="32" t="s">
        <v>886</v>
      </c>
      <c r="E2428" s="33" t="s">
        <v>887</v>
      </c>
      <c r="F2428" s="34">
        <v>0</v>
      </c>
      <c r="G2428" s="34">
        <v>0</v>
      </c>
      <c r="H2428" s="35" t="s">
        <v>3479</v>
      </c>
    </row>
    <row r="2429" spans="1:8" ht="27" customHeight="1" x14ac:dyDescent="0.2">
      <c r="A2429" s="31" t="s">
        <v>3471</v>
      </c>
      <c r="B2429" s="32" t="s">
        <v>3472</v>
      </c>
      <c r="C2429" s="32" t="s">
        <v>860</v>
      </c>
      <c r="D2429" s="32" t="s">
        <v>860</v>
      </c>
      <c r="E2429" s="33" t="s">
        <v>861</v>
      </c>
      <c r="F2429" s="34">
        <v>0</v>
      </c>
      <c r="G2429" s="34">
        <v>0</v>
      </c>
      <c r="H2429" s="35" t="s">
        <v>3480</v>
      </c>
    </row>
    <row r="2430" spans="1:8" ht="27" customHeight="1" x14ac:dyDescent="0.2">
      <c r="A2430" s="31" t="s">
        <v>3471</v>
      </c>
      <c r="B2430" s="32" t="s">
        <v>3472</v>
      </c>
      <c r="C2430" s="32" t="s">
        <v>796</v>
      </c>
      <c r="D2430" s="32" t="s">
        <v>796</v>
      </c>
      <c r="E2430" s="33" t="s">
        <v>823</v>
      </c>
      <c r="F2430" s="34">
        <v>3125309</v>
      </c>
      <c r="G2430" s="34">
        <v>3125309</v>
      </c>
      <c r="H2430" s="35" t="s">
        <v>3481</v>
      </c>
    </row>
    <row r="2431" spans="1:8" ht="27" customHeight="1" x14ac:dyDescent="0.2">
      <c r="A2431" s="31" t="s">
        <v>3471</v>
      </c>
      <c r="B2431" s="32" t="s">
        <v>3472</v>
      </c>
      <c r="C2431" s="32" t="s">
        <v>776</v>
      </c>
      <c r="D2431" s="32" t="s">
        <v>776</v>
      </c>
      <c r="E2431" s="33" t="s">
        <v>777</v>
      </c>
      <c r="F2431" s="34">
        <v>1488700</v>
      </c>
      <c r="G2431" s="34">
        <v>1488700</v>
      </c>
      <c r="H2431" s="35" t="s">
        <v>3482</v>
      </c>
    </row>
    <row r="2432" spans="1:8" ht="27" customHeight="1" x14ac:dyDescent="0.2">
      <c r="A2432" s="31" t="s">
        <v>3471</v>
      </c>
      <c r="B2432" s="32" t="s">
        <v>3472</v>
      </c>
      <c r="C2432" s="32" t="s">
        <v>798</v>
      </c>
      <c r="D2432" s="32" t="s">
        <v>1014</v>
      </c>
      <c r="E2432" s="33" t="s">
        <v>800</v>
      </c>
      <c r="F2432" s="34">
        <v>0</v>
      </c>
      <c r="G2432" s="34">
        <v>0</v>
      </c>
      <c r="H2432" s="35" t="s">
        <v>3483</v>
      </c>
    </row>
    <row r="2433" spans="1:8" ht="27" customHeight="1" x14ac:dyDescent="0.2">
      <c r="A2433" s="31" t="s">
        <v>3471</v>
      </c>
      <c r="B2433" s="32" t="s">
        <v>3472</v>
      </c>
      <c r="C2433" s="32" t="s">
        <v>892</v>
      </c>
      <c r="D2433" s="32" t="s">
        <v>1226</v>
      </c>
      <c r="E2433" s="33" t="s">
        <v>893</v>
      </c>
      <c r="F2433" s="34">
        <v>0</v>
      </c>
      <c r="G2433" s="34">
        <v>0</v>
      </c>
      <c r="H2433" s="35" t="s">
        <v>3484</v>
      </c>
    </row>
    <row r="2434" spans="1:8" ht="27" customHeight="1" x14ac:dyDescent="0.2">
      <c r="A2434" s="31" t="s">
        <v>3471</v>
      </c>
      <c r="B2434" s="32" t="s">
        <v>3472</v>
      </c>
      <c r="C2434" s="32" t="s">
        <v>779</v>
      </c>
      <c r="D2434" s="32" t="s">
        <v>779</v>
      </c>
      <c r="E2434" s="33" t="s">
        <v>780</v>
      </c>
      <c r="F2434" s="34">
        <v>50000</v>
      </c>
      <c r="G2434" s="34">
        <v>50000</v>
      </c>
      <c r="H2434" s="35" t="s">
        <v>3485</v>
      </c>
    </row>
    <row r="2435" spans="1:8" ht="27" customHeight="1" x14ac:dyDescent="0.2">
      <c r="A2435" s="31" t="s">
        <v>3471</v>
      </c>
      <c r="B2435" s="32" t="s">
        <v>3472</v>
      </c>
      <c r="C2435" s="32" t="s">
        <v>782</v>
      </c>
      <c r="D2435" s="32" t="s">
        <v>3486</v>
      </c>
      <c r="E2435" s="33" t="s">
        <v>784</v>
      </c>
      <c r="F2435" s="34">
        <v>570215</v>
      </c>
      <c r="G2435" s="34">
        <v>570215</v>
      </c>
      <c r="H2435" s="35" t="s">
        <v>3487</v>
      </c>
    </row>
    <row r="2436" spans="1:8" ht="27" customHeight="1" x14ac:dyDescent="0.2">
      <c r="A2436" s="31" t="s">
        <v>3488</v>
      </c>
      <c r="B2436" s="32" t="s">
        <v>3489</v>
      </c>
      <c r="C2436" s="32" t="s">
        <v>763</v>
      </c>
      <c r="D2436" s="32" t="s">
        <v>3490</v>
      </c>
      <c r="E2436" s="33" t="s">
        <v>764</v>
      </c>
      <c r="F2436" s="34">
        <v>1204560</v>
      </c>
      <c r="G2436" s="34">
        <v>1506038</v>
      </c>
      <c r="H2436" s="35" t="s">
        <v>2371</v>
      </c>
    </row>
    <row r="2437" spans="1:8" ht="27" customHeight="1" x14ac:dyDescent="0.2">
      <c r="A2437" s="31" t="s">
        <v>3488</v>
      </c>
      <c r="B2437" s="32" t="s">
        <v>3489</v>
      </c>
      <c r="C2437" s="32" t="s">
        <v>770</v>
      </c>
      <c r="D2437" s="32" t="s">
        <v>3491</v>
      </c>
      <c r="E2437" s="33" t="s">
        <v>772</v>
      </c>
      <c r="F2437" s="34">
        <v>167613</v>
      </c>
      <c r="G2437" s="34">
        <v>197820</v>
      </c>
      <c r="H2437" s="35" t="s">
        <v>3492</v>
      </c>
    </row>
    <row r="2438" spans="1:8" ht="27" customHeight="1" x14ac:dyDescent="0.2">
      <c r="A2438" s="31" t="s">
        <v>3488</v>
      </c>
      <c r="B2438" s="32" t="s">
        <v>3489</v>
      </c>
      <c r="C2438" s="32" t="s">
        <v>860</v>
      </c>
      <c r="D2438" s="32" t="s">
        <v>3493</v>
      </c>
      <c r="E2438" s="33" t="s">
        <v>861</v>
      </c>
      <c r="F2438" s="34">
        <v>500797</v>
      </c>
      <c r="G2438" s="34">
        <v>451415</v>
      </c>
      <c r="H2438" s="35" t="s">
        <v>3494</v>
      </c>
    </row>
    <row r="2439" spans="1:8" ht="27" customHeight="1" x14ac:dyDescent="0.2">
      <c r="A2439" s="31" t="s">
        <v>3488</v>
      </c>
      <c r="B2439" s="32" t="s">
        <v>3489</v>
      </c>
      <c r="C2439" s="32" t="s">
        <v>779</v>
      </c>
      <c r="D2439" s="32" t="s">
        <v>927</v>
      </c>
      <c r="E2439" s="33" t="s">
        <v>780</v>
      </c>
      <c r="F2439" s="34">
        <v>25040</v>
      </c>
      <c r="G2439" s="34">
        <v>25072</v>
      </c>
      <c r="H2439" s="35" t="s">
        <v>3492</v>
      </c>
    </row>
    <row r="2440" spans="1:8" ht="27" customHeight="1" x14ac:dyDescent="0.2">
      <c r="A2440" s="31" t="s">
        <v>3488</v>
      </c>
      <c r="B2440" s="32" t="s">
        <v>3489</v>
      </c>
      <c r="C2440" s="32" t="s">
        <v>782</v>
      </c>
      <c r="D2440" s="32" t="s">
        <v>3495</v>
      </c>
      <c r="E2440" s="33" t="s">
        <v>784</v>
      </c>
      <c r="F2440" s="34">
        <v>226945</v>
      </c>
      <c r="G2440" s="34">
        <v>262225</v>
      </c>
      <c r="H2440" s="35" t="s">
        <v>3496</v>
      </c>
    </row>
    <row r="2441" spans="1:8" ht="27" customHeight="1" x14ac:dyDescent="0.2">
      <c r="A2441" s="31" t="s">
        <v>3497</v>
      </c>
      <c r="B2441" s="32" t="s">
        <v>3498</v>
      </c>
      <c r="C2441" s="32" t="s">
        <v>763</v>
      </c>
      <c r="D2441" s="32" t="s">
        <v>3499</v>
      </c>
      <c r="E2441" s="33" t="s">
        <v>764</v>
      </c>
      <c r="F2441" s="34">
        <v>375000</v>
      </c>
      <c r="G2441" s="34">
        <v>375000</v>
      </c>
      <c r="H2441" s="35" t="s">
        <v>1261</v>
      </c>
    </row>
    <row r="2442" spans="1:8" ht="27" customHeight="1" x14ac:dyDescent="0.2">
      <c r="A2442" s="31" t="s">
        <v>3497</v>
      </c>
      <c r="B2442" s="32" t="s">
        <v>3498</v>
      </c>
      <c r="C2442" s="32" t="s">
        <v>763</v>
      </c>
      <c r="D2442" s="32" t="s">
        <v>3500</v>
      </c>
      <c r="E2442" s="33" t="s">
        <v>764</v>
      </c>
      <c r="F2442" s="34">
        <v>0</v>
      </c>
      <c r="G2442" s="34">
        <v>665130</v>
      </c>
      <c r="H2442" s="35" t="s">
        <v>3501</v>
      </c>
    </row>
    <row r="2443" spans="1:8" ht="27" customHeight="1" x14ac:dyDescent="0.2">
      <c r="A2443" s="31" t="s">
        <v>3497</v>
      </c>
      <c r="B2443" s="32" t="s">
        <v>3498</v>
      </c>
      <c r="C2443" s="32" t="s">
        <v>763</v>
      </c>
      <c r="D2443" s="32" t="s">
        <v>3502</v>
      </c>
      <c r="E2443" s="33" t="s">
        <v>764</v>
      </c>
      <c r="F2443" s="34">
        <v>1922875</v>
      </c>
      <c r="G2443" s="34">
        <v>2500000</v>
      </c>
      <c r="H2443" s="35" t="s">
        <v>1261</v>
      </c>
    </row>
    <row r="2444" spans="1:8" ht="27" customHeight="1" x14ac:dyDescent="0.2">
      <c r="A2444" s="31" t="s">
        <v>3497</v>
      </c>
      <c r="B2444" s="32" t="s">
        <v>3498</v>
      </c>
      <c r="C2444" s="32" t="s">
        <v>770</v>
      </c>
      <c r="D2444" s="32" t="s">
        <v>770</v>
      </c>
      <c r="E2444" s="33" t="s">
        <v>772</v>
      </c>
      <c r="F2444" s="34">
        <v>585422</v>
      </c>
      <c r="G2444" s="34">
        <v>585422</v>
      </c>
      <c r="H2444" s="35" t="s">
        <v>1261</v>
      </c>
    </row>
    <row r="2445" spans="1:8" ht="27" customHeight="1" x14ac:dyDescent="0.2">
      <c r="A2445" s="31" t="s">
        <v>3497</v>
      </c>
      <c r="B2445" s="32" t="s">
        <v>3498</v>
      </c>
      <c r="C2445" s="32" t="s">
        <v>860</v>
      </c>
      <c r="D2445" s="32" t="s">
        <v>3503</v>
      </c>
      <c r="E2445" s="33" t="s">
        <v>861</v>
      </c>
      <c r="F2445" s="34">
        <v>5000</v>
      </c>
      <c r="G2445" s="34">
        <v>5000</v>
      </c>
      <c r="H2445" s="35" t="s">
        <v>1261</v>
      </c>
    </row>
    <row r="2446" spans="1:8" ht="27" customHeight="1" x14ac:dyDescent="0.2">
      <c r="A2446" s="31" t="s">
        <v>3497</v>
      </c>
      <c r="B2446" s="32" t="s">
        <v>3498</v>
      </c>
      <c r="C2446" s="32" t="s">
        <v>796</v>
      </c>
      <c r="D2446" s="32" t="s">
        <v>796</v>
      </c>
      <c r="E2446" s="33" t="s">
        <v>772</v>
      </c>
      <c r="F2446" s="34">
        <v>2068000</v>
      </c>
      <c r="G2446" s="34">
        <v>2068000</v>
      </c>
      <c r="H2446" s="35" t="s">
        <v>1261</v>
      </c>
    </row>
    <row r="2447" spans="1:8" ht="27" customHeight="1" x14ac:dyDescent="0.2">
      <c r="A2447" s="31" t="s">
        <v>3497</v>
      </c>
      <c r="B2447" s="32" t="s">
        <v>3498</v>
      </c>
      <c r="C2447" s="32" t="s">
        <v>776</v>
      </c>
      <c r="D2447" s="32" t="s">
        <v>3500</v>
      </c>
      <c r="E2447" s="33" t="s">
        <v>777</v>
      </c>
      <c r="F2447" s="34">
        <v>0</v>
      </c>
      <c r="G2447" s="34">
        <v>50000</v>
      </c>
      <c r="H2447" s="35" t="s">
        <v>3501</v>
      </c>
    </row>
    <row r="2448" spans="1:8" ht="27" customHeight="1" x14ac:dyDescent="0.2">
      <c r="A2448" s="31" t="s">
        <v>3504</v>
      </c>
      <c r="B2448" s="32" t="s">
        <v>3505</v>
      </c>
      <c r="C2448" s="32" t="s">
        <v>763</v>
      </c>
      <c r="D2448" s="32" t="s">
        <v>816</v>
      </c>
      <c r="E2448" s="33" t="s">
        <v>764</v>
      </c>
      <c r="F2448" s="34">
        <v>1341470</v>
      </c>
      <c r="G2448" s="34">
        <v>1341470</v>
      </c>
      <c r="H2448" s="35" t="s">
        <v>3506</v>
      </c>
    </row>
    <row r="2449" spans="1:8" ht="27" customHeight="1" x14ac:dyDescent="0.2">
      <c r="A2449" s="31" t="s">
        <v>3504</v>
      </c>
      <c r="B2449" s="32" t="s">
        <v>3505</v>
      </c>
      <c r="C2449" s="32" t="s">
        <v>770</v>
      </c>
      <c r="D2449" s="32" t="s">
        <v>919</v>
      </c>
      <c r="E2449" s="33" t="s">
        <v>772</v>
      </c>
      <c r="F2449" s="34">
        <v>30938</v>
      </c>
      <c r="G2449" s="34">
        <v>100938</v>
      </c>
      <c r="H2449" s="35" t="s">
        <v>3507</v>
      </c>
    </row>
    <row r="2450" spans="1:8" ht="27" customHeight="1" x14ac:dyDescent="0.2">
      <c r="A2450" s="31" t="s">
        <v>3504</v>
      </c>
      <c r="B2450" s="32" t="s">
        <v>3505</v>
      </c>
      <c r="C2450" s="32" t="s">
        <v>860</v>
      </c>
      <c r="D2450" s="32" t="s">
        <v>911</v>
      </c>
      <c r="E2450" s="33" t="s">
        <v>861</v>
      </c>
      <c r="F2450" s="34">
        <v>1510898</v>
      </c>
      <c r="G2450" s="34">
        <v>976398</v>
      </c>
      <c r="H2450" s="35" t="s">
        <v>3506</v>
      </c>
    </row>
    <row r="2451" spans="1:8" ht="27" customHeight="1" x14ac:dyDescent="0.2">
      <c r="A2451" s="31" t="s">
        <v>3504</v>
      </c>
      <c r="B2451" s="32" t="s">
        <v>3505</v>
      </c>
      <c r="C2451" s="32" t="s">
        <v>796</v>
      </c>
      <c r="D2451" s="32" t="s">
        <v>1095</v>
      </c>
      <c r="E2451" s="33" t="s">
        <v>772</v>
      </c>
      <c r="F2451" s="34">
        <v>1194946</v>
      </c>
      <c r="G2451" s="34">
        <v>1194946</v>
      </c>
      <c r="H2451" s="35" t="s">
        <v>3508</v>
      </c>
    </row>
    <row r="2452" spans="1:8" ht="27" customHeight="1" x14ac:dyDescent="0.2">
      <c r="A2452" s="31" t="s">
        <v>3504</v>
      </c>
      <c r="B2452" s="32" t="s">
        <v>3505</v>
      </c>
      <c r="C2452" s="32" t="s">
        <v>776</v>
      </c>
      <c r="D2452" s="32" t="s">
        <v>812</v>
      </c>
      <c r="E2452" s="33" t="s">
        <v>777</v>
      </c>
      <c r="F2452" s="34">
        <v>43445</v>
      </c>
      <c r="G2452" s="34">
        <v>15754</v>
      </c>
      <c r="H2452" s="35" t="s">
        <v>3508</v>
      </c>
    </row>
    <row r="2453" spans="1:8" ht="27" customHeight="1" x14ac:dyDescent="0.2">
      <c r="A2453" s="31" t="s">
        <v>3504</v>
      </c>
      <c r="B2453" s="32" t="s">
        <v>3505</v>
      </c>
      <c r="C2453" s="32" t="s">
        <v>779</v>
      </c>
      <c r="D2453" s="32" t="s">
        <v>1126</v>
      </c>
      <c r="E2453" s="33" t="s">
        <v>780</v>
      </c>
      <c r="F2453" s="34">
        <v>982684</v>
      </c>
      <c r="G2453" s="34">
        <v>982684</v>
      </c>
      <c r="H2453" s="35" t="s">
        <v>3508</v>
      </c>
    </row>
    <row r="2454" spans="1:8" ht="27" customHeight="1" x14ac:dyDescent="0.2">
      <c r="A2454" s="31" t="s">
        <v>3504</v>
      </c>
      <c r="B2454" s="32" t="s">
        <v>3505</v>
      </c>
      <c r="C2454" s="32" t="s">
        <v>782</v>
      </c>
      <c r="D2454" s="32" t="s">
        <v>839</v>
      </c>
      <c r="E2454" s="33" t="s">
        <v>784</v>
      </c>
      <c r="F2454" s="34">
        <v>137656</v>
      </c>
      <c r="G2454" s="34">
        <v>137656</v>
      </c>
      <c r="H2454" s="35" t="s">
        <v>3508</v>
      </c>
    </row>
    <row r="2455" spans="1:8" ht="27" customHeight="1" x14ac:dyDescent="0.2">
      <c r="A2455" s="31" t="s">
        <v>3509</v>
      </c>
      <c r="B2455" s="32" t="s">
        <v>3510</v>
      </c>
      <c r="C2455" s="32" t="s">
        <v>763</v>
      </c>
      <c r="D2455" s="32" t="s">
        <v>3511</v>
      </c>
      <c r="E2455" s="33" t="s">
        <v>764</v>
      </c>
      <c r="F2455" s="34">
        <v>998609</v>
      </c>
      <c r="G2455" s="34">
        <v>1098609</v>
      </c>
      <c r="H2455" s="35" t="s">
        <v>3512</v>
      </c>
    </row>
    <row r="2456" spans="1:8" ht="27" customHeight="1" x14ac:dyDescent="0.2">
      <c r="A2456" s="31" t="s">
        <v>3509</v>
      </c>
      <c r="B2456" s="32" t="s">
        <v>3510</v>
      </c>
      <c r="C2456" s="32" t="s">
        <v>763</v>
      </c>
      <c r="D2456" s="32" t="s">
        <v>1019</v>
      </c>
      <c r="E2456" s="33" t="s">
        <v>764</v>
      </c>
      <c r="F2456" s="34">
        <v>892296</v>
      </c>
      <c r="G2456" s="34">
        <v>652296</v>
      </c>
      <c r="H2456" s="35" t="s">
        <v>3513</v>
      </c>
    </row>
    <row r="2457" spans="1:8" ht="27" customHeight="1" x14ac:dyDescent="0.2">
      <c r="A2457" s="31" t="s">
        <v>3509</v>
      </c>
      <c r="B2457" s="32" t="s">
        <v>3510</v>
      </c>
      <c r="C2457" s="32" t="s">
        <v>763</v>
      </c>
      <c r="D2457" s="32" t="s">
        <v>967</v>
      </c>
      <c r="E2457" s="33" t="s">
        <v>764</v>
      </c>
      <c r="F2457" s="34">
        <v>4060953</v>
      </c>
      <c r="G2457" s="34">
        <v>7060953</v>
      </c>
      <c r="H2457" s="35" t="s">
        <v>3514</v>
      </c>
    </row>
    <row r="2458" spans="1:8" ht="27" customHeight="1" x14ac:dyDescent="0.2">
      <c r="A2458" s="31" t="s">
        <v>3509</v>
      </c>
      <c r="B2458" s="32" t="s">
        <v>3510</v>
      </c>
      <c r="C2458" s="32" t="s">
        <v>763</v>
      </c>
      <c r="D2458" s="32" t="s">
        <v>3515</v>
      </c>
      <c r="E2458" s="33" t="s">
        <v>764</v>
      </c>
      <c r="F2458" s="34">
        <v>647649</v>
      </c>
      <c r="G2458" s="34">
        <v>647649</v>
      </c>
      <c r="H2458" s="35" t="s">
        <v>3514</v>
      </c>
    </row>
    <row r="2459" spans="1:8" ht="27" customHeight="1" x14ac:dyDescent="0.2">
      <c r="A2459" s="31" t="s">
        <v>3509</v>
      </c>
      <c r="B2459" s="32" t="s">
        <v>3510</v>
      </c>
      <c r="C2459" s="32" t="s">
        <v>763</v>
      </c>
      <c r="D2459" s="32" t="s">
        <v>3516</v>
      </c>
      <c r="E2459" s="33" t="s">
        <v>764</v>
      </c>
      <c r="F2459" s="34">
        <v>532600</v>
      </c>
      <c r="G2459" s="34">
        <v>772600</v>
      </c>
      <c r="H2459" s="35" t="s">
        <v>3517</v>
      </c>
    </row>
    <row r="2460" spans="1:8" ht="27" customHeight="1" x14ac:dyDescent="0.2">
      <c r="A2460" s="31" t="s">
        <v>3509</v>
      </c>
      <c r="B2460" s="32" t="s">
        <v>3510</v>
      </c>
      <c r="C2460" s="32" t="s">
        <v>766</v>
      </c>
      <c r="D2460" s="32" t="s">
        <v>765</v>
      </c>
      <c r="E2460" s="33" t="s">
        <v>768</v>
      </c>
      <c r="F2460" s="34">
        <v>0</v>
      </c>
      <c r="G2460" s="34">
        <v>0</v>
      </c>
      <c r="H2460" s="35" t="s">
        <v>765</v>
      </c>
    </row>
    <row r="2461" spans="1:8" ht="27" customHeight="1" x14ac:dyDescent="0.2">
      <c r="A2461" s="31" t="s">
        <v>3509</v>
      </c>
      <c r="B2461" s="32" t="s">
        <v>3510</v>
      </c>
      <c r="C2461" s="32" t="s">
        <v>770</v>
      </c>
      <c r="D2461" s="32" t="s">
        <v>1011</v>
      </c>
      <c r="E2461" s="33" t="s">
        <v>772</v>
      </c>
      <c r="F2461" s="34">
        <v>1477111</v>
      </c>
      <c r="G2461" s="34">
        <v>1477111</v>
      </c>
      <c r="H2461" s="35" t="s">
        <v>3518</v>
      </c>
    </row>
    <row r="2462" spans="1:8" ht="27" customHeight="1" x14ac:dyDescent="0.2">
      <c r="A2462" s="31" t="s">
        <v>3509</v>
      </c>
      <c r="B2462" s="32" t="s">
        <v>3510</v>
      </c>
      <c r="C2462" s="32" t="s">
        <v>884</v>
      </c>
      <c r="D2462" s="32" t="s">
        <v>765</v>
      </c>
      <c r="E2462" s="33" t="s">
        <v>885</v>
      </c>
      <c r="F2462" s="34">
        <v>0</v>
      </c>
      <c r="G2462" s="34">
        <v>0</v>
      </c>
      <c r="H2462" s="35" t="s">
        <v>765</v>
      </c>
    </row>
    <row r="2463" spans="1:8" ht="27" customHeight="1" x14ac:dyDescent="0.2">
      <c r="A2463" s="31" t="s">
        <v>3509</v>
      </c>
      <c r="B2463" s="32" t="s">
        <v>3510</v>
      </c>
      <c r="C2463" s="32" t="s">
        <v>844</v>
      </c>
      <c r="D2463" s="32" t="s">
        <v>972</v>
      </c>
      <c r="E2463" s="33" t="s">
        <v>846</v>
      </c>
      <c r="F2463" s="34">
        <v>295870</v>
      </c>
      <c r="G2463" s="34">
        <v>295870</v>
      </c>
      <c r="H2463" s="35" t="s">
        <v>3519</v>
      </c>
    </row>
    <row r="2464" spans="1:8" ht="27" customHeight="1" x14ac:dyDescent="0.2">
      <c r="A2464" s="31" t="s">
        <v>3509</v>
      </c>
      <c r="B2464" s="32" t="s">
        <v>3510</v>
      </c>
      <c r="C2464" s="32" t="s">
        <v>860</v>
      </c>
      <c r="D2464" s="32" t="s">
        <v>1049</v>
      </c>
      <c r="E2464" s="33" t="s">
        <v>861</v>
      </c>
      <c r="F2464" s="34">
        <v>0</v>
      </c>
      <c r="G2464" s="34">
        <v>0</v>
      </c>
      <c r="H2464" s="35" t="s">
        <v>765</v>
      </c>
    </row>
    <row r="2465" spans="1:8" ht="27" customHeight="1" x14ac:dyDescent="0.2">
      <c r="A2465" s="31" t="s">
        <v>3509</v>
      </c>
      <c r="B2465" s="32" t="s">
        <v>3510</v>
      </c>
      <c r="C2465" s="32" t="s">
        <v>796</v>
      </c>
      <c r="D2465" s="32" t="s">
        <v>796</v>
      </c>
      <c r="E2465" s="33" t="s">
        <v>772</v>
      </c>
      <c r="F2465" s="34">
        <v>2376937</v>
      </c>
      <c r="G2465" s="34">
        <v>2976937</v>
      </c>
      <c r="H2465" s="35" t="s">
        <v>3520</v>
      </c>
    </row>
    <row r="2466" spans="1:8" ht="27" customHeight="1" x14ac:dyDescent="0.2">
      <c r="A2466" s="31" t="s">
        <v>3509</v>
      </c>
      <c r="B2466" s="32" t="s">
        <v>3510</v>
      </c>
      <c r="C2466" s="32" t="s">
        <v>776</v>
      </c>
      <c r="D2466" s="32" t="s">
        <v>776</v>
      </c>
      <c r="E2466" s="33" t="s">
        <v>777</v>
      </c>
      <c r="F2466" s="34">
        <v>1887552</v>
      </c>
      <c r="G2466" s="34">
        <v>1987552</v>
      </c>
      <c r="H2466" s="35" t="s">
        <v>3521</v>
      </c>
    </row>
    <row r="2467" spans="1:8" ht="27" customHeight="1" x14ac:dyDescent="0.2">
      <c r="A2467" s="31" t="s">
        <v>3509</v>
      </c>
      <c r="B2467" s="32" t="s">
        <v>3510</v>
      </c>
      <c r="C2467" s="32" t="s">
        <v>798</v>
      </c>
      <c r="D2467" s="32" t="s">
        <v>765</v>
      </c>
      <c r="E2467" s="33" t="s">
        <v>800</v>
      </c>
      <c r="F2467" s="34">
        <v>0</v>
      </c>
      <c r="G2467" s="34">
        <v>0</v>
      </c>
      <c r="H2467" s="35" t="s">
        <v>765</v>
      </c>
    </row>
    <row r="2468" spans="1:8" ht="27" customHeight="1" x14ac:dyDescent="0.2">
      <c r="A2468" s="31" t="s">
        <v>3509</v>
      </c>
      <c r="B2468" s="32" t="s">
        <v>3510</v>
      </c>
      <c r="C2468" s="32" t="s">
        <v>779</v>
      </c>
      <c r="D2468" s="32" t="s">
        <v>876</v>
      </c>
      <c r="E2468" s="33" t="s">
        <v>780</v>
      </c>
      <c r="F2468" s="34">
        <v>344643</v>
      </c>
      <c r="G2468" s="34">
        <v>344643</v>
      </c>
      <c r="H2468" s="35" t="s">
        <v>3522</v>
      </c>
    </row>
    <row r="2469" spans="1:8" ht="27" customHeight="1" x14ac:dyDescent="0.2">
      <c r="A2469" s="31" t="s">
        <v>3509</v>
      </c>
      <c r="B2469" s="32" t="s">
        <v>3510</v>
      </c>
      <c r="C2469" s="32" t="s">
        <v>782</v>
      </c>
      <c r="D2469" s="32" t="s">
        <v>964</v>
      </c>
      <c r="E2469" s="33" t="s">
        <v>784</v>
      </c>
      <c r="F2469" s="34">
        <v>1042372</v>
      </c>
      <c r="G2469" s="34">
        <v>1142372</v>
      </c>
      <c r="H2469" s="35" t="s">
        <v>3523</v>
      </c>
    </row>
    <row r="2470" spans="1:8" ht="27" customHeight="1" x14ac:dyDescent="0.2">
      <c r="A2470" s="31" t="s">
        <v>3524</v>
      </c>
      <c r="B2470" s="32" t="s">
        <v>3525</v>
      </c>
      <c r="C2470" s="32" t="s">
        <v>763</v>
      </c>
      <c r="D2470" s="32" t="s">
        <v>3526</v>
      </c>
      <c r="E2470" s="33" t="s">
        <v>764</v>
      </c>
      <c r="F2470" s="34">
        <v>582220</v>
      </c>
      <c r="G2470" s="34">
        <v>617220</v>
      </c>
      <c r="H2470" s="35" t="s">
        <v>3527</v>
      </c>
    </row>
    <row r="2471" spans="1:8" ht="27" customHeight="1" x14ac:dyDescent="0.2">
      <c r="A2471" s="31" t="s">
        <v>3524</v>
      </c>
      <c r="B2471" s="32" t="s">
        <v>3525</v>
      </c>
      <c r="C2471" s="32" t="s">
        <v>763</v>
      </c>
      <c r="D2471" s="32" t="s">
        <v>2669</v>
      </c>
      <c r="E2471" s="33" t="s">
        <v>764</v>
      </c>
      <c r="F2471" s="34">
        <v>1128288</v>
      </c>
      <c r="G2471" s="34">
        <v>1128288</v>
      </c>
      <c r="H2471" s="35" t="s">
        <v>3528</v>
      </c>
    </row>
    <row r="2472" spans="1:8" ht="27" customHeight="1" x14ac:dyDescent="0.2">
      <c r="A2472" s="31" t="s">
        <v>3524</v>
      </c>
      <c r="B2472" s="32" t="s">
        <v>3525</v>
      </c>
      <c r="C2472" s="32" t="s">
        <v>796</v>
      </c>
      <c r="D2472" s="32" t="s">
        <v>3529</v>
      </c>
      <c r="E2472" s="33" t="s">
        <v>772</v>
      </c>
      <c r="F2472" s="34">
        <v>449089</v>
      </c>
      <c r="G2472" s="34">
        <v>554039</v>
      </c>
      <c r="H2472" s="35" t="s">
        <v>3530</v>
      </c>
    </row>
    <row r="2473" spans="1:8" ht="27" customHeight="1" x14ac:dyDescent="0.2">
      <c r="A2473" s="31" t="s">
        <v>3524</v>
      </c>
      <c r="B2473" s="32" t="s">
        <v>3525</v>
      </c>
      <c r="C2473" s="32" t="s">
        <v>776</v>
      </c>
      <c r="D2473" s="32" t="s">
        <v>812</v>
      </c>
      <c r="E2473" s="33" t="s">
        <v>777</v>
      </c>
      <c r="F2473" s="34">
        <v>123407</v>
      </c>
      <c r="G2473" s="34">
        <v>123407</v>
      </c>
      <c r="H2473" s="35" t="s">
        <v>3531</v>
      </c>
    </row>
    <row r="2474" spans="1:8" ht="27" customHeight="1" x14ac:dyDescent="0.2">
      <c r="A2474" s="31" t="s">
        <v>3524</v>
      </c>
      <c r="B2474" s="32" t="s">
        <v>3525</v>
      </c>
      <c r="C2474" s="32" t="s">
        <v>779</v>
      </c>
      <c r="D2474" s="32" t="s">
        <v>826</v>
      </c>
      <c r="E2474" s="33" t="s">
        <v>780</v>
      </c>
      <c r="F2474" s="34">
        <v>159298</v>
      </c>
      <c r="G2474" s="34">
        <v>158000</v>
      </c>
      <c r="H2474" s="35" t="s">
        <v>3532</v>
      </c>
    </row>
    <row r="2475" spans="1:8" ht="27" customHeight="1" x14ac:dyDescent="0.2">
      <c r="A2475" s="31" t="s">
        <v>3533</v>
      </c>
      <c r="B2475" s="32" t="s">
        <v>310</v>
      </c>
      <c r="C2475" s="32" t="s">
        <v>763</v>
      </c>
      <c r="D2475" s="32" t="s">
        <v>763</v>
      </c>
      <c r="E2475" s="33" t="s">
        <v>764</v>
      </c>
      <c r="F2475" s="34">
        <v>3026417</v>
      </c>
      <c r="G2475" s="34">
        <v>3026417</v>
      </c>
      <c r="H2475" s="35" t="s">
        <v>3534</v>
      </c>
    </row>
    <row r="2476" spans="1:8" ht="27" customHeight="1" x14ac:dyDescent="0.2">
      <c r="A2476" s="31" t="s">
        <v>3533</v>
      </c>
      <c r="B2476" s="32" t="s">
        <v>310</v>
      </c>
      <c r="C2476" s="32" t="s">
        <v>770</v>
      </c>
      <c r="D2476" s="32" t="s">
        <v>1136</v>
      </c>
      <c r="E2476" s="33" t="s">
        <v>772</v>
      </c>
      <c r="F2476" s="34">
        <v>480990</v>
      </c>
      <c r="G2476" s="34">
        <v>420000</v>
      </c>
      <c r="H2476" s="35" t="s">
        <v>1916</v>
      </c>
    </row>
    <row r="2477" spans="1:8" ht="27" customHeight="1" x14ac:dyDescent="0.2">
      <c r="A2477" s="31" t="s">
        <v>3533</v>
      </c>
      <c r="B2477" s="32" t="s">
        <v>310</v>
      </c>
      <c r="C2477" s="32" t="s">
        <v>844</v>
      </c>
      <c r="D2477" s="32" t="s">
        <v>3535</v>
      </c>
      <c r="E2477" s="33" t="s">
        <v>846</v>
      </c>
      <c r="F2477" s="34">
        <v>397004</v>
      </c>
      <c r="G2477" s="34">
        <v>390000</v>
      </c>
      <c r="H2477" s="35" t="s">
        <v>3536</v>
      </c>
    </row>
    <row r="2478" spans="1:8" ht="27" customHeight="1" x14ac:dyDescent="0.2">
      <c r="A2478" s="31" t="s">
        <v>3533</v>
      </c>
      <c r="B2478" s="32" t="s">
        <v>310</v>
      </c>
      <c r="C2478" s="32" t="s">
        <v>860</v>
      </c>
      <c r="D2478" s="32" t="s">
        <v>860</v>
      </c>
      <c r="E2478" s="33" t="s">
        <v>861</v>
      </c>
      <c r="F2478" s="34">
        <v>261596</v>
      </c>
      <c r="G2478" s="34">
        <v>190000</v>
      </c>
      <c r="H2478" s="35" t="s">
        <v>3537</v>
      </c>
    </row>
    <row r="2479" spans="1:8" ht="27" customHeight="1" x14ac:dyDescent="0.2">
      <c r="A2479" s="31" t="s">
        <v>3533</v>
      </c>
      <c r="B2479" s="32" t="s">
        <v>310</v>
      </c>
      <c r="C2479" s="32" t="s">
        <v>796</v>
      </c>
      <c r="D2479" s="32" t="s">
        <v>835</v>
      </c>
      <c r="E2479" s="33" t="s">
        <v>823</v>
      </c>
      <c r="F2479" s="34">
        <v>3974780</v>
      </c>
      <c r="G2479" s="34">
        <v>3600000</v>
      </c>
      <c r="H2479" s="35" t="s">
        <v>3538</v>
      </c>
    </row>
    <row r="2480" spans="1:8" ht="27" customHeight="1" x14ac:dyDescent="0.2">
      <c r="A2480" s="31" t="s">
        <v>3533</v>
      </c>
      <c r="B2480" s="32" t="s">
        <v>310</v>
      </c>
      <c r="C2480" s="32" t="s">
        <v>776</v>
      </c>
      <c r="D2480" s="32" t="s">
        <v>3539</v>
      </c>
      <c r="E2480" s="33" t="s">
        <v>777</v>
      </c>
      <c r="F2480" s="34">
        <v>358658</v>
      </c>
      <c r="G2480" s="34">
        <v>320000</v>
      </c>
      <c r="H2480" s="35" t="s">
        <v>3536</v>
      </c>
    </row>
    <row r="2481" spans="1:8" ht="27" customHeight="1" x14ac:dyDescent="0.2">
      <c r="A2481" s="31" t="s">
        <v>3533</v>
      </c>
      <c r="B2481" s="32" t="s">
        <v>310</v>
      </c>
      <c r="C2481" s="32" t="s">
        <v>779</v>
      </c>
      <c r="D2481" s="32" t="s">
        <v>779</v>
      </c>
      <c r="E2481" s="33" t="s">
        <v>780</v>
      </c>
      <c r="F2481" s="34">
        <v>280649</v>
      </c>
      <c r="G2481" s="34">
        <v>270000</v>
      </c>
      <c r="H2481" s="35" t="s">
        <v>3540</v>
      </c>
    </row>
    <row r="2482" spans="1:8" ht="27" customHeight="1" x14ac:dyDescent="0.2">
      <c r="A2482" s="31" t="s">
        <v>3533</v>
      </c>
      <c r="B2482" s="32" t="s">
        <v>310</v>
      </c>
      <c r="C2482" s="32" t="s">
        <v>782</v>
      </c>
      <c r="D2482" s="32" t="s">
        <v>865</v>
      </c>
      <c r="E2482" s="33" t="s">
        <v>784</v>
      </c>
      <c r="F2482" s="34">
        <v>1687164</v>
      </c>
      <c r="G2482" s="34">
        <v>1387000</v>
      </c>
      <c r="H2482" s="35" t="s">
        <v>2926</v>
      </c>
    </row>
    <row r="2483" spans="1:8" ht="27" customHeight="1" x14ac:dyDescent="0.2">
      <c r="A2483" s="31" t="s">
        <v>3541</v>
      </c>
      <c r="B2483" s="32" t="s">
        <v>3542</v>
      </c>
      <c r="C2483" s="32" t="s">
        <v>763</v>
      </c>
      <c r="D2483" s="32" t="s">
        <v>3543</v>
      </c>
      <c r="E2483" s="33" t="s">
        <v>764</v>
      </c>
      <c r="F2483" s="34">
        <v>436896</v>
      </c>
      <c r="G2483" s="34">
        <v>236980</v>
      </c>
      <c r="H2483" s="35" t="s">
        <v>3544</v>
      </c>
    </row>
    <row r="2484" spans="1:8" ht="27" customHeight="1" x14ac:dyDescent="0.2">
      <c r="A2484" s="31" t="s">
        <v>3541</v>
      </c>
      <c r="B2484" s="32" t="s">
        <v>3542</v>
      </c>
      <c r="C2484" s="32" t="s">
        <v>763</v>
      </c>
      <c r="D2484" s="32" t="s">
        <v>1322</v>
      </c>
      <c r="E2484" s="33" t="s">
        <v>764</v>
      </c>
      <c r="F2484" s="34">
        <v>260</v>
      </c>
      <c r="G2484" s="34">
        <v>260</v>
      </c>
      <c r="H2484" s="35" t="s">
        <v>3545</v>
      </c>
    </row>
    <row r="2485" spans="1:8" ht="27" customHeight="1" x14ac:dyDescent="0.2">
      <c r="A2485" s="31" t="s">
        <v>3541</v>
      </c>
      <c r="B2485" s="32" t="s">
        <v>3542</v>
      </c>
      <c r="C2485" s="32" t="s">
        <v>766</v>
      </c>
      <c r="D2485" s="32" t="s">
        <v>767</v>
      </c>
      <c r="E2485" s="33" t="s">
        <v>768</v>
      </c>
      <c r="F2485" s="34">
        <v>693480</v>
      </c>
      <c r="G2485" s="34">
        <v>693720</v>
      </c>
      <c r="H2485" s="35" t="s">
        <v>3546</v>
      </c>
    </row>
    <row r="2486" spans="1:8" ht="27" customHeight="1" x14ac:dyDescent="0.2">
      <c r="A2486" s="31" t="s">
        <v>3541</v>
      </c>
      <c r="B2486" s="32" t="s">
        <v>3542</v>
      </c>
      <c r="C2486" s="32" t="s">
        <v>770</v>
      </c>
      <c r="D2486" s="32" t="s">
        <v>3547</v>
      </c>
      <c r="E2486" s="33" t="s">
        <v>772</v>
      </c>
      <c r="F2486" s="34">
        <v>1517968</v>
      </c>
      <c r="G2486" s="34">
        <v>1518250</v>
      </c>
      <c r="H2486" s="35" t="s">
        <v>3548</v>
      </c>
    </row>
    <row r="2487" spans="1:8" ht="27" customHeight="1" x14ac:dyDescent="0.2">
      <c r="A2487" s="31" t="s">
        <v>3541</v>
      </c>
      <c r="B2487" s="32" t="s">
        <v>3542</v>
      </c>
      <c r="C2487" s="32" t="s">
        <v>773</v>
      </c>
      <c r="D2487" s="32" t="s">
        <v>973</v>
      </c>
      <c r="E2487" s="33" t="s">
        <v>775</v>
      </c>
      <c r="F2487" s="34">
        <v>610024</v>
      </c>
      <c r="G2487" s="34">
        <v>601130</v>
      </c>
      <c r="H2487" s="35" t="s">
        <v>3548</v>
      </c>
    </row>
    <row r="2488" spans="1:8" ht="27" customHeight="1" x14ac:dyDescent="0.2">
      <c r="A2488" s="31" t="s">
        <v>3541</v>
      </c>
      <c r="B2488" s="32" t="s">
        <v>3542</v>
      </c>
      <c r="C2488" s="32" t="s">
        <v>796</v>
      </c>
      <c r="D2488" s="32" t="s">
        <v>811</v>
      </c>
      <c r="E2488" s="33" t="s">
        <v>772</v>
      </c>
      <c r="F2488" s="34">
        <v>1736531</v>
      </c>
      <c r="G2488" s="34">
        <v>1738910</v>
      </c>
      <c r="H2488" s="35" t="s">
        <v>3549</v>
      </c>
    </row>
    <row r="2489" spans="1:8" ht="27" customHeight="1" x14ac:dyDescent="0.2">
      <c r="A2489" s="31" t="s">
        <v>3541</v>
      </c>
      <c r="B2489" s="32" t="s">
        <v>3542</v>
      </c>
      <c r="C2489" s="32" t="s">
        <v>776</v>
      </c>
      <c r="D2489" s="32" t="s">
        <v>812</v>
      </c>
      <c r="E2489" s="33" t="s">
        <v>777</v>
      </c>
      <c r="F2489" s="34">
        <v>577076</v>
      </c>
      <c r="G2489" s="34">
        <v>555860</v>
      </c>
      <c r="H2489" s="35" t="s">
        <v>3548</v>
      </c>
    </row>
    <row r="2490" spans="1:8" ht="27" customHeight="1" x14ac:dyDescent="0.2">
      <c r="A2490" s="31" t="s">
        <v>3541</v>
      </c>
      <c r="B2490" s="32" t="s">
        <v>3542</v>
      </c>
      <c r="C2490" s="32" t="s">
        <v>779</v>
      </c>
      <c r="D2490" s="32" t="s">
        <v>3550</v>
      </c>
      <c r="E2490" s="33" t="s">
        <v>780</v>
      </c>
      <c r="F2490" s="34">
        <v>60318</v>
      </c>
      <c r="G2490" s="34">
        <v>60330</v>
      </c>
      <c r="H2490" s="35" t="s">
        <v>3551</v>
      </c>
    </row>
    <row r="2491" spans="1:8" ht="27" customHeight="1" x14ac:dyDescent="0.2">
      <c r="A2491" s="31" t="s">
        <v>3541</v>
      </c>
      <c r="B2491" s="32" t="s">
        <v>3542</v>
      </c>
      <c r="C2491" s="32" t="s">
        <v>782</v>
      </c>
      <c r="D2491" s="32" t="s">
        <v>964</v>
      </c>
      <c r="E2491" s="33" t="s">
        <v>784</v>
      </c>
      <c r="F2491" s="34">
        <v>538249</v>
      </c>
      <c r="G2491" s="34">
        <v>538360</v>
      </c>
      <c r="H2491" s="35" t="s">
        <v>3552</v>
      </c>
    </row>
    <row r="2492" spans="1:8" ht="27" customHeight="1" x14ac:dyDescent="0.2">
      <c r="A2492" s="31" t="s">
        <v>3553</v>
      </c>
      <c r="B2492" s="32" t="s">
        <v>3554</v>
      </c>
      <c r="C2492" s="32" t="s">
        <v>763</v>
      </c>
      <c r="D2492" s="32" t="s">
        <v>933</v>
      </c>
      <c r="E2492" s="33" t="s">
        <v>764</v>
      </c>
      <c r="F2492" s="34">
        <v>1369348</v>
      </c>
      <c r="G2492" s="34">
        <v>1414356</v>
      </c>
      <c r="H2492" s="35" t="s">
        <v>3555</v>
      </c>
    </row>
    <row r="2493" spans="1:8" ht="27" customHeight="1" x14ac:dyDescent="0.2">
      <c r="A2493" s="31" t="s">
        <v>3553</v>
      </c>
      <c r="B2493" s="32" t="s">
        <v>3554</v>
      </c>
      <c r="C2493" s="32" t="s">
        <v>763</v>
      </c>
      <c r="D2493" s="32" t="s">
        <v>816</v>
      </c>
      <c r="E2493" s="33" t="s">
        <v>764</v>
      </c>
      <c r="F2493" s="34">
        <v>954710</v>
      </c>
      <c r="G2493" s="34">
        <v>1254719</v>
      </c>
      <c r="H2493" s="35" t="s">
        <v>3556</v>
      </c>
    </row>
    <row r="2494" spans="1:8" ht="27" customHeight="1" x14ac:dyDescent="0.2">
      <c r="A2494" s="31" t="s">
        <v>3553</v>
      </c>
      <c r="B2494" s="32" t="s">
        <v>3554</v>
      </c>
      <c r="C2494" s="32" t="s">
        <v>766</v>
      </c>
      <c r="D2494" s="32" t="s">
        <v>3557</v>
      </c>
      <c r="E2494" s="33" t="s">
        <v>768</v>
      </c>
      <c r="F2494" s="34">
        <v>420757</v>
      </c>
      <c r="G2494" s="34">
        <v>330759</v>
      </c>
      <c r="H2494" s="35" t="s">
        <v>3558</v>
      </c>
    </row>
    <row r="2495" spans="1:8" ht="27" customHeight="1" x14ac:dyDescent="0.2">
      <c r="A2495" s="31" t="s">
        <v>3553</v>
      </c>
      <c r="B2495" s="32" t="s">
        <v>3554</v>
      </c>
      <c r="C2495" s="32" t="s">
        <v>770</v>
      </c>
      <c r="D2495" s="32" t="s">
        <v>770</v>
      </c>
      <c r="E2495" s="33" t="s">
        <v>772</v>
      </c>
      <c r="F2495" s="34">
        <v>316608</v>
      </c>
      <c r="G2495" s="34">
        <v>291069</v>
      </c>
      <c r="H2495" s="35" t="s">
        <v>3559</v>
      </c>
    </row>
    <row r="2496" spans="1:8" ht="27" customHeight="1" x14ac:dyDescent="0.2">
      <c r="A2496" s="31" t="s">
        <v>3553</v>
      </c>
      <c r="B2496" s="32" t="s">
        <v>3554</v>
      </c>
      <c r="C2496" s="32" t="s">
        <v>844</v>
      </c>
      <c r="D2496" s="32" t="s">
        <v>972</v>
      </c>
      <c r="E2496" s="33" t="s">
        <v>846</v>
      </c>
      <c r="F2496" s="34">
        <v>36508</v>
      </c>
      <c r="G2496" s="34">
        <v>36511</v>
      </c>
      <c r="H2496" s="35" t="s">
        <v>3560</v>
      </c>
    </row>
    <row r="2497" spans="1:8" ht="27" customHeight="1" x14ac:dyDescent="0.2">
      <c r="A2497" s="31" t="s">
        <v>3553</v>
      </c>
      <c r="B2497" s="32" t="s">
        <v>3554</v>
      </c>
      <c r="C2497" s="32" t="s">
        <v>773</v>
      </c>
      <c r="D2497" s="32" t="s">
        <v>1025</v>
      </c>
      <c r="E2497" s="33" t="s">
        <v>775</v>
      </c>
      <c r="F2497" s="34">
        <v>529649</v>
      </c>
      <c r="G2497" s="34">
        <v>509649</v>
      </c>
      <c r="H2497" s="35" t="s">
        <v>3561</v>
      </c>
    </row>
    <row r="2498" spans="1:8" ht="27" customHeight="1" x14ac:dyDescent="0.2">
      <c r="A2498" s="31" t="s">
        <v>3553</v>
      </c>
      <c r="B2498" s="32" t="s">
        <v>3554</v>
      </c>
      <c r="C2498" s="32" t="s">
        <v>860</v>
      </c>
      <c r="D2498" s="32" t="s">
        <v>1124</v>
      </c>
      <c r="E2498" s="33" t="s">
        <v>861</v>
      </c>
      <c r="F2498" s="34">
        <v>286841</v>
      </c>
      <c r="G2498" s="34">
        <v>286844</v>
      </c>
      <c r="H2498" s="35" t="s">
        <v>3562</v>
      </c>
    </row>
    <row r="2499" spans="1:8" ht="27" customHeight="1" x14ac:dyDescent="0.2">
      <c r="A2499" s="31" t="s">
        <v>3553</v>
      </c>
      <c r="B2499" s="32" t="s">
        <v>3554</v>
      </c>
      <c r="C2499" s="32" t="s">
        <v>796</v>
      </c>
      <c r="D2499" s="32" t="s">
        <v>954</v>
      </c>
      <c r="E2499" s="33" t="s">
        <v>772</v>
      </c>
      <c r="F2499" s="34">
        <v>675660</v>
      </c>
      <c r="G2499" s="34">
        <v>635662</v>
      </c>
      <c r="H2499" s="35" t="s">
        <v>3563</v>
      </c>
    </row>
    <row r="2500" spans="1:8" ht="27" customHeight="1" x14ac:dyDescent="0.2">
      <c r="A2500" s="31" t="s">
        <v>3553</v>
      </c>
      <c r="B2500" s="32" t="s">
        <v>3554</v>
      </c>
      <c r="C2500" s="32" t="s">
        <v>779</v>
      </c>
      <c r="D2500" s="32" t="s">
        <v>826</v>
      </c>
      <c r="E2500" s="33" t="s">
        <v>780</v>
      </c>
      <c r="F2500" s="34">
        <v>391234</v>
      </c>
      <c r="G2500" s="34">
        <v>351235</v>
      </c>
      <c r="H2500" s="35" t="s">
        <v>3563</v>
      </c>
    </row>
    <row r="2501" spans="1:8" ht="27" customHeight="1" x14ac:dyDescent="0.2">
      <c r="A2501" s="31" t="s">
        <v>3553</v>
      </c>
      <c r="B2501" s="32" t="s">
        <v>3554</v>
      </c>
      <c r="C2501" s="32" t="s">
        <v>782</v>
      </c>
      <c r="D2501" s="32" t="s">
        <v>839</v>
      </c>
      <c r="E2501" s="33" t="s">
        <v>784</v>
      </c>
      <c r="F2501" s="34">
        <v>381150</v>
      </c>
      <c r="G2501" s="34">
        <v>331152</v>
      </c>
      <c r="H2501" s="35" t="s">
        <v>3564</v>
      </c>
    </row>
    <row r="2502" spans="1:8" ht="27" customHeight="1" x14ac:dyDescent="0.2">
      <c r="A2502" s="31" t="s">
        <v>3565</v>
      </c>
      <c r="B2502" s="32" t="s">
        <v>3566</v>
      </c>
      <c r="C2502" s="32" t="s">
        <v>763</v>
      </c>
      <c r="D2502" s="32" t="s">
        <v>3567</v>
      </c>
      <c r="E2502" s="33" t="s">
        <v>764</v>
      </c>
      <c r="F2502" s="34">
        <v>383894</v>
      </c>
      <c r="G2502" s="34">
        <v>335894</v>
      </c>
      <c r="H2502" s="35" t="s">
        <v>3568</v>
      </c>
    </row>
    <row r="2503" spans="1:8" ht="27" customHeight="1" x14ac:dyDescent="0.2">
      <c r="A2503" s="31" t="s">
        <v>3565</v>
      </c>
      <c r="B2503" s="32" t="s">
        <v>3566</v>
      </c>
      <c r="C2503" s="32" t="s">
        <v>763</v>
      </c>
      <c r="D2503" s="32" t="s">
        <v>3569</v>
      </c>
      <c r="E2503" s="33" t="s">
        <v>764</v>
      </c>
      <c r="F2503" s="34">
        <v>462430</v>
      </c>
      <c r="G2503" s="34">
        <v>0</v>
      </c>
      <c r="H2503" s="35" t="s">
        <v>859</v>
      </c>
    </row>
    <row r="2504" spans="1:8" ht="27" customHeight="1" x14ac:dyDescent="0.2">
      <c r="A2504" s="31" t="s">
        <v>3565</v>
      </c>
      <c r="B2504" s="32" t="s">
        <v>3566</v>
      </c>
      <c r="C2504" s="32" t="s">
        <v>763</v>
      </c>
      <c r="D2504" s="32" t="s">
        <v>3570</v>
      </c>
      <c r="E2504" s="33" t="s">
        <v>764</v>
      </c>
      <c r="F2504" s="34">
        <v>212045</v>
      </c>
      <c r="G2504" s="34">
        <v>212045</v>
      </c>
      <c r="H2504" s="35" t="s">
        <v>859</v>
      </c>
    </row>
    <row r="2505" spans="1:8" ht="27" customHeight="1" x14ac:dyDescent="0.2">
      <c r="A2505" s="31" t="s">
        <v>3565</v>
      </c>
      <c r="B2505" s="32" t="s">
        <v>3566</v>
      </c>
      <c r="C2505" s="32" t="s">
        <v>763</v>
      </c>
      <c r="D2505" s="32" t="s">
        <v>3571</v>
      </c>
      <c r="E2505" s="33" t="s">
        <v>764</v>
      </c>
      <c r="F2505" s="34">
        <v>0</v>
      </c>
      <c r="G2505" s="34">
        <v>962430</v>
      </c>
      <c r="H2505" s="35" t="s">
        <v>859</v>
      </c>
    </row>
    <row r="2506" spans="1:8" ht="27" customHeight="1" x14ac:dyDescent="0.2">
      <c r="A2506" s="31" t="s">
        <v>3565</v>
      </c>
      <c r="B2506" s="32" t="s">
        <v>3566</v>
      </c>
      <c r="C2506" s="32" t="s">
        <v>766</v>
      </c>
      <c r="D2506" s="32" t="s">
        <v>832</v>
      </c>
      <c r="E2506" s="33" t="s">
        <v>768</v>
      </c>
      <c r="F2506" s="34">
        <v>834558</v>
      </c>
      <c r="G2506" s="34">
        <v>834558</v>
      </c>
      <c r="H2506" s="35" t="s">
        <v>3572</v>
      </c>
    </row>
    <row r="2507" spans="1:8" ht="27" customHeight="1" x14ac:dyDescent="0.2">
      <c r="A2507" s="31" t="s">
        <v>3565</v>
      </c>
      <c r="B2507" s="32" t="s">
        <v>3566</v>
      </c>
      <c r="C2507" s="32" t="s">
        <v>770</v>
      </c>
      <c r="D2507" s="32" t="s">
        <v>3573</v>
      </c>
      <c r="E2507" s="33" t="s">
        <v>772</v>
      </c>
      <c r="F2507" s="34">
        <v>1156177</v>
      </c>
      <c r="G2507" s="34">
        <v>1156177</v>
      </c>
      <c r="H2507" s="35" t="s">
        <v>859</v>
      </c>
    </row>
    <row r="2508" spans="1:8" ht="27" customHeight="1" x14ac:dyDescent="0.2">
      <c r="A2508" s="31" t="s">
        <v>3565</v>
      </c>
      <c r="B2508" s="32" t="s">
        <v>3566</v>
      </c>
      <c r="C2508" s="32" t="s">
        <v>844</v>
      </c>
      <c r="D2508" s="32" t="s">
        <v>972</v>
      </c>
      <c r="E2508" s="33" t="s">
        <v>846</v>
      </c>
      <c r="F2508" s="34">
        <v>64129</v>
      </c>
      <c r="G2508" s="34">
        <v>64160</v>
      </c>
      <c r="H2508" s="35" t="s">
        <v>859</v>
      </c>
    </row>
    <row r="2509" spans="1:8" ht="27" customHeight="1" x14ac:dyDescent="0.2">
      <c r="A2509" s="31" t="s">
        <v>3565</v>
      </c>
      <c r="B2509" s="32" t="s">
        <v>3566</v>
      </c>
      <c r="C2509" s="32" t="s">
        <v>773</v>
      </c>
      <c r="D2509" s="32" t="s">
        <v>773</v>
      </c>
      <c r="E2509" s="33" t="s">
        <v>775</v>
      </c>
      <c r="F2509" s="34">
        <v>20672</v>
      </c>
      <c r="G2509" s="34">
        <v>20680</v>
      </c>
      <c r="H2509" s="35" t="s">
        <v>859</v>
      </c>
    </row>
    <row r="2510" spans="1:8" ht="27" customHeight="1" x14ac:dyDescent="0.2">
      <c r="A2510" s="31" t="s">
        <v>3565</v>
      </c>
      <c r="B2510" s="32" t="s">
        <v>3566</v>
      </c>
      <c r="C2510" s="32" t="s">
        <v>886</v>
      </c>
      <c r="D2510" s="32" t="s">
        <v>3574</v>
      </c>
      <c r="E2510" s="33" t="s">
        <v>887</v>
      </c>
      <c r="F2510" s="34">
        <v>36042</v>
      </c>
      <c r="G2510" s="34">
        <v>36050</v>
      </c>
      <c r="H2510" s="35" t="s">
        <v>859</v>
      </c>
    </row>
    <row r="2511" spans="1:8" ht="27" customHeight="1" x14ac:dyDescent="0.2">
      <c r="A2511" s="31" t="s">
        <v>3565</v>
      </c>
      <c r="B2511" s="32" t="s">
        <v>3566</v>
      </c>
      <c r="C2511" s="32" t="s">
        <v>796</v>
      </c>
      <c r="D2511" s="32" t="s">
        <v>3202</v>
      </c>
      <c r="E2511" s="33" t="s">
        <v>823</v>
      </c>
      <c r="F2511" s="34">
        <v>1268239</v>
      </c>
      <c r="G2511" s="34">
        <v>1468239</v>
      </c>
      <c r="H2511" s="35" t="s">
        <v>3575</v>
      </c>
    </row>
    <row r="2512" spans="1:8" ht="27" customHeight="1" x14ac:dyDescent="0.2">
      <c r="A2512" s="31" t="s">
        <v>3565</v>
      </c>
      <c r="B2512" s="32" t="s">
        <v>3566</v>
      </c>
      <c r="C2512" s="32" t="s">
        <v>776</v>
      </c>
      <c r="D2512" s="32" t="s">
        <v>914</v>
      </c>
      <c r="E2512" s="33" t="s">
        <v>777</v>
      </c>
      <c r="F2512" s="34">
        <v>194306</v>
      </c>
      <c r="G2512" s="34">
        <v>194306</v>
      </c>
      <c r="H2512" s="35" t="s">
        <v>3576</v>
      </c>
    </row>
    <row r="2513" spans="1:8" ht="27" customHeight="1" x14ac:dyDescent="0.2">
      <c r="A2513" s="31" t="s">
        <v>3565</v>
      </c>
      <c r="B2513" s="32" t="s">
        <v>3566</v>
      </c>
      <c r="C2513" s="32" t="s">
        <v>779</v>
      </c>
      <c r="D2513" s="32" t="s">
        <v>876</v>
      </c>
      <c r="E2513" s="33" t="s">
        <v>780</v>
      </c>
      <c r="F2513" s="34">
        <v>40166</v>
      </c>
      <c r="G2513" s="34">
        <v>40172</v>
      </c>
      <c r="H2513" s="35" t="s">
        <v>3576</v>
      </c>
    </row>
    <row r="2514" spans="1:8" ht="27" customHeight="1" x14ac:dyDescent="0.2">
      <c r="A2514" s="31" t="s">
        <v>3577</v>
      </c>
      <c r="B2514" s="32" t="s">
        <v>3578</v>
      </c>
      <c r="C2514" s="32" t="s">
        <v>763</v>
      </c>
      <c r="D2514" s="32" t="s">
        <v>967</v>
      </c>
      <c r="E2514" s="33" t="s">
        <v>764</v>
      </c>
      <c r="F2514" s="34">
        <v>1798228</v>
      </c>
      <c r="G2514" s="34">
        <v>1798228</v>
      </c>
      <c r="H2514" s="35" t="s">
        <v>859</v>
      </c>
    </row>
    <row r="2515" spans="1:8" ht="27" customHeight="1" x14ac:dyDescent="0.2">
      <c r="A2515" s="31" t="s">
        <v>3577</v>
      </c>
      <c r="B2515" s="32" t="s">
        <v>3578</v>
      </c>
      <c r="C2515" s="32" t="s">
        <v>763</v>
      </c>
      <c r="D2515" s="32" t="s">
        <v>3579</v>
      </c>
      <c r="E2515" s="33" t="s">
        <v>764</v>
      </c>
      <c r="F2515" s="34">
        <v>1072028</v>
      </c>
      <c r="G2515" s="34">
        <v>1072028</v>
      </c>
      <c r="H2515" s="35" t="s">
        <v>3580</v>
      </c>
    </row>
    <row r="2516" spans="1:8" ht="27" customHeight="1" x14ac:dyDescent="0.2">
      <c r="A2516" s="31" t="s">
        <v>3577</v>
      </c>
      <c r="B2516" s="32" t="s">
        <v>3578</v>
      </c>
      <c r="C2516" s="32" t="s">
        <v>763</v>
      </c>
      <c r="D2516" s="32" t="s">
        <v>3109</v>
      </c>
      <c r="E2516" s="33" t="s">
        <v>764</v>
      </c>
      <c r="F2516" s="34">
        <v>205637</v>
      </c>
      <c r="G2516" s="34">
        <v>205637</v>
      </c>
      <c r="H2516" s="35" t="s">
        <v>859</v>
      </c>
    </row>
    <row r="2517" spans="1:8" ht="27" customHeight="1" x14ac:dyDescent="0.2">
      <c r="A2517" s="31" t="s">
        <v>3577</v>
      </c>
      <c r="B2517" s="32" t="s">
        <v>3578</v>
      </c>
      <c r="C2517" s="32" t="s">
        <v>770</v>
      </c>
      <c r="D2517" s="32" t="s">
        <v>872</v>
      </c>
      <c r="E2517" s="33" t="s">
        <v>772</v>
      </c>
      <c r="F2517" s="34">
        <v>1741417</v>
      </c>
      <c r="G2517" s="34">
        <v>1741717</v>
      </c>
      <c r="H2517" s="35" t="s">
        <v>859</v>
      </c>
    </row>
    <row r="2518" spans="1:8" ht="27" customHeight="1" x14ac:dyDescent="0.2">
      <c r="A2518" s="31" t="s">
        <v>3577</v>
      </c>
      <c r="B2518" s="32" t="s">
        <v>3578</v>
      </c>
      <c r="C2518" s="32" t="s">
        <v>796</v>
      </c>
      <c r="D2518" s="32" t="s">
        <v>1463</v>
      </c>
      <c r="E2518" s="33" t="s">
        <v>772</v>
      </c>
      <c r="F2518" s="34">
        <v>3744172</v>
      </c>
      <c r="G2518" s="34">
        <v>3704172</v>
      </c>
      <c r="H2518" s="35" t="s">
        <v>3581</v>
      </c>
    </row>
    <row r="2519" spans="1:8" ht="27" customHeight="1" x14ac:dyDescent="0.2">
      <c r="A2519" s="31" t="s">
        <v>3577</v>
      </c>
      <c r="B2519" s="32" t="s">
        <v>3578</v>
      </c>
      <c r="C2519" s="32" t="s">
        <v>779</v>
      </c>
      <c r="D2519" s="32" t="s">
        <v>826</v>
      </c>
      <c r="E2519" s="33" t="s">
        <v>780</v>
      </c>
      <c r="F2519" s="34">
        <v>106073</v>
      </c>
      <c r="G2519" s="34">
        <v>106073</v>
      </c>
      <c r="H2519" s="35" t="s">
        <v>859</v>
      </c>
    </row>
    <row r="2520" spans="1:8" ht="27" customHeight="1" x14ac:dyDescent="0.2">
      <c r="A2520" s="31" t="s">
        <v>3577</v>
      </c>
      <c r="B2520" s="32" t="s">
        <v>3578</v>
      </c>
      <c r="C2520" s="32" t="s">
        <v>782</v>
      </c>
      <c r="D2520" s="32" t="s">
        <v>839</v>
      </c>
      <c r="E2520" s="33" t="s">
        <v>784</v>
      </c>
      <c r="F2520" s="34">
        <v>350514</v>
      </c>
      <c r="G2520" s="34">
        <v>350514</v>
      </c>
      <c r="H2520" s="35" t="s">
        <v>859</v>
      </c>
    </row>
    <row r="2521" spans="1:8" ht="27" customHeight="1" x14ac:dyDescent="0.2">
      <c r="A2521" s="31" t="s">
        <v>3582</v>
      </c>
      <c r="B2521" s="32" t="s">
        <v>3583</v>
      </c>
      <c r="C2521" s="32" t="s">
        <v>770</v>
      </c>
      <c r="D2521" s="32" t="s">
        <v>1011</v>
      </c>
      <c r="E2521" s="33" t="s">
        <v>772</v>
      </c>
      <c r="F2521" s="34">
        <v>443424</v>
      </c>
      <c r="G2521" s="34">
        <v>443450</v>
      </c>
      <c r="H2521" s="35" t="s">
        <v>859</v>
      </c>
    </row>
    <row r="2522" spans="1:8" ht="27" customHeight="1" x14ac:dyDescent="0.2">
      <c r="A2522" s="31" t="s">
        <v>3582</v>
      </c>
      <c r="B2522" s="32" t="s">
        <v>3583</v>
      </c>
      <c r="C2522" s="32" t="s">
        <v>773</v>
      </c>
      <c r="D2522" s="32" t="s">
        <v>973</v>
      </c>
      <c r="E2522" s="33" t="s">
        <v>775</v>
      </c>
      <c r="F2522" s="34">
        <v>261821</v>
      </c>
      <c r="G2522" s="34">
        <v>261850</v>
      </c>
      <c r="H2522" s="35" t="s">
        <v>3584</v>
      </c>
    </row>
    <row r="2523" spans="1:8" ht="27" customHeight="1" x14ac:dyDescent="0.2">
      <c r="A2523" s="31" t="s">
        <v>3582</v>
      </c>
      <c r="B2523" s="32" t="s">
        <v>3583</v>
      </c>
      <c r="C2523" s="32" t="s">
        <v>860</v>
      </c>
      <c r="D2523" s="32" t="s">
        <v>911</v>
      </c>
      <c r="E2523" s="33" t="s">
        <v>861</v>
      </c>
      <c r="F2523" s="34">
        <v>2070</v>
      </c>
      <c r="G2523" s="34">
        <v>2070</v>
      </c>
      <c r="H2523" s="35" t="s">
        <v>859</v>
      </c>
    </row>
    <row r="2524" spans="1:8" ht="27" customHeight="1" x14ac:dyDescent="0.2">
      <c r="A2524" s="31" t="s">
        <v>3582</v>
      </c>
      <c r="B2524" s="32" t="s">
        <v>3583</v>
      </c>
      <c r="C2524" s="32" t="s">
        <v>796</v>
      </c>
      <c r="D2524" s="32" t="s">
        <v>1694</v>
      </c>
      <c r="E2524" s="33" t="s">
        <v>823</v>
      </c>
      <c r="F2524" s="34">
        <v>1967565</v>
      </c>
      <c r="G2524" s="34">
        <v>1967650</v>
      </c>
      <c r="H2524" s="35" t="s">
        <v>3585</v>
      </c>
    </row>
    <row r="2525" spans="1:8" ht="27" customHeight="1" x14ac:dyDescent="0.2">
      <c r="A2525" s="31" t="s">
        <v>3582</v>
      </c>
      <c r="B2525" s="32" t="s">
        <v>3583</v>
      </c>
      <c r="C2525" s="32" t="s">
        <v>779</v>
      </c>
      <c r="D2525" s="32" t="s">
        <v>826</v>
      </c>
      <c r="E2525" s="33" t="s">
        <v>780</v>
      </c>
      <c r="F2525" s="34">
        <v>493791</v>
      </c>
      <c r="G2525" s="34">
        <v>493825</v>
      </c>
      <c r="H2525" s="35" t="s">
        <v>3586</v>
      </c>
    </row>
    <row r="2526" spans="1:8" ht="27" customHeight="1" x14ac:dyDescent="0.2">
      <c r="A2526" s="31" t="s">
        <v>3582</v>
      </c>
      <c r="B2526" s="32" t="s">
        <v>3583</v>
      </c>
      <c r="C2526" s="32" t="s">
        <v>782</v>
      </c>
      <c r="D2526" s="32" t="s">
        <v>3587</v>
      </c>
      <c r="E2526" s="33" t="s">
        <v>784</v>
      </c>
      <c r="F2526" s="34">
        <v>854901</v>
      </c>
      <c r="G2526" s="34">
        <v>854950</v>
      </c>
      <c r="H2526" s="35" t="s">
        <v>3588</v>
      </c>
    </row>
    <row r="2527" spans="1:8" ht="27" customHeight="1" x14ac:dyDescent="0.2">
      <c r="A2527" s="31" t="s">
        <v>3589</v>
      </c>
      <c r="B2527" s="32" t="s">
        <v>3590</v>
      </c>
      <c r="C2527" s="32" t="s">
        <v>763</v>
      </c>
      <c r="D2527" s="32" t="s">
        <v>816</v>
      </c>
      <c r="E2527" s="33" t="s">
        <v>764</v>
      </c>
      <c r="F2527" s="34">
        <v>1520321</v>
      </c>
      <c r="G2527" s="34">
        <v>1520321</v>
      </c>
      <c r="H2527" s="35" t="s">
        <v>3591</v>
      </c>
    </row>
    <row r="2528" spans="1:8" ht="27" customHeight="1" x14ac:dyDescent="0.2">
      <c r="A2528" s="31" t="s">
        <v>3589</v>
      </c>
      <c r="B2528" s="32" t="s">
        <v>3590</v>
      </c>
      <c r="C2528" s="32" t="s">
        <v>766</v>
      </c>
      <c r="D2528" s="32" t="s">
        <v>767</v>
      </c>
      <c r="E2528" s="33" t="s">
        <v>768</v>
      </c>
      <c r="F2528" s="34">
        <v>2500406</v>
      </c>
      <c r="G2528" s="34">
        <v>2500406</v>
      </c>
      <c r="H2528" s="35" t="s">
        <v>3592</v>
      </c>
    </row>
    <row r="2529" spans="1:8" ht="27" customHeight="1" x14ac:dyDescent="0.2">
      <c r="A2529" s="31" t="s">
        <v>3589</v>
      </c>
      <c r="B2529" s="32" t="s">
        <v>3590</v>
      </c>
      <c r="C2529" s="32" t="s">
        <v>770</v>
      </c>
      <c r="D2529" s="32" t="s">
        <v>3593</v>
      </c>
      <c r="E2529" s="33" t="s">
        <v>772</v>
      </c>
      <c r="F2529" s="34">
        <v>1282613</v>
      </c>
      <c r="G2529" s="34">
        <v>1192613</v>
      </c>
      <c r="H2529" s="35" t="s">
        <v>3594</v>
      </c>
    </row>
    <row r="2530" spans="1:8" ht="27" customHeight="1" x14ac:dyDescent="0.2">
      <c r="A2530" s="31" t="s">
        <v>3589</v>
      </c>
      <c r="B2530" s="32" t="s">
        <v>3590</v>
      </c>
      <c r="C2530" s="32" t="s">
        <v>773</v>
      </c>
      <c r="D2530" s="32" t="s">
        <v>773</v>
      </c>
      <c r="E2530" s="33" t="s">
        <v>775</v>
      </c>
      <c r="F2530" s="34">
        <v>855340</v>
      </c>
      <c r="G2530" s="34">
        <v>705659</v>
      </c>
      <c r="H2530" s="35" t="s">
        <v>3595</v>
      </c>
    </row>
    <row r="2531" spans="1:8" ht="27" customHeight="1" x14ac:dyDescent="0.2">
      <c r="A2531" s="31" t="s">
        <v>3589</v>
      </c>
      <c r="B2531" s="32" t="s">
        <v>3590</v>
      </c>
      <c r="C2531" s="32" t="s">
        <v>860</v>
      </c>
      <c r="D2531" s="32" t="s">
        <v>2840</v>
      </c>
      <c r="E2531" s="33" t="s">
        <v>861</v>
      </c>
      <c r="F2531" s="34">
        <v>1000</v>
      </c>
      <c r="G2531" s="34">
        <v>1000</v>
      </c>
      <c r="H2531" s="35" t="s">
        <v>3596</v>
      </c>
    </row>
    <row r="2532" spans="1:8" ht="27" customHeight="1" x14ac:dyDescent="0.2">
      <c r="A2532" s="31" t="s">
        <v>3589</v>
      </c>
      <c r="B2532" s="32" t="s">
        <v>3590</v>
      </c>
      <c r="C2532" s="32" t="s">
        <v>796</v>
      </c>
      <c r="D2532" s="32" t="s">
        <v>822</v>
      </c>
      <c r="E2532" s="33" t="s">
        <v>772</v>
      </c>
      <c r="F2532" s="34">
        <v>443965</v>
      </c>
      <c r="G2532" s="34">
        <v>443965</v>
      </c>
      <c r="H2532" s="35" t="s">
        <v>3596</v>
      </c>
    </row>
    <row r="2533" spans="1:8" ht="27" customHeight="1" x14ac:dyDescent="0.2">
      <c r="A2533" s="31" t="s">
        <v>3589</v>
      </c>
      <c r="B2533" s="32" t="s">
        <v>3590</v>
      </c>
      <c r="C2533" s="32" t="s">
        <v>776</v>
      </c>
      <c r="D2533" s="32" t="s">
        <v>776</v>
      </c>
      <c r="E2533" s="33" t="s">
        <v>777</v>
      </c>
      <c r="F2533" s="34">
        <v>436993</v>
      </c>
      <c r="G2533" s="34">
        <v>436993</v>
      </c>
      <c r="H2533" s="35" t="s">
        <v>3596</v>
      </c>
    </row>
    <row r="2534" spans="1:8" ht="27" customHeight="1" x14ac:dyDescent="0.2">
      <c r="A2534" s="31" t="s">
        <v>3589</v>
      </c>
      <c r="B2534" s="32" t="s">
        <v>3590</v>
      </c>
      <c r="C2534" s="32" t="s">
        <v>779</v>
      </c>
      <c r="D2534" s="32" t="s">
        <v>802</v>
      </c>
      <c r="E2534" s="33" t="s">
        <v>780</v>
      </c>
      <c r="F2534" s="34">
        <v>510148</v>
      </c>
      <c r="G2534" s="34">
        <v>470148</v>
      </c>
      <c r="H2534" s="35" t="s">
        <v>3597</v>
      </c>
    </row>
    <row r="2535" spans="1:8" ht="27" customHeight="1" x14ac:dyDescent="0.2">
      <c r="A2535" s="31" t="s">
        <v>3589</v>
      </c>
      <c r="B2535" s="32" t="s">
        <v>3590</v>
      </c>
      <c r="C2535" s="32" t="s">
        <v>782</v>
      </c>
      <c r="D2535" s="32" t="s">
        <v>901</v>
      </c>
      <c r="E2535" s="33" t="s">
        <v>784</v>
      </c>
      <c r="F2535" s="34">
        <v>311062</v>
      </c>
      <c r="G2535" s="34">
        <v>261062</v>
      </c>
      <c r="H2535" s="35" t="s">
        <v>3598</v>
      </c>
    </row>
    <row r="2536" spans="1:8" ht="27" customHeight="1" x14ac:dyDescent="0.2">
      <c r="A2536" s="31" t="s">
        <v>3599</v>
      </c>
      <c r="B2536" s="32" t="s">
        <v>3600</v>
      </c>
      <c r="C2536" s="32" t="s">
        <v>763</v>
      </c>
      <c r="D2536" s="32" t="s">
        <v>1335</v>
      </c>
      <c r="E2536" s="33" t="s">
        <v>764</v>
      </c>
      <c r="F2536" s="34">
        <v>0</v>
      </c>
      <c r="G2536" s="34">
        <v>0</v>
      </c>
      <c r="H2536" s="35" t="s">
        <v>859</v>
      </c>
    </row>
    <row r="2537" spans="1:8" ht="27" customHeight="1" x14ac:dyDescent="0.2">
      <c r="A2537" s="31" t="s">
        <v>3599</v>
      </c>
      <c r="B2537" s="32" t="s">
        <v>3600</v>
      </c>
      <c r="C2537" s="32" t="s">
        <v>770</v>
      </c>
      <c r="D2537" s="32" t="s">
        <v>1720</v>
      </c>
      <c r="E2537" s="33" t="s">
        <v>772</v>
      </c>
      <c r="F2537" s="34">
        <v>3355438</v>
      </c>
      <c r="G2537" s="34">
        <v>3003198</v>
      </c>
      <c r="H2537" s="35" t="s">
        <v>3601</v>
      </c>
    </row>
    <row r="2538" spans="1:8" ht="27" customHeight="1" x14ac:dyDescent="0.2">
      <c r="A2538" s="31" t="s">
        <v>3599</v>
      </c>
      <c r="B2538" s="32" t="s">
        <v>3600</v>
      </c>
      <c r="C2538" s="32" t="s">
        <v>844</v>
      </c>
      <c r="D2538" s="32" t="s">
        <v>1162</v>
      </c>
      <c r="E2538" s="33" t="s">
        <v>846</v>
      </c>
      <c r="F2538" s="34">
        <v>617174</v>
      </c>
      <c r="G2538" s="34">
        <v>618858</v>
      </c>
      <c r="H2538" s="35" t="s">
        <v>859</v>
      </c>
    </row>
    <row r="2539" spans="1:8" ht="27" customHeight="1" x14ac:dyDescent="0.2">
      <c r="A2539" s="31" t="s">
        <v>3599</v>
      </c>
      <c r="B2539" s="32" t="s">
        <v>3600</v>
      </c>
      <c r="C2539" s="32" t="s">
        <v>773</v>
      </c>
      <c r="D2539" s="32" t="s">
        <v>3602</v>
      </c>
      <c r="E2539" s="33" t="s">
        <v>775</v>
      </c>
      <c r="F2539" s="34">
        <v>358811</v>
      </c>
      <c r="G2539" s="34">
        <v>359790</v>
      </c>
      <c r="H2539" s="35" t="s">
        <v>859</v>
      </c>
    </row>
    <row r="2540" spans="1:8" ht="27" customHeight="1" x14ac:dyDescent="0.2">
      <c r="A2540" s="31" t="s">
        <v>3599</v>
      </c>
      <c r="B2540" s="32" t="s">
        <v>3600</v>
      </c>
      <c r="C2540" s="32" t="s">
        <v>796</v>
      </c>
      <c r="D2540" s="32" t="s">
        <v>2689</v>
      </c>
      <c r="E2540" s="33" t="s">
        <v>772</v>
      </c>
      <c r="F2540" s="34">
        <v>4356602</v>
      </c>
      <c r="G2540" s="34">
        <v>4368484</v>
      </c>
      <c r="H2540" s="35" t="s">
        <v>859</v>
      </c>
    </row>
    <row r="2541" spans="1:8" ht="27" customHeight="1" x14ac:dyDescent="0.2">
      <c r="A2541" s="31" t="s">
        <v>3599</v>
      </c>
      <c r="B2541" s="32" t="s">
        <v>3600</v>
      </c>
      <c r="C2541" s="32" t="s">
        <v>776</v>
      </c>
      <c r="D2541" s="32" t="s">
        <v>914</v>
      </c>
      <c r="E2541" s="33" t="s">
        <v>777</v>
      </c>
      <c r="F2541" s="34">
        <v>662335</v>
      </c>
      <c r="G2541" s="34">
        <v>623191</v>
      </c>
      <c r="H2541" s="35" t="s">
        <v>3603</v>
      </c>
    </row>
    <row r="2542" spans="1:8" ht="27" customHeight="1" x14ac:dyDescent="0.2">
      <c r="A2542" s="31" t="s">
        <v>3599</v>
      </c>
      <c r="B2542" s="32" t="s">
        <v>3600</v>
      </c>
      <c r="C2542" s="32" t="s">
        <v>779</v>
      </c>
      <c r="D2542" s="32" t="s">
        <v>2514</v>
      </c>
      <c r="E2542" s="33" t="s">
        <v>780</v>
      </c>
      <c r="F2542" s="34">
        <v>939330</v>
      </c>
      <c r="G2542" s="34">
        <v>941892</v>
      </c>
      <c r="H2542" s="35" t="s">
        <v>859</v>
      </c>
    </row>
    <row r="2543" spans="1:8" ht="27" customHeight="1" x14ac:dyDescent="0.2">
      <c r="A2543" s="31" t="s">
        <v>3599</v>
      </c>
      <c r="B2543" s="32" t="s">
        <v>3600</v>
      </c>
      <c r="C2543" s="32" t="s">
        <v>782</v>
      </c>
      <c r="D2543" s="32" t="s">
        <v>3604</v>
      </c>
      <c r="E2543" s="33" t="s">
        <v>784</v>
      </c>
      <c r="F2543" s="34">
        <v>1739910</v>
      </c>
      <c r="G2543" s="34">
        <v>1744655</v>
      </c>
      <c r="H2543" s="35" t="s">
        <v>859</v>
      </c>
    </row>
    <row r="2544" spans="1:8" ht="27" customHeight="1" x14ac:dyDescent="0.2">
      <c r="A2544" s="31" t="s">
        <v>3605</v>
      </c>
      <c r="B2544" s="32" t="s">
        <v>3606</v>
      </c>
      <c r="C2544" s="32" t="s">
        <v>763</v>
      </c>
      <c r="D2544" s="32" t="s">
        <v>3607</v>
      </c>
      <c r="E2544" s="33" t="s">
        <v>764</v>
      </c>
      <c r="F2544" s="34">
        <v>8257</v>
      </c>
      <c r="G2544" s="34">
        <v>8257</v>
      </c>
      <c r="H2544" s="35" t="s">
        <v>3608</v>
      </c>
    </row>
    <row r="2545" spans="1:8" ht="27" customHeight="1" x14ac:dyDescent="0.2">
      <c r="A2545" s="31" t="s">
        <v>3605</v>
      </c>
      <c r="B2545" s="32" t="s">
        <v>3606</v>
      </c>
      <c r="C2545" s="32" t="s">
        <v>766</v>
      </c>
      <c r="D2545" s="32" t="s">
        <v>829</v>
      </c>
      <c r="E2545" s="33" t="s">
        <v>768</v>
      </c>
      <c r="F2545" s="34">
        <v>0</v>
      </c>
      <c r="G2545" s="34">
        <v>0</v>
      </c>
      <c r="H2545" s="35" t="s">
        <v>829</v>
      </c>
    </row>
    <row r="2546" spans="1:8" ht="27" customHeight="1" x14ac:dyDescent="0.2">
      <c r="A2546" s="31" t="s">
        <v>3605</v>
      </c>
      <c r="B2546" s="32" t="s">
        <v>3606</v>
      </c>
      <c r="C2546" s="32" t="s">
        <v>770</v>
      </c>
      <c r="D2546" s="32" t="s">
        <v>3609</v>
      </c>
      <c r="E2546" s="33" t="s">
        <v>772</v>
      </c>
      <c r="F2546" s="34">
        <v>326978</v>
      </c>
      <c r="G2546" s="34">
        <v>326978</v>
      </c>
      <c r="H2546" s="35" t="s">
        <v>3610</v>
      </c>
    </row>
    <row r="2547" spans="1:8" ht="27" customHeight="1" x14ac:dyDescent="0.2">
      <c r="A2547" s="31" t="s">
        <v>3605</v>
      </c>
      <c r="B2547" s="32" t="s">
        <v>3606</v>
      </c>
      <c r="C2547" s="32" t="s">
        <v>884</v>
      </c>
      <c r="D2547" s="32" t="s">
        <v>829</v>
      </c>
      <c r="E2547" s="33" t="s">
        <v>885</v>
      </c>
      <c r="F2547" s="34">
        <v>0</v>
      </c>
      <c r="G2547" s="34">
        <v>0</v>
      </c>
      <c r="H2547" s="35" t="s">
        <v>829</v>
      </c>
    </row>
    <row r="2548" spans="1:8" ht="27" customHeight="1" x14ac:dyDescent="0.2">
      <c r="A2548" s="31" t="s">
        <v>3605</v>
      </c>
      <c r="B2548" s="32" t="s">
        <v>3606</v>
      </c>
      <c r="C2548" s="32" t="s">
        <v>844</v>
      </c>
      <c r="D2548" s="32" t="s">
        <v>3611</v>
      </c>
      <c r="E2548" s="33" t="s">
        <v>846</v>
      </c>
      <c r="F2548" s="34">
        <v>257757</v>
      </c>
      <c r="G2548" s="34">
        <v>257757</v>
      </c>
      <c r="H2548" s="35" t="s">
        <v>3612</v>
      </c>
    </row>
    <row r="2549" spans="1:8" ht="27" customHeight="1" x14ac:dyDescent="0.2">
      <c r="A2549" s="31" t="s">
        <v>3605</v>
      </c>
      <c r="B2549" s="32" t="s">
        <v>3606</v>
      </c>
      <c r="C2549" s="32" t="s">
        <v>773</v>
      </c>
      <c r="D2549" s="32" t="s">
        <v>829</v>
      </c>
      <c r="E2549" s="33" t="s">
        <v>775</v>
      </c>
      <c r="F2549" s="34">
        <v>0</v>
      </c>
      <c r="G2549" s="34">
        <v>0</v>
      </c>
      <c r="H2549" s="35" t="s">
        <v>829</v>
      </c>
    </row>
    <row r="2550" spans="1:8" ht="27" customHeight="1" x14ac:dyDescent="0.2">
      <c r="A2550" s="31" t="s">
        <v>3605</v>
      </c>
      <c r="B2550" s="32" t="s">
        <v>3606</v>
      </c>
      <c r="C2550" s="32" t="s">
        <v>886</v>
      </c>
      <c r="D2550" s="32" t="s">
        <v>829</v>
      </c>
      <c r="E2550" s="33" t="s">
        <v>887</v>
      </c>
      <c r="F2550" s="34">
        <v>0</v>
      </c>
      <c r="G2550" s="34">
        <v>0</v>
      </c>
      <c r="H2550" s="35" t="s">
        <v>829</v>
      </c>
    </row>
    <row r="2551" spans="1:8" ht="27" customHeight="1" x14ac:dyDescent="0.2">
      <c r="A2551" s="31" t="s">
        <v>3605</v>
      </c>
      <c r="B2551" s="32" t="s">
        <v>3606</v>
      </c>
      <c r="C2551" s="32" t="s">
        <v>860</v>
      </c>
      <c r="D2551" s="32" t="s">
        <v>829</v>
      </c>
      <c r="E2551" s="33" t="s">
        <v>861</v>
      </c>
      <c r="F2551" s="34">
        <v>0</v>
      </c>
      <c r="G2551" s="34">
        <v>0</v>
      </c>
      <c r="H2551" s="35" t="s">
        <v>829</v>
      </c>
    </row>
    <row r="2552" spans="1:8" ht="27" customHeight="1" x14ac:dyDescent="0.2">
      <c r="A2552" s="31" t="s">
        <v>3605</v>
      </c>
      <c r="B2552" s="32" t="s">
        <v>3606</v>
      </c>
      <c r="C2552" s="32" t="s">
        <v>796</v>
      </c>
      <c r="D2552" s="32" t="s">
        <v>3613</v>
      </c>
      <c r="E2552" s="33" t="s">
        <v>772</v>
      </c>
      <c r="F2552" s="34">
        <v>186400</v>
      </c>
      <c r="G2552" s="34">
        <v>186400</v>
      </c>
      <c r="H2552" s="35" t="s">
        <v>3614</v>
      </c>
    </row>
    <row r="2553" spans="1:8" ht="27" customHeight="1" x14ac:dyDescent="0.2">
      <c r="A2553" s="31" t="s">
        <v>3605</v>
      </c>
      <c r="B2553" s="32" t="s">
        <v>3606</v>
      </c>
      <c r="C2553" s="32" t="s">
        <v>776</v>
      </c>
      <c r="D2553" s="32" t="s">
        <v>3615</v>
      </c>
      <c r="E2553" s="33" t="s">
        <v>777</v>
      </c>
      <c r="F2553" s="34">
        <v>1434883</v>
      </c>
      <c r="G2553" s="34">
        <v>1434883</v>
      </c>
      <c r="H2553" s="35" t="s">
        <v>3616</v>
      </c>
    </row>
    <row r="2554" spans="1:8" ht="27" customHeight="1" x14ac:dyDescent="0.2">
      <c r="A2554" s="31" t="s">
        <v>3605</v>
      </c>
      <c r="B2554" s="32" t="s">
        <v>3606</v>
      </c>
      <c r="C2554" s="32" t="s">
        <v>798</v>
      </c>
      <c r="D2554" s="32" t="s">
        <v>829</v>
      </c>
      <c r="E2554" s="33" t="s">
        <v>800</v>
      </c>
      <c r="F2554" s="34">
        <v>0</v>
      </c>
      <c r="G2554" s="34">
        <v>0</v>
      </c>
      <c r="H2554" s="35" t="s">
        <v>829</v>
      </c>
    </row>
    <row r="2555" spans="1:8" ht="27" customHeight="1" x14ac:dyDescent="0.2">
      <c r="A2555" s="31" t="s">
        <v>3605</v>
      </c>
      <c r="B2555" s="32" t="s">
        <v>3606</v>
      </c>
      <c r="C2555" s="32" t="s">
        <v>892</v>
      </c>
      <c r="D2555" s="32" t="s">
        <v>829</v>
      </c>
      <c r="E2555" s="33" t="s">
        <v>893</v>
      </c>
      <c r="F2555" s="34">
        <v>0</v>
      </c>
      <c r="G2555" s="34">
        <v>0</v>
      </c>
      <c r="H2555" s="35" t="s">
        <v>829</v>
      </c>
    </row>
    <row r="2556" spans="1:8" ht="27" customHeight="1" x14ac:dyDescent="0.2">
      <c r="A2556" s="31" t="s">
        <v>3605</v>
      </c>
      <c r="B2556" s="32" t="s">
        <v>3606</v>
      </c>
      <c r="C2556" s="32" t="s">
        <v>779</v>
      </c>
      <c r="D2556" s="32" t="s">
        <v>3617</v>
      </c>
      <c r="E2556" s="33" t="s">
        <v>780</v>
      </c>
      <c r="F2556" s="34">
        <v>46962</v>
      </c>
      <c r="G2556" s="34">
        <v>46963</v>
      </c>
      <c r="H2556" s="35" t="s">
        <v>3618</v>
      </c>
    </row>
    <row r="2557" spans="1:8" ht="27" customHeight="1" x14ac:dyDescent="0.2">
      <c r="A2557" s="31" t="s">
        <v>3605</v>
      </c>
      <c r="B2557" s="32" t="s">
        <v>3606</v>
      </c>
      <c r="C2557" s="32" t="s">
        <v>782</v>
      </c>
      <c r="D2557" s="32" t="s">
        <v>829</v>
      </c>
      <c r="E2557" s="33" t="s">
        <v>784</v>
      </c>
      <c r="F2557" s="34">
        <v>0</v>
      </c>
      <c r="G2557" s="34">
        <v>0</v>
      </c>
      <c r="H2557" s="35" t="s">
        <v>829</v>
      </c>
    </row>
    <row r="2558" spans="1:8" ht="27" customHeight="1" x14ac:dyDescent="0.2">
      <c r="A2558" s="31" t="s">
        <v>3619</v>
      </c>
      <c r="B2558" s="32" t="s">
        <v>3620</v>
      </c>
      <c r="C2558" s="32" t="s">
        <v>763</v>
      </c>
      <c r="D2558" s="32" t="s">
        <v>816</v>
      </c>
      <c r="E2558" s="33" t="s">
        <v>764</v>
      </c>
      <c r="F2558" s="34">
        <v>0</v>
      </c>
      <c r="G2558" s="34">
        <v>300000</v>
      </c>
      <c r="H2558" s="35" t="s">
        <v>3621</v>
      </c>
    </row>
    <row r="2559" spans="1:8" ht="27" customHeight="1" x14ac:dyDescent="0.2">
      <c r="A2559" s="31" t="s">
        <v>3619</v>
      </c>
      <c r="B2559" s="32" t="s">
        <v>3620</v>
      </c>
      <c r="C2559" s="32" t="s">
        <v>770</v>
      </c>
      <c r="D2559" s="32" t="s">
        <v>810</v>
      </c>
      <c r="E2559" s="33" t="s">
        <v>772</v>
      </c>
      <c r="F2559" s="34">
        <v>432057</v>
      </c>
      <c r="G2559" s="34">
        <v>425000</v>
      </c>
      <c r="H2559" s="35" t="s">
        <v>3622</v>
      </c>
    </row>
    <row r="2560" spans="1:8" ht="27" customHeight="1" x14ac:dyDescent="0.2">
      <c r="A2560" s="31" t="s">
        <v>3619</v>
      </c>
      <c r="B2560" s="32" t="s">
        <v>3620</v>
      </c>
      <c r="C2560" s="32" t="s">
        <v>796</v>
      </c>
      <c r="D2560" s="32" t="s">
        <v>835</v>
      </c>
      <c r="E2560" s="33" t="s">
        <v>823</v>
      </c>
      <c r="F2560" s="34">
        <v>501963</v>
      </c>
      <c r="G2560" s="34">
        <v>400000</v>
      </c>
      <c r="H2560" s="35" t="s">
        <v>3623</v>
      </c>
    </row>
    <row r="2561" spans="1:8" ht="27" customHeight="1" x14ac:dyDescent="0.2">
      <c r="A2561" s="31" t="s">
        <v>3619</v>
      </c>
      <c r="B2561" s="32" t="s">
        <v>3620</v>
      </c>
      <c r="C2561" s="32" t="s">
        <v>776</v>
      </c>
      <c r="D2561" s="32" t="s">
        <v>812</v>
      </c>
      <c r="E2561" s="33" t="s">
        <v>777</v>
      </c>
      <c r="F2561" s="34">
        <v>169543</v>
      </c>
      <c r="G2561" s="34">
        <v>220000</v>
      </c>
      <c r="H2561" s="35" t="s">
        <v>3624</v>
      </c>
    </row>
    <row r="2562" spans="1:8" ht="27" customHeight="1" x14ac:dyDescent="0.2">
      <c r="A2562" s="31" t="s">
        <v>3619</v>
      </c>
      <c r="B2562" s="32" t="s">
        <v>3620</v>
      </c>
      <c r="C2562" s="32" t="s">
        <v>779</v>
      </c>
      <c r="D2562" s="32" t="s">
        <v>876</v>
      </c>
      <c r="E2562" s="33" t="s">
        <v>780</v>
      </c>
      <c r="F2562" s="34">
        <v>14374</v>
      </c>
      <c r="G2562" s="34">
        <v>20000</v>
      </c>
      <c r="H2562" s="35" t="s">
        <v>3625</v>
      </c>
    </row>
    <row r="2563" spans="1:8" ht="27" customHeight="1" x14ac:dyDescent="0.2">
      <c r="A2563" s="31" t="s">
        <v>3626</v>
      </c>
      <c r="B2563" s="32" t="s">
        <v>3627</v>
      </c>
      <c r="C2563" s="32" t="s">
        <v>776</v>
      </c>
      <c r="D2563" s="32" t="s">
        <v>914</v>
      </c>
      <c r="E2563" s="33" t="s">
        <v>777</v>
      </c>
      <c r="F2563" s="34">
        <v>617735</v>
      </c>
      <c r="G2563" s="34">
        <v>617735</v>
      </c>
      <c r="H2563" s="35" t="s">
        <v>3628</v>
      </c>
    </row>
    <row r="2564" spans="1:8" ht="27" customHeight="1" x14ac:dyDescent="0.2">
      <c r="A2564" s="31" t="s">
        <v>3626</v>
      </c>
      <c r="B2564" s="32" t="s">
        <v>3627</v>
      </c>
      <c r="C2564" s="32" t="s">
        <v>779</v>
      </c>
      <c r="D2564" s="32" t="s">
        <v>876</v>
      </c>
      <c r="E2564" s="33" t="s">
        <v>780</v>
      </c>
      <c r="F2564" s="34">
        <v>0</v>
      </c>
      <c r="G2564" s="34">
        <v>20000</v>
      </c>
      <c r="H2564" s="35" t="s">
        <v>3629</v>
      </c>
    </row>
    <row r="2565" spans="1:8" ht="27" customHeight="1" x14ac:dyDescent="0.2">
      <c r="A2565" s="31" t="s">
        <v>3626</v>
      </c>
      <c r="B2565" s="32" t="s">
        <v>3627</v>
      </c>
      <c r="C2565" s="32" t="s">
        <v>782</v>
      </c>
      <c r="D2565" s="32" t="s">
        <v>813</v>
      </c>
      <c r="E2565" s="33" t="s">
        <v>784</v>
      </c>
      <c r="F2565" s="34">
        <v>0</v>
      </c>
      <c r="G2565" s="34">
        <v>290572</v>
      </c>
      <c r="H2565" s="35" t="s">
        <v>3629</v>
      </c>
    </row>
    <row r="2566" spans="1:8" ht="27" customHeight="1" x14ac:dyDescent="0.2">
      <c r="A2566" s="31" t="s">
        <v>3630</v>
      </c>
      <c r="B2566" s="32" t="s">
        <v>3631</v>
      </c>
      <c r="C2566" s="32" t="s">
        <v>763</v>
      </c>
      <c r="D2566" s="32" t="s">
        <v>816</v>
      </c>
      <c r="E2566" s="33" t="s">
        <v>764</v>
      </c>
      <c r="F2566" s="34">
        <v>3976981</v>
      </c>
      <c r="G2566" s="34">
        <v>5965</v>
      </c>
      <c r="H2566" s="35" t="s">
        <v>3632</v>
      </c>
    </row>
    <row r="2567" spans="1:8" ht="27" customHeight="1" x14ac:dyDescent="0.2">
      <c r="A2567" s="31" t="s">
        <v>3630</v>
      </c>
      <c r="B2567" s="32" t="s">
        <v>3631</v>
      </c>
      <c r="C2567" s="32" t="s">
        <v>766</v>
      </c>
      <c r="D2567" s="32" t="s">
        <v>832</v>
      </c>
      <c r="E2567" s="33" t="s">
        <v>768</v>
      </c>
      <c r="F2567" s="34">
        <v>589103</v>
      </c>
      <c r="G2567" s="34">
        <v>589103</v>
      </c>
      <c r="H2567" s="35" t="s">
        <v>3633</v>
      </c>
    </row>
    <row r="2568" spans="1:8" ht="27" customHeight="1" x14ac:dyDescent="0.2">
      <c r="A2568" s="31" t="s">
        <v>3630</v>
      </c>
      <c r="B2568" s="32" t="s">
        <v>3631</v>
      </c>
      <c r="C2568" s="32" t="s">
        <v>770</v>
      </c>
      <c r="D2568" s="32" t="s">
        <v>810</v>
      </c>
      <c r="E2568" s="33" t="s">
        <v>772</v>
      </c>
      <c r="F2568" s="34">
        <v>1925055</v>
      </c>
      <c r="G2568" s="34">
        <v>1927942</v>
      </c>
      <c r="H2568" s="35" t="s">
        <v>859</v>
      </c>
    </row>
    <row r="2569" spans="1:8" ht="27" customHeight="1" x14ac:dyDescent="0.2">
      <c r="A2569" s="31" t="s">
        <v>3630</v>
      </c>
      <c r="B2569" s="32" t="s">
        <v>3631</v>
      </c>
      <c r="C2569" s="32" t="s">
        <v>844</v>
      </c>
      <c r="D2569" s="32" t="s">
        <v>972</v>
      </c>
      <c r="E2569" s="33" t="s">
        <v>846</v>
      </c>
      <c r="F2569" s="34">
        <v>493683</v>
      </c>
      <c r="G2569" s="34">
        <v>494424</v>
      </c>
      <c r="H2569" s="35" t="s">
        <v>859</v>
      </c>
    </row>
    <row r="2570" spans="1:8" ht="27" customHeight="1" x14ac:dyDescent="0.2">
      <c r="A2570" s="31" t="s">
        <v>3630</v>
      </c>
      <c r="B2570" s="32" t="s">
        <v>3631</v>
      </c>
      <c r="C2570" s="32" t="s">
        <v>776</v>
      </c>
      <c r="D2570" s="32" t="s">
        <v>812</v>
      </c>
      <c r="E2570" s="33" t="s">
        <v>777</v>
      </c>
      <c r="F2570" s="34">
        <v>5508327</v>
      </c>
      <c r="G2570" s="34">
        <v>5516589</v>
      </c>
      <c r="H2570" s="35" t="s">
        <v>3634</v>
      </c>
    </row>
    <row r="2571" spans="1:8" ht="27" customHeight="1" x14ac:dyDescent="0.2">
      <c r="A2571" s="31" t="s">
        <v>3630</v>
      </c>
      <c r="B2571" s="32" t="s">
        <v>3631</v>
      </c>
      <c r="C2571" s="32" t="s">
        <v>779</v>
      </c>
      <c r="D2571" s="32" t="s">
        <v>802</v>
      </c>
      <c r="E2571" s="33" t="s">
        <v>780</v>
      </c>
      <c r="F2571" s="34">
        <v>171642</v>
      </c>
      <c r="G2571" s="34">
        <v>171900</v>
      </c>
      <c r="H2571" s="35" t="s">
        <v>859</v>
      </c>
    </row>
    <row r="2572" spans="1:8" ht="27" customHeight="1" x14ac:dyDescent="0.2">
      <c r="A2572" s="31" t="s">
        <v>3635</v>
      </c>
      <c r="B2572" s="32" t="s">
        <v>3636</v>
      </c>
      <c r="C2572" s="32" t="s">
        <v>763</v>
      </c>
      <c r="D2572" s="32" t="s">
        <v>1416</v>
      </c>
      <c r="E2572" s="33" t="s">
        <v>764</v>
      </c>
      <c r="F2572" s="34">
        <v>145</v>
      </c>
      <c r="G2572" s="34">
        <v>145</v>
      </c>
      <c r="H2572" s="35" t="s">
        <v>3637</v>
      </c>
    </row>
    <row r="2573" spans="1:8" ht="27" customHeight="1" x14ac:dyDescent="0.2">
      <c r="A2573" s="31" t="s">
        <v>3635</v>
      </c>
      <c r="B2573" s="32" t="s">
        <v>3636</v>
      </c>
      <c r="C2573" s="32" t="s">
        <v>763</v>
      </c>
      <c r="D2573" s="32" t="s">
        <v>806</v>
      </c>
      <c r="E2573" s="33" t="s">
        <v>764</v>
      </c>
      <c r="F2573" s="34">
        <v>2051709</v>
      </c>
      <c r="G2573" s="34">
        <v>2051709</v>
      </c>
      <c r="H2573" s="35" t="s">
        <v>3637</v>
      </c>
    </row>
    <row r="2574" spans="1:8" ht="27" customHeight="1" x14ac:dyDescent="0.2">
      <c r="A2574" s="31" t="s">
        <v>3635</v>
      </c>
      <c r="B2574" s="32" t="s">
        <v>3636</v>
      </c>
      <c r="C2574" s="32" t="s">
        <v>770</v>
      </c>
      <c r="D2574" s="32" t="s">
        <v>3638</v>
      </c>
      <c r="E2574" s="33" t="s">
        <v>772</v>
      </c>
      <c r="F2574" s="34">
        <v>362973</v>
      </c>
      <c r="G2574" s="34">
        <v>375000</v>
      </c>
      <c r="H2574" s="35" t="s">
        <v>3637</v>
      </c>
    </row>
    <row r="2575" spans="1:8" ht="27" customHeight="1" x14ac:dyDescent="0.2">
      <c r="A2575" s="31" t="s">
        <v>3635</v>
      </c>
      <c r="B2575" s="32" t="s">
        <v>3636</v>
      </c>
      <c r="C2575" s="32" t="s">
        <v>796</v>
      </c>
      <c r="D2575" s="32" t="s">
        <v>2689</v>
      </c>
      <c r="E2575" s="33" t="s">
        <v>772</v>
      </c>
      <c r="F2575" s="34">
        <v>300000</v>
      </c>
      <c r="G2575" s="34">
        <v>300000</v>
      </c>
      <c r="H2575" s="35" t="s">
        <v>3637</v>
      </c>
    </row>
    <row r="2576" spans="1:8" ht="27" customHeight="1" x14ac:dyDescent="0.2">
      <c r="A2576" s="31" t="s">
        <v>3635</v>
      </c>
      <c r="B2576" s="32" t="s">
        <v>3636</v>
      </c>
      <c r="C2576" s="32" t="s">
        <v>776</v>
      </c>
      <c r="D2576" s="32" t="s">
        <v>914</v>
      </c>
      <c r="E2576" s="33" t="s">
        <v>777</v>
      </c>
      <c r="F2576" s="34">
        <v>533999</v>
      </c>
      <c r="G2576" s="34">
        <v>533999</v>
      </c>
      <c r="H2576" s="35" t="s">
        <v>3637</v>
      </c>
    </row>
    <row r="2577" spans="1:8" ht="27" customHeight="1" x14ac:dyDescent="0.2">
      <c r="A2577" s="31" t="s">
        <v>3635</v>
      </c>
      <c r="B2577" s="32" t="s">
        <v>3636</v>
      </c>
      <c r="C2577" s="32" t="s">
        <v>779</v>
      </c>
      <c r="D2577" s="32" t="s">
        <v>1126</v>
      </c>
      <c r="E2577" s="33" t="s">
        <v>780</v>
      </c>
      <c r="F2577" s="34">
        <v>100000</v>
      </c>
      <c r="G2577" s="34">
        <v>100000</v>
      </c>
      <c r="H2577" s="35" t="s">
        <v>3637</v>
      </c>
    </row>
    <row r="2578" spans="1:8" ht="27" customHeight="1" x14ac:dyDescent="0.2">
      <c r="A2578" s="31" t="s">
        <v>3639</v>
      </c>
      <c r="B2578" s="32" t="s">
        <v>3640</v>
      </c>
      <c r="C2578" s="32" t="s">
        <v>763</v>
      </c>
      <c r="D2578" s="32" t="s">
        <v>816</v>
      </c>
      <c r="E2578" s="33" t="s">
        <v>764</v>
      </c>
      <c r="F2578" s="34">
        <v>3006273</v>
      </c>
      <c r="G2578" s="34">
        <v>10000000</v>
      </c>
      <c r="H2578" s="35" t="s">
        <v>3641</v>
      </c>
    </row>
    <row r="2579" spans="1:8" ht="27" customHeight="1" x14ac:dyDescent="0.2">
      <c r="A2579" s="31" t="s">
        <v>3639</v>
      </c>
      <c r="B2579" s="32" t="s">
        <v>3640</v>
      </c>
      <c r="C2579" s="32" t="s">
        <v>766</v>
      </c>
      <c r="D2579" s="32" t="s">
        <v>832</v>
      </c>
      <c r="E2579" s="33" t="s">
        <v>768</v>
      </c>
      <c r="F2579" s="34">
        <v>2458703</v>
      </c>
      <c r="G2579" s="34">
        <v>2268078</v>
      </c>
      <c r="H2579" s="35" t="s">
        <v>3642</v>
      </c>
    </row>
    <row r="2580" spans="1:8" ht="27" customHeight="1" x14ac:dyDescent="0.2">
      <c r="A2580" s="31" t="s">
        <v>3639</v>
      </c>
      <c r="B2580" s="32" t="s">
        <v>3640</v>
      </c>
      <c r="C2580" s="32" t="s">
        <v>770</v>
      </c>
      <c r="D2580" s="32" t="s">
        <v>3643</v>
      </c>
      <c r="E2580" s="33" t="s">
        <v>772</v>
      </c>
      <c r="F2580" s="34">
        <v>4897309</v>
      </c>
      <c r="G2580" s="34">
        <v>4897309</v>
      </c>
      <c r="H2580" s="35" t="s">
        <v>3644</v>
      </c>
    </row>
    <row r="2581" spans="1:8" ht="27" customHeight="1" x14ac:dyDescent="0.2">
      <c r="A2581" s="31" t="s">
        <v>3639</v>
      </c>
      <c r="B2581" s="32" t="s">
        <v>3640</v>
      </c>
      <c r="C2581" s="32" t="s">
        <v>773</v>
      </c>
      <c r="D2581" s="32" t="s">
        <v>973</v>
      </c>
      <c r="E2581" s="33" t="s">
        <v>775</v>
      </c>
      <c r="F2581" s="34">
        <v>859637</v>
      </c>
      <c r="G2581" s="34">
        <v>859637</v>
      </c>
      <c r="H2581" s="35" t="s">
        <v>3645</v>
      </c>
    </row>
    <row r="2582" spans="1:8" ht="27" customHeight="1" x14ac:dyDescent="0.2">
      <c r="A2582" s="31" t="s">
        <v>3639</v>
      </c>
      <c r="B2582" s="32" t="s">
        <v>3640</v>
      </c>
      <c r="C2582" s="32" t="s">
        <v>831</v>
      </c>
      <c r="D2582" s="32" t="s">
        <v>3646</v>
      </c>
      <c r="E2582" s="33" t="s">
        <v>3647</v>
      </c>
      <c r="F2582" s="34">
        <v>0</v>
      </c>
      <c r="G2582" s="34">
        <v>5000000</v>
      </c>
      <c r="H2582" s="35" t="s">
        <v>3648</v>
      </c>
    </row>
    <row r="2583" spans="1:8" ht="27" customHeight="1" x14ac:dyDescent="0.2">
      <c r="A2583" s="31" t="s">
        <v>3639</v>
      </c>
      <c r="B2583" s="32" t="s">
        <v>3640</v>
      </c>
      <c r="C2583" s="32" t="s">
        <v>886</v>
      </c>
      <c r="D2583" s="32" t="s">
        <v>1013</v>
      </c>
      <c r="E2583" s="33" t="s">
        <v>887</v>
      </c>
      <c r="F2583" s="34">
        <v>442672</v>
      </c>
      <c r="G2583" s="34">
        <v>442672</v>
      </c>
      <c r="H2583" s="35" t="s">
        <v>3649</v>
      </c>
    </row>
    <row r="2584" spans="1:8" ht="27" customHeight="1" x14ac:dyDescent="0.2">
      <c r="A2584" s="31" t="s">
        <v>3639</v>
      </c>
      <c r="B2584" s="32" t="s">
        <v>3640</v>
      </c>
      <c r="C2584" s="32" t="s">
        <v>796</v>
      </c>
      <c r="D2584" s="32" t="s">
        <v>811</v>
      </c>
      <c r="E2584" s="33" t="s">
        <v>823</v>
      </c>
      <c r="F2584" s="34">
        <v>1520650</v>
      </c>
      <c r="G2584" s="34">
        <v>1520650</v>
      </c>
      <c r="H2584" s="35" t="s">
        <v>3650</v>
      </c>
    </row>
    <row r="2585" spans="1:8" ht="27" customHeight="1" x14ac:dyDescent="0.2">
      <c r="A2585" s="31" t="s">
        <v>3639</v>
      </c>
      <c r="B2585" s="32" t="s">
        <v>3640</v>
      </c>
      <c r="C2585" s="32" t="s">
        <v>776</v>
      </c>
      <c r="D2585" s="32" t="s">
        <v>812</v>
      </c>
      <c r="E2585" s="33" t="s">
        <v>777</v>
      </c>
      <c r="F2585" s="34">
        <v>8349329</v>
      </c>
      <c r="G2585" s="34">
        <v>8349329</v>
      </c>
      <c r="H2585" s="35" t="s">
        <v>3651</v>
      </c>
    </row>
    <row r="2586" spans="1:8" ht="27" customHeight="1" x14ac:dyDescent="0.2">
      <c r="A2586" s="31" t="s">
        <v>3639</v>
      </c>
      <c r="B2586" s="32" t="s">
        <v>3640</v>
      </c>
      <c r="C2586" s="32" t="s">
        <v>779</v>
      </c>
      <c r="D2586" s="32" t="s">
        <v>802</v>
      </c>
      <c r="E2586" s="33" t="s">
        <v>780</v>
      </c>
      <c r="F2586" s="34">
        <v>1070983</v>
      </c>
      <c r="G2586" s="34">
        <v>1070983</v>
      </c>
      <c r="H2586" s="35" t="s">
        <v>3652</v>
      </c>
    </row>
    <row r="2587" spans="1:8" ht="27" customHeight="1" x14ac:dyDescent="0.2">
      <c r="A2587" s="31" t="s">
        <v>3639</v>
      </c>
      <c r="B2587" s="32" t="s">
        <v>3640</v>
      </c>
      <c r="C2587" s="32" t="s">
        <v>782</v>
      </c>
      <c r="D2587" s="32" t="s">
        <v>1391</v>
      </c>
      <c r="E2587" s="33" t="s">
        <v>784</v>
      </c>
      <c r="F2587" s="34">
        <v>2270677</v>
      </c>
      <c r="G2587" s="34">
        <v>2270677</v>
      </c>
      <c r="H2587" s="35" t="s">
        <v>3653</v>
      </c>
    </row>
    <row r="2588" spans="1:8" ht="27" customHeight="1" x14ac:dyDescent="0.2">
      <c r="A2588" s="31" t="s">
        <v>3654</v>
      </c>
      <c r="B2588" s="32" t="s">
        <v>3655</v>
      </c>
      <c r="C2588" s="32" t="s">
        <v>763</v>
      </c>
      <c r="D2588" s="32" t="s">
        <v>763</v>
      </c>
      <c r="E2588" s="33" t="s">
        <v>764</v>
      </c>
      <c r="F2588" s="34">
        <v>5000000</v>
      </c>
      <c r="G2588" s="34">
        <v>5003000</v>
      </c>
      <c r="H2588" s="35" t="s">
        <v>3656</v>
      </c>
    </row>
    <row r="2589" spans="1:8" ht="27" customHeight="1" x14ac:dyDescent="0.2">
      <c r="A2589" s="31" t="s">
        <v>3654</v>
      </c>
      <c r="B2589" s="32" t="s">
        <v>3655</v>
      </c>
      <c r="C2589" s="32" t="s">
        <v>770</v>
      </c>
      <c r="D2589" s="32" t="s">
        <v>1136</v>
      </c>
      <c r="E2589" s="33" t="s">
        <v>772</v>
      </c>
      <c r="F2589" s="34">
        <v>1150000</v>
      </c>
      <c r="G2589" s="34">
        <v>1150805</v>
      </c>
      <c r="H2589" s="35" t="s">
        <v>3657</v>
      </c>
    </row>
    <row r="2590" spans="1:8" ht="27" customHeight="1" x14ac:dyDescent="0.2">
      <c r="A2590" s="31" t="s">
        <v>3654</v>
      </c>
      <c r="B2590" s="32" t="s">
        <v>3655</v>
      </c>
      <c r="C2590" s="32" t="s">
        <v>773</v>
      </c>
      <c r="D2590" s="32" t="s">
        <v>773</v>
      </c>
      <c r="E2590" s="33" t="s">
        <v>775</v>
      </c>
      <c r="F2590" s="34">
        <v>38430</v>
      </c>
      <c r="G2590" s="34">
        <v>32460</v>
      </c>
      <c r="H2590" s="35" t="s">
        <v>3658</v>
      </c>
    </row>
    <row r="2591" spans="1:8" ht="27" customHeight="1" x14ac:dyDescent="0.2">
      <c r="A2591" s="31" t="s">
        <v>3654</v>
      </c>
      <c r="B2591" s="32" t="s">
        <v>3655</v>
      </c>
      <c r="C2591" s="32" t="s">
        <v>831</v>
      </c>
      <c r="D2591" s="32" t="s">
        <v>3659</v>
      </c>
      <c r="E2591" s="33" t="s">
        <v>3660</v>
      </c>
      <c r="F2591" s="34">
        <v>8614417</v>
      </c>
      <c r="G2591" s="34">
        <v>8619721</v>
      </c>
      <c r="H2591" s="35" t="s">
        <v>3661</v>
      </c>
    </row>
    <row r="2592" spans="1:8" ht="27" customHeight="1" x14ac:dyDescent="0.2">
      <c r="A2592" s="31" t="s">
        <v>3654</v>
      </c>
      <c r="B2592" s="32" t="s">
        <v>3655</v>
      </c>
      <c r="C2592" s="32" t="s">
        <v>886</v>
      </c>
      <c r="D2592" s="32" t="s">
        <v>3574</v>
      </c>
      <c r="E2592" s="33" t="s">
        <v>887</v>
      </c>
      <c r="F2592" s="34">
        <v>86561</v>
      </c>
      <c r="G2592" s="34">
        <v>86606</v>
      </c>
      <c r="H2592" s="35" t="s">
        <v>3658</v>
      </c>
    </row>
    <row r="2593" spans="1:8" ht="27" customHeight="1" x14ac:dyDescent="0.2">
      <c r="A2593" s="31" t="s">
        <v>3654</v>
      </c>
      <c r="B2593" s="32" t="s">
        <v>3655</v>
      </c>
      <c r="C2593" s="32" t="s">
        <v>796</v>
      </c>
      <c r="D2593" s="32" t="s">
        <v>835</v>
      </c>
      <c r="E2593" s="33" t="s">
        <v>823</v>
      </c>
      <c r="F2593" s="34">
        <v>1090777</v>
      </c>
      <c r="G2593" s="34">
        <v>1091550</v>
      </c>
      <c r="H2593" s="35" t="s">
        <v>3662</v>
      </c>
    </row>
    <row r="2594" spans="1:8" ht="27" customHeight="1" x14ac:dyDescent="0.2">
      <c r="A2594" s="31" t="s">
        <v>3654</v>
      </c>
      <c r="B2594" s="32" t="s">
        <v>3655</v>
      </c>
      <c r="C2594" s="32" t="s">
        <v>776</v>
      </c>
      <c r="D2594" s="32" t="s">
        <v>776</v>
      </c>
      <c r="E2594" s="33" t="s">
        <v>777</v>
      </c>
      <c r="F2594" s="34">
        <v>1612090</v>
      </c>
      <c r="G2594" s="34">
        <v>1750000</v>
      </c>
      <c r="H2594" s="35" t="s">
        <v>3663</v>
      </c>
    </row>
    <row r="2595" spans="1:8" ht="27" customHeight="1" x14ac:dyDescent="0.2">
      <c r="A2595" s="31" t="s">
        <v>3654</v>
      </c>
      <c r="B2595" s="32" t="s">
        <v>3655</v>
      </c>
      <c r="C2595" s="32" t="s">
        <v>779</v>
      </c>
      <c r="D2595" s="32" t="s">
        <v>802</v>
      </c>
      <c r="E2595" s="33" t="s">
        <v>780</v>
      </c>
      <c r="F2595" s="34">
        <v>92276</v>
      </c>
      <c r="G2595" s="34">
        <v>95000</v>
      </c>
      <c r="H2595" s="35" t="s">
        <v>3664</v>
      </c>
    </row>
    <row r="2596" spans="1:8" ht="27" customHeight="1" x14ac:dyDescent="0.2">
      <c r="A2596" s="31" t="s">
        <v>3654</v>
      </c>
      <c r="B2596" s="32" t="s">
        <v>3655</v>
      </c>
      <c r="C2596" s="32" t="s">
        <v>782</v>
      </c>
      <c r="D2596" s="32" t="s">
        <v>1735</v>
      </c>
      <c r="E2596" s="33" t="s">
        <v>784</v>
      </c>
      <c r="F2596" s="34">
        <v>750000</v>
      </c>
      <c r="G2596" s="34">
        <v>750698</v>
      </c>
      <c r="H2596" s="35" t="s">
        <v>3664</v>
      </c>
    </row>
    <row r="2597" spans="1:8" ht="27" customHeight="1" x14ac:dyDescent="0.2">
      <c r="A2597" s="31" t="s">
        <v>3665</v>
      </c>
      <c r="B2597" s="32" t="s">
        <v>3666</v>
      </c>
      <c r="C2597" s="32" t="s">
        <v>763</v>
      </c>
      <c r="D2597" s="32" t="s">
        <v>816</v>
      </c>
      <c r="E2597" s="33" t="s">
        <v>764</v>
      </c>
      <c r="F2597" s="34">
        <v>3285000</v>
      </c>
      <c r="G2597" s="34">
        <v>4051220</v>
      </c>
      <c r="H2597" s="35" t="s">
        <v>3667</v>
      </c>
    </row>
    <row r="2598" spans="1:8" ht="27" customHeight="1" x14ac:dyDescent="0.2">
      <c r="A2598" s="31" t="s">
        <v>3665</v>
      </c>
      <c r="B2598" s="32" t="s">
        <v>3666</v>
      </c>
      <c r="C2598" s="32" t="s">
        <v>770</v>
      </c>
      <c r="D2598" s="32" t="s">
        <v>1136</v>
      </c>
      <c r="E2598" s="33" t="s">
        <v>772</v>
      </c>
      <c r="F2598" s="34">
        <v>1950000</v>
      </c>
      <c r="G2598" s="34">
        <v>1800000</v>
      </c>
      <c r="H2598" s="35" t="s">
        <v>3668</v>
      </c>
    </row>
    <row r="2599" spans="1:8" ht="27" customHeight="1" x14ac:dyDescent="0.2">
      <c r="A2599" s="31" t="s">
        <v>3665</v>
      </c>
      <c r="B2599" s="32" t="s">
        <v>3666</v>
      </c>
      <c r="C2599" s="32" t="s">
        <v>860</v>
      </c>
      <c r="D2599" s="32" t="s">
        <v>911</v>
      </c>
      <c r="E2599" s="33" t="s">
        <v>861</v>
      </c>
      <c r="F2599" s="34">
        <v>75330</v>
      </c>
      <c r="G2599" s="34">
        <v>0</v>
      </c>
      <c r="H2599" s="35" t="s">
        <v>2840</v>
      </c>
    </row>
    <row r="2600" spans="1:8" ht="27" customHeight="1" x14ac:dyDescent="0.2">
      <c r="A2600" s="31" t="s">
        <v>3665</v>
      </c>
      <c r="B2600" s="32" t="s">
        <v>3666</v>
      </c>
      <c r="C2600" s="32" t="s">
        <v>796</v>
      </c>
      <c r="D2600" s="32" t="s">
        <v>1050</v>
      </c>
      <c r="E2600" s="33" t="s">
        <v>823</v>
      </c>
      <c r="F2600" s="34">
        <v>1822591</v>
      </c>
      <c r="G2600" s="34">
        <v>1672591</v>
      </c>
      <c r="H2600" s="35" t="s">
        <v>3669</v>
      </c>
    </row>
    <row r="2601" spans="1:8" ht="27" customHeight="1" x14ac:dyDescent="0.2">
      <c r="A2601" s="31" t="s">
        <v>3665</v>
      </c>
      <c r="B2601" s="32" t="s">
        <v>3666</v>
      </c>
      <c r="C2601" s="32" t="s">
        <v>776</v>
      </c>
      <c r="D2601" s="32" t="s">
        <v>3670</v>
      </c>
      <c r="E2601" s="33" t="s">
        <v>777</v>
      </c>
      <c r="F2601" s="34">
        <v>4337694</v>
      </c>
      <c r="G2601" s="34">
        <v>3500000</v>
      </c>
      <c r="H2601" s="35" t="s">
        <v>3671</v>
      </c>
    </row>
    <row r="2602" spans="1:8" ht="27" customHeight="1" x14ac:dyDescent="0.2">
      <c r="A2602" s="31" t="s">
        <v>3665</v>
      </c>
      <c r="B2602" s="32" t="s">
        <v>3666</v>
      </c>
      <c r="C2602" s="32" t="s">
        <v>779</v>
      </c>
      <c r="D2602" s="32" t="s">
        <v>826</v>
      </c>
      <c r="E2602" s="33" t="s">
        <v>780</v>
      </c>
      <c r="F2602" s="34">
        <v>1016220</v>
      </c>
      <c r="G2602" s="34">
        <v>200000</v>
      </c>
      <c r="H2602" s="35" t="s">
        <v>3672</v>
      </c>
    </row>
    <row r="2603" spans="1:8" ht="27" customHeight="1" x14ac:dyDescent="0.2">
      <c r="A2603" s="31" t="s">
        <v>3665</v>
      </c>
      <c r="B2603" s="32" t="s">
        <v>3666</v>
      </c>
      <c r="C2603" s="32" t="s">
        <v>782</v>
      </c>
      <c r="D2603" s="32" t="s">
        <v>3673</v>
      </c>
      <c r="E2603" s="33" t="s">
        <v>784</v>
      </c>
      <c r="F2603" s="34">
        <v>1495000</v>
      </c>
      <c r="G2603" s="34">
        <v>1495000</v>
      </c>
      <c r="H2603" s="35" t="s">
        <v>3674</v>
      </c>
    </row>
    <row r="2604" spans="1:8" ht="27" customHeight="1" x14ac:dyDescent="0.2">
      <c r="A2604" s="31" t="s">
        <v>3675</v>
      </c>
      <c r="B2604" s="32" t="s">
        <v>3676</v>
      </c>
      <c r="C2604" s="32" t="s">
        <v>770</v>
      </c>
      <c r="D2604" s="32" t="s">
        <v>1011</v>
      </c>
      <c r="E2604" s="33" t="s">
        <v>772</v>
      </c>
      <c r="F2604" s="34">
        <v>1522380</v>
      </c>
      <c r="G2604" s="34">
        <v>1522380</v>
      </c>
      <c r="H2604" s="35" t="s">
        <v>3677</v>
      </c>
    </row>
    <row r="2605" spans="1:8" ht="27" customHeight="1" x14ac:dyDescent="0.2">
      <c r="A2605" s="31" t="s">
        <v>3675</v>
      </c>
      <c r="B2605" s="32" t="s">
        <v>3676</v>
      </c>
      <c r="C2605" s="32" t="s">
        <v>796</v>
      </c>
      <c r="D2605" s="32" t="s">
        <v>811</v>
      </c>
      <c r="E2605" s="33" t="s">
        <v>823</v>
      </c>
      <c r="F2605" s="34">
        <v>4034344</v>
      </c>
      <c r="G2605" s="34">
        <v>4302567</v>
      </c>
      <c r="H2605" s="35" t="s">
        <v>3678</v>
      </c>
    </row>
    <row r="2606" spans="1:8" ht="27" customHeight="1" x14ac:dyDescent="0.2">
      <c r="A2606" s="31" t="s">
        <v>3679</v>
      </c>
      <c r="B2606" s="32" t="s">
        <v>3680</v>
      </c>
      <c r="C2606" s="32" t="s">
        <v>770</v>
      </c>
      <c r="D2606" s="32" t="s">
        <v>1136</v>
      </c>
      <c r="E2606" s="33" t="s">
        <v>772</v>
      </c>
      <c r="F2606" s="34">
        <v>2322077</v>
      </c>
      <c r="G2606" s="34">
        <v>2376672</v>
      </c>
      <c r="H2606" s="35" t="s">
        <v>3681</v>
      </c>
    </row>
    <row r="2607" spans="1:8" ht="27" customHeight="1" x14ac:dyDescent="0.2">
      <c r="A2607" s="31" t="s">
        <v>3679</v>
      </c>
      <c r="B2607" s="32" t="s">
        <v>3680</v>
      </c>
      <c r="C2607" s="32" t="s">
        <v>796</v>
      </c>
      <c r="D2607" s="32" t="s">
        <v>835</v>
      </c>
      <c r="E2607" s="33" t="s">
        <v>823</v>
      </c>
      <c r="F2607" s="34">
        <v>492947</v>
      </c>
      <c r="G2607" s="34">
        <v>323565</v>
      </c>
      <c r="H2607" s="35" t="s">
        <v>3682</v>
      </c>
    </row>
    <row r="2608" spans="1:8" ht="27" customHeight="1" x14ac:dyDescent="0.2">
      <c r="A2608" s="31" t="s">
        <v>3679</v>
      </c>
      <c r="B2608" s="32" t="s">
        <v>3680</v>
      </c>
      <c r="C2608" s="32" t="s">
        <v>776</v>
      </c>
      <c r="D2608" s="32" t="s">
        <v>812</v>
      </c>
      <c r="E2608" s="33" t="s">
        <v>777</v>
      </c>
      <c r="F2608" s="34">
        <v>4790241</v>
      </c>
      <c r="G2608" s="34">
        <v>5712006</v>
      </c>
      <c r="H2608" s="35" t="s">
        <v>3683</v>
      </c>
    </row>
    <row r="2609" spans="1:8" ht="27" customHeight="1" x14ac:dyDescent="0.2">
      <c r="A2609" s="31" t="s">
        <v>3679</v>
      </c>
      <c r="B2609" s="32" t="s">
        <v>3680</v>
      </c>
      <c r="C2609" s="32" t="s">
        <v>782</v>
      </c>
      <c r="D2609" s="32" t="s">
        <v>839</v>
      </c>
      <c r="E2609" s="33" t="s">
        <v>784</v>
      </c>
      <c r="F2609" s="34">
        <v>30470</v>
      </c>
      <c r="G2609" s="34">
        <v>30485</v>
      </c>
      <c r="H2609" s="35" t="s">
        <v>3684</v>
      </c>
    </row>
    <row r="2610" spans="1:8" ht="27" customHeight="1" x14ac:dyDescent="0.2">
      <c r="A2610" s="31" t="s">
        <v>3685</v>
      </c>
      <c r="B2610" s="32" t="s">
        <v>3686</v>
      </c>
      <c r="C2610" s="32" t="s">
        <v>763</v>
      </c>
      <c r="D2610" s="32" t="s">
        <v>763</v>
      </c>
      <c r="E2610" s="33" t="s">
        <v>764</v>
      </c>
      <c r="F2610" s="34">
        <v>10070984</v>
      </c>
      <c r="G2610" s="34">
        <v>10140000</v>
      </c>
      <c r="H2610" s="35" t="s">
        <v>3687</v>
      </c>
    </row>
    <row r="2611" spans="1:8" ht="27" customHeight="1" x14ac:dyDescent="0.2">
      <c r="A2611" s="31" t="s">
        <v>3685</v>
      </c>
      <c r="B2611" s="32" t="s">
        <v>3686</v>
      </c>
      <c r="C2611" s="32" t="s">
        <v>770</v>
      </c>
      <c r="D2611" s="32" t="s">
        <v>3688</v>
      </c>
      <c r="E2611" s="33" t="s">
        <v>772</v>
      </c>
      <c r="F2611" s="34">
        <v>2210392</v>
      </c>
      <c r="G2611" s="34">
        <v>2220000</v>
      </c>
      <c r="H2611" s="35" t="s">
        <v>859</v>
      </c>
    </row>
    <row r="2612" spans="1:8" ht="27" customHeight="1" x14ac:dyDescent="0.2">
      <c r="A2612" s="31" t="s">
        <v>3685</v>
      </c>
      <c r="B2612" s="32" t="s">
        <v>3686</v>
      </c>
      <c r="C2612" s="32" t="s">
        <v>796</v>
      </c>
      <c r="D2612" s="32" t="s">
        <v>1050</v>
      </c>
      <c r="E2612" s="33" t="s">
        <v>772</v>
      </c>
      <c r="F2612" s="34">
        <v>1378549</v>
      </c>
      <c r="G2612" s="34">
        <v>1390000</v>
      </c>
      <c r="H2612" s="35" t="s">
        <v>859</v>
      </c>
    </row>
    <row r="2613" spans="1:8" ht="27" customHeight="1" x14ac:dyDescent="0.2">
      <c r="A2613" s="31" t="s">
        <v>3685</v>
      </c>
      <c r="B2613" s="32" t="s">
        <v>3686</v>
      </c>
      <c r="C2613" s="32" t="s">
        <v>776</v>
      </c>
      <c r="D2613" s="32" t="s">
        <v>3689</v>
      </c>
      <c r="E2613" s="33" t="s">
        <v>777</v>
      </c>
      <c r="F2613" s="34">
        <v>4799392</v>
      </c>
      <c r="G2613" s="34">
        <v>4800000</v>
      </c>
      <c r="H2613" s="35" t="s">
        <v>1225</v>
      </c>
    </row>
    <row r="2614" spans="1:8" ht="27" customHeight="1" x14ac:dyDescent="0.2">
      <c r="A2614" s="31" t="s">
        <v>3685</v>
      </c>
      <c r="B2614" s="32" t="s">
        <v>3686</v>
      </c>
      <c r="C2614" s="32" t="s">
        <v>779</v>
      </c>
      <c r="D2614" s="32" t="s">
        <v>802</v>
      </c>
      <c r="E2614" s="33" t="s">
        <v>780</v>
      </c>
      <c r="F2614" s="34">
        <v>404239</v>
      </c>
      <c r="G2614" s="34">
        <v>404300</v>
      </c>
      <c r="H2614" s="35" t="s">
        <v>859</v>
      </c>
    </row>
    <row r="2615" spans="1:8" ht="27" customHeight="1" x14ac:dyDescent="0.2">
      <c r="A2615" s="31" t="s">
        <v>3685</v>
      </c>
      <c r="B2615" s="32" t="s">
        <v>3686</v>
      </c>
      <c r="C2615" s="32" t="s">
        <v>782</v>
      </c>
      <c r="D2615" s="32" t="s">
        <v>1735</v>
      </c>
      <c r="E2615" s="33" t="s">
        <v>784</v>
      </c>
      <c r="F2615" s="34">
        <v>8516751</v>
      </c>
      <c r="G2615" s="34">
        <v>7916751</v>
      </c>
      <c r="H2615" s="35" t="s">
        <v>3690</v>
      </c>
    </row>
    <row r="2616" spans="1:8" ht="27" customHeight="1" x14ac:dyDescent="0.2">
      <c r="A2616" s="31" t="s">
        <v>3691</v>
      </c>
      <c r="B2616" s="32" t="s">
        <v>3692</v>
      </c>
      <c r="C2616" s="32" t="s">
        <v>763</v>
      </c>
      <c r="D2616" s="32" t="s">
        <v>816</v>
      </c>
      <c r="E2616" s="33" t="s">
        <v>764</v>
      </c>
      <c r="F2616" s="34">
        <v>1278611</v>
      </c>
      <c r="G2616" s="34">
        <v>1282661</v>
      </c>
      <c r="H2616" s="35" t="s">
        <v>3693</v>
      </c>
    </row>
    <row r="2617" spans="1:8" ht="27" customHeight="1" x14ac:dyDescent="0.2">
      <c r="A2617" s="31" t="s">
        <v>3691</v>
      </c>
      <c r="B2617" s="32" t="s">
        <v>3692</v>
      </c>
      <c r="C2617" s="32" t="s">
        <v>770</v>
      </c>
      <c r="D2617" s="32" t="s">
        <v>794</v>
      </c>
      <c r="E2617" s="33" t="s">
        <v>772</v>
      </c>
      <c r="F2617" s="34">
        <v>5958985</v>
      </c>
      <c r="G2617" s="34">
        <v>6074985</v>
      </c>
      <c r="H2617" s="35" t="s">
        <v>3694</v>
      </c>
    </row>
    <row r="2618" spans="1:8" ht="27" customHeight="1" x14ac:dyDescent="0.2">
      <c r="A2618" s="31" t="s">
        <v>3691</v>
      </c>
      <c r="B2618" s="32" t="s">
        <v>3692</v>
      </c>
      <c r="C2618" s="32" t="s">
        <v>831</v>
      </c>
      <c r="D2618" s="32" t="s">
        <v>3695</v>
      </c>
      <c r="E2618" s="33" t="s">
        <v>3696</v>
      </c>
      <c r="F2618" s="34">
        <v>3781558</v>
      </c>
      <c r="G2618" s="34">
        <v>4543558</v>
      </c>
      <c r="H2618" s="35" t="s">
        <v>3697</v>
      </c>
    </row>
    <row r="2619" spans="1:8" ht="27" customHeight="1" x14ac:dyDescent="0.2">
      <c r="A2619" s="31" t="s">
        <v>3691</v>
      </c>
      <c r="B2619" s="32" t="s">
        <v>3692</v>
      </c>
      <c r="C2619" s="32" t="s">
        <v>860</v>
      </c>
      <c r="D2619" s="32" t="s">
        <v>860</v>
      </c>
      <c r="E2619" s="33" t="s">
        <v>861</v>
      </c>
      <c r="F2619" s="34">
        <v>0</v>
      </c>
      <c r="G2619" s="34">
        <v>0</v>
      </c>
      <c r="H2619" s="35" t="s">
        <v>3698</v>
      </c>
    </row>
    <row r="2620" spans="1:8" ht="27" customHeight="1" x14ac:dyDescent="0.2">
      <c r="A2620" s="31" t="s">
        <v>3691</v>
      </c>
      <c r="B2620" s="32" t="s">
        <v>3692</v>
      </c>
      <c r="C2620" s="32" t="s">
        <v>776</v>
      </c>
      <c r="D2620" s="32" t="s">
        <v>776</v>
      </c>
      <c r="E2620" s="33" t="s">
        <v>777</v>
      </c>
      <c r="F2620" s="34">
        <v>934496</v>
      </c>
      <c r="G2620" s="34">
        <v>934496</v>
      </c>
      <c r="H2620" s="35" t="s">
        <v>3699</v>
      </c>
    </row>
    <row r="2621" spans="1:8" ht="27" customHeight="1" x14ac:dyDescent="0.2">
      <c r="A2621" s="31" t="s">
        <v>3691</v>
      </c>
      <c r="B2621" s="32" t="s">
        <v>3692</v>
      </c>
      <c r="C2621" s="32" t="s">
        <v>782</v>
      </c>
      <c r="D2621" s="32" t="s">
        <v>782</v>
      </c>
      <c r="E2621" s="33" t="s">
        <v>784</v>
      </c>
      <c r="F2621" s="34">
        <v>2895698</v>
      </c>
      <c r="G2621" s="34">
        <v>2904700</v>
      </c>
      <c r="H2621" s="35" t="s">
        <v>3700</v>
      </c>
    </row>
    <row r="2622" spans="1:8" ht="27" customHeight="1" x14ac:dyDescent="0.2">
      <c r="A2622" s="31" t="s">
        <v>3701</v>
      </c>
      <c r="B2622" s="32" t="s">
        <v>3702</v>
      </c>
      <c r="C2622" s="32" t="s">
        <v>763</v>
      </c>
      <c r="D2622" s="32" t="s">
        <v>3703</v>
      </c>
      <c r="E2622" s="33" t="s">
        <v>764</v>
      </c>
      <c r="F2622" s="34">
        <v>0</v>
      </c>
      <c r="G2622" s="34">
        <v>250000</v>
      </c>
      <c r="H2622" s="35" t="s">
        <v>859</v>
      </c>
    </row>
    <row r="2623" spans="1:8" ht="27" customHeight="1" x14ac:dyDescent="0.2">
      <c r="A2623" s="31" t="s">
        <v>3701</v>
      </c>
      <c r="B2623" s="32" t="s">
        <v>3702</v>
      </c>
      <c r="C2623" s="32" t="s">
        <v>770</v>
      </c>
      <c r="D2623" s="32" t="s">
        <v>810</v>
      </c>
      <c r="E2623" s="33" t="s">
        <v>772</v>
      </c>
      <c r="F2623" s="34">
        <v>407891</v>
      </c>
      <c r="G2623" s="34">
        <v>407891</v>
      </c>
      <c r="H2623" s="35" t="s">
        <v>859</v>
      </c>
    </row>
    <row r="2624" spans="1:8" ht="27" customHeight="1" x14ac:dyDescent="0.2">
      <c r="A2624" s="31" t="s">
        <v>3701</v>
      </c>
      <c r="B2624" s="32" t="s">
        <v>3702</v>
      </c>
      <c r="C2624" s="32" t="s">
        <v>860</v>
      </c>
      <c r="D2624" s="32" t="s">
        <v>911</v>
      </c>
      <c r="E2624" s="33" t="s">
        <v>861</v>
      </c>
      <c r="F2624" s="34">
        <v>0</v>
      </c>
      <c r="G2624" s="34">
        <v>150000</v>
      </c>
      <c r="H2624" s="35" t="s">
        <v>859</v>
      </c>
    </row>
    <row r="2625" spans="1:8" ht="27" customHeight="1" x14ac:dyDescent="0.2">
      <c r="A2625" s="31" t="s">
        <v>3701</v>
      </c>
      <c r="B2625" s="32" t="s">
        <v>3702</v>
      </c>
      <c r="C2625" s="32" t="s">
        <v>796</v>
      </c>
      <c r="D2625" s="32" t="s">
        <v>811</v>
      </c>
      <c r="E2625" s="33" t="s">
        <v>823</v>
      </c>
      <c r="F2625" s="34">
        <v>200000</v>
      </c>
      <c r="G2625" s="34">
        <v>200000</v>
      </c>
      <c r="H2625" s="35" t="s">
        <v>859</v>
      </c>
    </row>
    <row r="2626" spans="1:8" ht="27" customHeight="1" x14ac:dyDescent="0.2">
      <c r="A2626" s="31" t="s">
        <v>3701</v>
      </c>
      <c r="B2626" s="32" t="s">
        <v>3702</v>
      </c>
      <c r="C2626" s="32" t="s">
        <v>776</v>
      </c>
      <c r="D2626" s="32" t="s">
        <v>812</v>
      </c>
      <c r="E2626" s="33" t="s">
        <v>777</v>
      </c>
      <c r="F2626" s="34">
        <v>166154</v>
      </c>
      <c r="G2626" s="34">
        <v>166154</v>
      </c>
      <c r="H2626" s="35" t="s">
        <v>859</v>
      </c>
    </row>
    <row r="2627" spans="1:8" ht="27" customHeight="1" x14ac:dyDescent="0.2">
      <c r="A2627" s="31" t="s">
        <v>3701</v>
      </c>
      <c r="B2627" s="32" t="s">
        <v>3702</v>
      </c>
      <c r="C2627" s="32" t="s">
        <v>779</v>
      </c>
      <c r="D2627" s="32" t="s">
        <v>876</v>
      </c>
      <c r="E2627" s="33" t="s">
        <v>780</v>
      </c>
      <c r="F2627" s="34">
        <v>50000</v>
      </c>
      <c r="G2627" s="34">
        <v>50000</v>
      </c>
      <c r="H2627" s="35" t="s">
        <v>859</v>
      </c>
    </row>
    <row r="2628" spans="1:8" ht="27" customHeight="1" x14ac:dyDescent="0.2">
      <c r="A2628" s="31" t="s">
        <v>3701</v>
      </c>
      <c r="B2628" s="32" t="s">
        <v>3702</v>
      </c>
      <c r="C2628" s="32" t="s">
        <v>782</v>
      </c>
      <c r="D2628" s="32" t="s">
        <v>1391</v>
      </c>
      <c r="E2628" s="33" t="s">
        <v>784</v>
      </c>
      <c r="F2628" s="34">
        <v>200000</v>
      </c>
      <c r="G2628" s="34">
        <v>200000</v>
      </c>
      <c r="H2628" s="35" t="s">
        <v>859</v>
      </c>
    </row>
    <row r="2629" spans="1:8" ht="27" customHeight="1" x14ac:dyDescent="0.2">
      <c r="A2629" s="31" t="s">
        <v>3704</v>
      </c>
      <c r="B2629" s="32" t="s">
        <v>3705</v>
      </c>
      <c r="C2629" s="32" t="s">
        <v>763</v>
      </c>
      <c r="D2629" s="32" t="s">
        <v>816</v>
      </c>
      <c r="E2629" s="33" t="s">
        <v>764</v>
      </c>
      <c r="F2629" s="34">
        <v>3877337</v>
      </c>
      <c r="G2629" s="34">
        <v>750000</v>
      </c>
      <c r="H2629" s="35" t="s">
        <v>3706</v>
      </c>
    </row>
    <row r="2630" spans="1:8" ht="27" customHeight="1" x14ac:dyDescent="0.2">
      <c r="A2630" s="31" t="s">
        <v>3704</v>
      </c>
      <c r="B2630" s="32" t="s">
        <v>3705</v>
      </c>
      <c r="C2630" s="32" t="s">
        <v>770</v>
      </c>
      <c r="D2630" s="32" t="s">
        <v>794</v>
      </c>
      <c r="E2630" s="33" t="s">
        <v>772</v>
      </c>
      <c r="F2630" s="34">
        <v>276168</v>
      </c>
      <c r="G2630" s="34">
        <v>252000</v>
      </c>
      <c r="H2630" s="35" t="s">
        <v>3707</v>
      </c>
    </row>
    <row r="2631" spans="1:8" ht="27" customHeight="1" x14ac:dyDescent="0.2">
      <c r="A2631" s="31" t="s">
        <v>3704</v>
      </c>
      <c r="B2631" s="32" t="s">
        <v>3705</v>
      </c>
      <c r="C2631" s="32" t="s">
        <v>831</v>
      </c>
      <c r="D2631" s="32" t="s">
        <v>3708</v>
      </c>
      <c r="E2631" s="33" t="s">
        <v>3709</v>
      </c>
      <c r="F2631" s="34">
        <v>500000</v>
      </c>
      <c r="G2631" s="34">
        <v>400000</v>
      </c>
      <c r="H2631" s="35" t="s">
        <v>3710</v>
      </c>
    </row>
    <row r="2632" spans="1:8" ht="27" customHeight="1" x14ac:dyDescent="0.2">
      <c r="A2632" s="31" t="s">
        <v>3704</v>
      </c>
      <c r="B2632" s="32" t="s">
        <v>3705</v>
      </c>
      <c r="C2632" s="32" t="s">
        <v>860</v>
      </c>
      <c r="D2632" s="32" t="s">
        <v>911</v>
      </c>
      <c r="E2632" s="33" t="s">
        <v>861</v>
      </c>
      <c r="F2632" s="34">
        <v>250832</v>
      </c>
      <c r="G2632" s="34">
        <v>250850</v>
      </c>
      <c r="H2632" s="35" t="s">
        <v>3711</v>
      </c>
    </row>
    <row r="2633" spans="1:8" ht="27" customHeight="1" x14ac:dyDescent="0.2">
      <c r="A2633" s="31" t="s">
        <v>3704</v>
      </c>
      <c r="B2633" s="32" t="s">
        <v>3705</v>
      </c>
      <c r="C2633" s="32" t="s">
        <v>796</v>
      </c>
      <c r="D2633" s="32" t="s">
        <v>811</v>
      </c>
      <c r="E2633" s="33" t="s">
        <v>823</v>
      </c>
      <c r="F2633" s="34">
        <v>2126453</v>
      </c>
      <c r="G2633" s="34">
        <v>1827000</v>
      </c>
      <c r="H2633" s="35" t="s">
        <v>3712</v>
      </c>
    </row>
    <row r="2634" spans="1:8" ht="27" customHeight="1" x14ac:dyDescent="0.2">
      <c r="A2634" s="31" t="s">
        <v>3704</v>
      </c>
      <c r="B2634" s="32" t="s">
        <v>3705</v>
      </c>
      <c r="C2634" s="32" t="s">
        <v>776</v>
      </c>
      <c r="D2634" s="32" t="s">
        <v>776</v>
      </c>
      <c r="E2634" s="33" t="s">
        <v>777</v>
      </c>
      <c r="F2634" s="34">
        <v>2761930</v>
      </c>
      <c r="G2634" s="34">
        <v>2762000</v>
      </c>
      <c r="H2634" s="35" t="s">
        <v>3713</v>
      </c>
    </row>
    <row r="2635" spans="1:8" ht="27" customHeight="1" x14ac:dyDescent="0.2">
      <c r="A2635" s="31" t="s">
        <v>3704</v>
      </c>
      <c r="B2635" s="32" t="s">
        <v>3705</v>
      </c>
      <c r="C2635" s="32" t="s">
        <v>779</v>
      </c>
      <c r="D2635" s="32" t="s">
        <v>802</v>
      </c>
      <c r="E2635" s="33" t="s">
        <v>780</v>
      </c>
      <c r="F2635" s="34">
        <v>25253</v>
      </c>
      <c r="G2635" s="34">
        <v>25255</v>
      </c>
      <c r="H2635" s="35" t="s">
        <v>3714</v>
      </c>
    </row>
    <row r="2636" spans="1:8" ht="27" customHeight="1" x14ac:dyDescent="0.2">
      <c r="A2636" s="31" t="s">
        <v>3704</v>
      </c>
      <c r="B2636" s="32" t="s">
        <v>3705</v>
      </c>
      <c r="C2636" s="32" t="s">
        <v>782</v>
      </c>
      <c r="D2636" s="32" t="s">
        <v>839</v>
      </c>
      <c r="E2636" s="33" t="s">
        <v>784</v>
      </c>
      <c r="F2636" s="34">
        <v>250351</v>
      </c>
      <c r="G2636" s="34">
        <v>225400</v>
      </c>
      <c r="H2636" s="35" t="s">
        <v>3715</v>
      </c>
    </row>
    <row r="2637" spans="1:8" ht="27" customHeight="1" x14ac:dyDescent="0.2">
      <c r="A2637" s="31" t="s">
        <v>3716</v>
      </c>
      <c r="B2637" s="32" t="s">
        <v>3717</v>
      </c>
      <c r="C2637" s="32" t="s">
        <v>763</v>
      </c>
      <c r="D2637" s="32" t="s">
        <v>816</v>
      </c>
      <c r="E2637" s="33" t="s">
        <v>764</v>
      </c>
      <c r="F2637" s="34">
        <v>3181540</v>
      </c>
      <c r="G2637" s="34">
        <v>3181540</v>
      </c>
      <c r="H2637" s="35" t="s">
        <v>2793</v>
      </c>
    </row>
    <row r="2638" spans="1:8" ht="27" customHeight="1" x14ac:dyDescent="0.2">
      <c r="A2638" s="31" t="s">
        <v>3716</v>
      </c>
      <c r="B2638" s="32" t="s">
        <v>3717</v>
      </c>
      <c r="C2638" s="32" t="s">
        <v>766</v>
      </c>
      <c r="D2638" s="32" t="s">
        <v>832</v>
      </c>
      <c r="E2638" s="33" t="s">
        <v>768</v>
      </c>
      <c r="F2638" s="34">
        <v>791762</v>
      </c>
      <c r="G2638" s="34">
        <v>791762</v>
      </c>
      <c r="H2638" s="35" t="s">
        <v>1220</v>
      </c>
    </row>
    <row r="2639" spans="1:8" ht="27" customHeight="1" x14ac:dyDescent="0.2">
      <c r="A2639" s="31" t="s">
        <v>3716</v>
      </c>
      <c r="B2639" s="32" t="s">
        <v>3717</v>
      </c>
      <c r="C2639" s="32" t="s">
        <v>770</v>
      </c>
      <c r="D2639" s="32" t="s">
        <v>3718</v>
      </c>
      <c r="E2639" s="33" t="s">
        <v>772</v>
      </c>
      <c r="F2639" s="34">
        <v>296645</v>
      </c>
      <c r="G2639" s="34">
        <v>296645</v>
      </c>
      <c r="H2639" s="35" t="s">
        <v>3719</v>
      </c>
    </row>
    <row r="2640" spans="1:8" ht="27" customHeight="1" x14ac:dyDescent="0.2">
      <c r="A2640" s="31" t="s">
        <v>3716</v>
      </c>
      <c r="B2640" s="32" t="s">
        <v>3717</v>
      </c>
      <c r="C2640" s="32" t="s">
        <v>844</v>
      </c>
      <c r="D2640" s="32" t="s">
        <v>972</v>
      </c>
      <c r="E2640" s="33" t="s">
        <v>846</v>
      </c>
      <c r="F2640" s="34">
        <v>33000</v>
      </c>
      <c r="G2640" s="34">
        <v>33000</v>
      </c>
      <c r="H2640" s="35" t="s">
        <v>3720</v>
      </c>
    </row>
    <row r="2641" spans="1:8" ht="27" customHeight="1" x14ac:dyDescent="0.2">
      <c r="A2641" s="31" t="s">
        <v>3716</v>
      </c>
      <c r="B2641" s="32" t="s">
        <v>3717</v>
      </c>
      <c r="C2641" s="32" t="s">
        <v>860</v>
      </c>
      <c r="D2641" s="32" t="s">
        <v>911</v>
      </c>
      <c r="E2641" s="33" t="s">
        <v>861</v>
      </c>
      <c r="F2641" s="34">
        <v>487663</v>
      </c>
      <c r="G2641" s="34">
        <v>487663</v>
      </c>
      <c r="H2641" s="35" t="s">
        <v>3721</v>
      </c>
    </row>
    <row r="2642" spans="1:8" ht="27" customHeight="1" x14ac:dyDescent="0.2">
      <c r="A2642" s="31" t="s">
        <v>3716</v>
      </c>
      <c r="B2642" s="32" t="s">
        <v>3717</v>
      </c>
      <c r="C2642" s="32" t="s">
        <v>796</v>
      </c>
      <c r="D2642" s="32" t="s">
        <v>3722</v>
      </c>
      <c r="E2642" s="33" t="s">
        <v>772</v>
      </c>
      <c r="F2642" s="34">
        <v>1278874</v>
      </c>
      <c r="G2642" s="34">
        <v>1278874</v>
      </c>
      <c r="H2642" s="35" t="s">
        <v>3723</v>
      </c>
    </row>
    <row r="2643" spans="1:8" ht="27" customHeight="1" x14ac:dyDescent="0.2">
      <c r="A2643" s="31" t="s">
        <v>3716</v>
      </c>
      <c r="B2643" s="32" t="s">
        <v>3717</v>
      </c>
      <c r="C2643" s="32" t="s">
        <v>776</v>
      </c>
      <c r="D2643" s="32" t="s">
        <v>3724</v>
      </c>
      <c r="E2643" s="33" t="s">
        <v>777</v>
      </c>
      <c r="F2643" s="34">
        <v>670815</v>
      </c>
      <c r="G2643" s="34">
        <v>670815</v>
      </c>
      <c r="H2643" s="35" t="s">
        <v>3725</v>
      </c>
    </row>
    <row r="2644" spans="1:8" ht="27" customHeight="1" x14ac:dyDescent="0.2">
      <c r="A2644" s="31" t="s">
        <v>3716</v>
      </c>
      <c r="B2644" s="32" t="s">
        <v>3717</v>
      </c>
      <c r="C2644" s="32" t="s">
        <v>779</v>
      </c>
      <c r="D2644" s="32" t="s">
        <v>876</v>
      </c>
      <c r="E2644" s="33" t="s">
        <v>780</v>
      </c>
      <c r="F2644" s="34">
        <v>140500</v>
      </c>
      <c r="G2644" s="34">
        <v>140500</v>
      </c>
      <c r="H2644" s="35" t="s">
        <v>3726</v>
      </c>
    </row>
    <row r="2645" spans="1:8" ht="27" customHeight="1" x14ac:dyDescent="0.2">
      <c r="A2645" s="31" t="s">
        <v>3727</v>
      </c>
      <c r="B2645" s="32" t="s">
        <v>3728</v>
      </c>
      <c r="C2645" s="32" t="s">
        <v>763</v>
      </c>
      <c r="D2645" s="32" t="s">
        <v>1416</v>
      </c>
      <c r="E2645" s="33" t="s">
        <v>764</v>
      </c>
      <c r="F2645" s="34">
        <v>1531144</v>
      </c>
      <c r="G2645" s="34">
        <v>1956144</v>
      </c>
      <c r="H2645" s="35" t="s">
        <v>3729</v>
      </c>
    </row>
    <row r="2646" spans="1:8" ht="27" customHeight="1" x14ac:dyDescent="0.2">
      <c r="A2646" s="31" t="s">
        <v>3727</v>
      </c>
      <c r="B2646" s="32" t="s">
        <v>3728</v>
      </c>
      <c r="C2646" s="32" t="s">
        <v>770</v>
      </c>
      <c r="D2646" s="32" t="s">
        <v>820</v>
      </c>
      <c r="E2646" s="33" t="s">
        <v>772</v>
      </c>
      <c r="F2646" s="34">
        <v>268296</v>
      </c>
      <c r="G2646" s="34">
        <v>268296</v>
      </c>
      <c r="H2646" s="35" t="s">
        <v>1261</v>
      </c>
    </row>
    <row r="2647" spans="1:8" ht="27" customHeight="1" x14ac:dyDescent="0.2">
      <c r="A2647" s="31" t="s">
        <v>3727</v>
      </c>
      <c r="B2647" s="32" t="s">
        <v>3728</v>
      </c>
      <c r="C2647" s="32" t="s">
        <v>844</v>
      </c>
      <c r="D2647" s="32" t="s">
        <v>972</v>
      </c>
      <c r="E2647" s="33" t="s">
        <v>846</v>
      </c>
      <c r="F2647" s="34">
        <v>25068</v>
      </c>
      <c r="G2647" s="34">
        <v>25068</v>
      </c>
      <c r="H2647" s="35" t="s">
        <v>1261</v>
      </c>
    </row>
    <row r="2648" spans="1:8" ht="27" customHeight="1" x14ac:dyDescent="0.2">
      <c r="A2648" s="31" t="s">
        <v>3727</v>
      </c>
      <c r="B2648" s="32" t="s">
        <v>3728</v>
      </c>
      <c r="C2648" s="32" t="s">
        <v>886</v>
      </c>
      <c r="D2648" s="32" t="s">
        <v>1013</v>
      </c>
      <c r="E2648" s="33" t="s">
        <v>887</v>
      </c>
      <c r="F2648" s="34">
        <v>115192</v>
      </c>
      <c r="G2648" s="34">
        <v>115192</v>
      </c>
      <c r="H2648" s="35" t="s">
        <v>1261</v>
      </c>
    </row>
    <row r="2649" spans="1:8" ht="27" customHeight="1" x14ac:dyDescent="0.2">
      <c r="A2649" s="31" t="s">
        <v>3727</v>
      </c>
      <c r="B2649" s="32" t="s">
        <v>3728</v>
      </c>
      <c r="C2649" s="32" t="s">
        <v>796</v>
      </c>
      <c r="D2649" s="32" t="s">
        <v>835</v>
      </c>
      <c r="E2649" s="33" t="s">
        <v>823</v>
      </c>
      <c r="F2649" s="34">
        <v>651822</v>
      </c>
      <c r="G2649" s="34">
        <v>651822</v>
      </c>
      <c r="H2649" s="35" t="s">
        <v>1261</v>
      </c>
    </row>
    <row r="2650" spans="1:8" ht="27" customHeight="1" x14ac:dyDescent="0.2">
      <c r="A2650" s="31" t="s">
        <v>3727</v>
      </c>
      <c r="B2650" s="32" t="s">
        <v>3728</v>
      </c>
      <c r="C2650" s="32" t="s">
        <v>776</v>
      </c>
      <c r="D2650" s="32" t="s">
        <v>812</v>
      </c>
      <c r="E2650" s="33" t="s">
        <v>777</v>
      </c>
      <c r="F2650" s="34">
        <v>174985</v>
      </c>
      <c r="G2650" s="34">
        <v>174985</v>
      </c>
      <c r="H2650" s="35" t="s">
        <v>1261</v>
      </c>
    </row>
    <row r="2651" spans="1:8" ht="27" customHeight="1" x14ac:dyDescent="0.2">
      <c r="A2651" s="31" t="s">
        <v>3727</v>
      </c>
      <c r="B2651" s="32" t="s">
        <v>3728</v>
      </c>
      <c r="C2651" s="32" t="s">
        <v>779</v>
      </c>
      <c r="D2651" s="32" t="s">
        <v>826</v>
      </c>
      <c r="E2651" s="33" t="s">
        <v>780</v>
      </c>
      <c r="F2651" s="34">
        <v>61726</v>
      </c>
      <c r="G2651" s="34">
        <v>61726</v>
      </c>
      <c r="H2651" s="35" t="s">
        <v>3730</v>
      </c>
    </row>
    <row r="2652" spans="1:8" ht="27" customHeight="1" x14ac:dyDescent="0.2">
      <c r="A2652" s="31" t="s">
        <v>3731</v>
      </c>
      <c r="B2652" s="32" t="s">
        <v>3732</v>
      </c>
      <c r="C2652" s="32" t="s">
        <v>763</v>
      </c>
      <c r="D2652" s="32" t="s">
        <v>3733</v>
      </c>
      <c r="E2652" s="33" t="s">
        <v>764</v>
      </c>
      <c r="F2652" s="34">
        <v>3113308</v>
      </c>
      <c r="G2652" s="34">
        <v>3112000</v>
      </c>
      <c r="H2652" s="35" t="s">
        <v>3734</v>
      </c>
    </row>
    <row r="2653" spans="1:8" ht="27" customHeight="1" x14ac:dyDescent="0.2">
      <c r="A2653" s="31" t="s">
        <v>3731</v>
      </c>
      <c r="B2653" s="32" t="s">
        <v>3732</v>
      </c>
      <c r="C2653" s="32" t="s">
        <v>796</v>
      </c>
      <c r="D2653" s="32" t="s">
        <v>1095</v>
      </c>
      <c r="E2653" s="33" t="s">
        <v>772</v>
      </c>
      <c r="F2653" s="34">
        <v>12170353</v>
      </c>
      <c r="G2653" s="34">
        <v>11795353</v>
      </c>
      <c r="H2653" s="35" t="s">
        <v>3735</v>
      </c>
    </row>
    <row r="2654" spans="1:8" ht="27" customHeight="1" x14ac:dyDescent="0.2">
      <c r="A2654" s="31" t="s">
        <v>3731</v>
      </c>
      <c r="B2654" s="32" t="s">
        <v>3732</v>
      </c>
      <c r="C2654" s="32" t="s">
        <v>776</v>
      </c>
      <c r="D2654" s="32" t="s">
        <v>812</v>
      </c>
      <c r="E2654" s="33" t="s">
        <v>777</v>
      </c>
      <c r="F2654" s="34">
        <v>126123</v>
      </c>
      <c r="G2654" s="34">
        <v>121000</v>
      </c>
      <c r="H2654" s="35" t="s">
        <v>3736</v>
      </c>
    </row>
    <row r="2655" spans="1:8" ht="27" customHeight="1" x14ac:dyDescent="0.2">
      <c r="A2655" s="31" t="s">
        <v>3731</v>
      </c>
      <c r="B2655" s="32" t="s">
        <v>3732</v>
      </c>
      <c r="C2655" s="32" t="s">
        <v>779</v>
      </c>
      <c r="D2655" s="32" t="s">
        <v>1179</v>
      </c>
      <c r="E2655" s="33" t="s">
        <v>780</v>
      </c>
      <c r="F2655" s="34">
        <v>239058</v>
      </c>
      <c r="G2655" s="34">
        <v>235000</v>
      </c>
      <c r="H2655" s="35" t="s">
        <v>3737</v>
      </c>
    </row>
    <row r="2656" spans="1:8" ht="27" customHeight="1" x14ac:dyDescent="0.2">
      <c r="A2656" s="31" t="s">
        <v>3738</v>
      </c>
      <c r="B2656" s="32" t="s">
        <v>3739</v>
      </c>
      <c r="C2656" s="32" t="s">
        <v>763</v>
      </c>
      <c r="D2656" s="32" t="s">
        <v>816</v>
      </c>
      <c r="E2656" s="33" t="s">
        <v>764</v>
      </c>
      <c r="F2656" s="34">
        <v>3023449</v>
      </c>
      <c r="G2656" s="34">
        <v>83149</v>
      </c>
      <c r="H2656" s="35" t="s">
        <v>3740</v>
      </c>
    </row>
    <row r="2657" spans="1:8" ht="27" customHeight="1" x14ac:dyDescent="0.2">
      <c r="A2657" s="31" t="s">
        <v>3738</v>
      </c>
      <c r="B2657" s="32" t="s">
        <v>3739</v>
      </c>
      <c r="C2657" s="32" t="s">
        <v>844</v>
      </c>
      <c r="D2657" s="32" t="s">
        <v>972</v>
      </c>
      <c r="E2657" s="33" t="s">
        <v>846</v>
      </c>
      <c r="F2657" s="34">
        <v>120000</v>
      </c>
      <c r="G2657" s="34">
        <v>120000</v>
      </c>
      <c r="H2657" s="35" t="s">
        <v>3741</v>
      </c>
    </row>
    <row r="2658" spans="1:8" ht="27" customHeight="1" x14ac:dyDescent="0.2">
      <c r="A2658" s="31" t="s">
        <v>3738</v>
      </c>
      <c r="B2658" s="32" t="s">
        <v>3739</v>
      </c>
      <c r="C2658" s="32" t="s">
        <v>773</v>
      </c>
      <c r="D2658" s="32" t="s">
        <v>973</v>
      </c>
      <c r="E2658" s="33" t="s">
        <v>775</v>
      </c>
      <c r="F2658" s="34">
        <v>579150</v>
      </c>
      <c r="G2658" s="34">
        <v>579150</v>
      </c>
      <c r="H2658" s="35" t="s">
        <v>3741</v>
      </c>
    </row>
    <row r="2659" spans="1:8" ht="27" customHeight="1" x14ac:dyDescent="0.2">
      <c r="A2659" s="31" t="s">
        <v>3738</v>
      </c>
      <c r="B2659" s="32" t="s">
        <v>3739</v>
      </c>
      <c r="C2659" s="32" t="s">
        <v>796</v>
      </c>
      <c r="D2659" s="32" t="s">
        <v>3742</v>
      </c>
      <c r="E2659" s="33" t="s">
        <v>772</v>
      </c>
      <c r="F2659" s="34">
        <v>1460535</v>
      </c>
      <c r="G2659" s="34">
        <v>1460535</v>
      </c>
      <c r="H2659" s="35" t="s">
        <v>3741</v>
      </c>
    </row>
    <row r="2660" spans="1:8" ht="27" customHeight="1" x14ac:dyDescent="0.2">
      <c r="A2660" s="31" t="s">
        <v>3738</v>
      </c>
      <c r="B2660" s="32" t="s">
        <v>3739</v>
      </c>
      <c r="C2660" s="32" t="s">
        <v>776</v>
      </c>
      <c r="D2660" s="32" t="s">
        <v>812</v>
      </c>
      <c r="E2660" s="33" t="s">
        <v>777</v>
      </c>
      <c r="F2660" s="34">
        <v>100000</v>
      </c>
      <c r="G2660" s="34">
        <v>100000</v>
      </c>
      <c r="H2660" s="35" t="s">
        <v>3741</v>
      </c>
    </row>
    <row r="2661" spans="1:8" ht="27" customHeight="1" x14ac:dyDescent="0.2">
      <c r="A2661" s="31" t="s">
        <v>3738</v>
      </c>
      <c r="B2661" s="32" t="s">
        <v>3739</v>
      </c>
      <c r="C2661" s="32" t="s">
        <v>779</v>
      </c>
      <c r="D2661" s="32" t="s">
        <v>826</v>
      </c>
      <c r="E2661" s="33" t="s">
        <v>780</v>
      </c>
      <c r="F2661" s="34">
        <v>685083</v>
      </c>
      <c r="G2661" s="34">
        <v>355083</v>
      </c>
      <c r="H2661" s="35" t="s">
        <v>3741</v>
      </c>
    </row>
    <row r="2662" spans="1:8" ht="27" customHeight="1" x14ac:dyDescent="0.2">
      <c r="A2662" s="31" t="s">
        <v>3738</v>
      </c>
      <c r="B2662" s="32" t="s">
        <v>3739</v>
      </c>
      <c r="C2662" s="32" t="s">
        <v>782</v>
      </c>
      <c r="D2662" s="32" t="s">
        <v>813</v>
      </c>
      <c r="E2662" s="33" t="s">
        <v>784</v>
      </c>
      <c r="F2662" s="34">
        <v>719335</v>
      </c>
      <c r="G2662" s="34">
        <v>322807</v>
      </c>
      <c r="H2662" s="35" t="s">
        <v>3741</v>
      </c>
    </row>
    <row r="2663" spans="1:8" ht="27" customHeight="1" x14ac:dyDescent="0.2">
      <c r="A2663" s="31" t="s">
        <v>3743</v>
      </c>
      <c r="B2663" s="32" t="s">
        <v>3744</v>
      </c>
      <c r="C2663" s="32" t="s">
        <v>770</v>
      </c>
      <c r="D2663" s="32" t="s">
        <v>3745</v>
      </c>
      <c r="E2663" s="33" t="s">
        <v>772</v>
      </c>
      <c r="F2663" s="34">
        <v>929717</v>
      </c>
      <c r="G2663" s="34">
        <v>929717</v>
      </c>
      <c r="H2663" s="35" t="s">
        <v>859</v>
      </c>
    </row>
    <row r="2664" spans="1:8" ht="27" customHeight="1" x14ac:dyDescent="0.2">
      <c r="A2664" s="31" t="s">
        <v>3743</v>
      </c>
      <c r="B2664" s="32" t="s">
        <v>3744</v>
      </c>
      <c r="C2664" s="32" t="s">
        <v>860</v>
      </c>
      <c r="D2664" s="32" t="s">
        <v>1124</v>
      </c>
      <c r="E2664" s="33" t="s">
        <v>861</v>
      </c>
      <c r="F2664" s="34">
        <v>275049</v>
      </c>
      <c r="G2664" s="34">
        <v>275049</v>
      </c>
      <c r="H2664" s="35" t="s">
        <v>859</v>
      </c>
    </row>
    <row r="2665" spans="1:8" ht="27" customHeight="1" x14ac:dyDescent="0.2">
      <c r="A2665" s="31" t="s">
        <v>3743</v>
      </c>
      <c r="B2665" s="32" t="s">
        <v>3744</v>
      </c>
      <c r="C2665" s="32" t="s">
        <v>776</v>
      </c>
      <c r="D2665" s="32" t="s">
        <v>812</v>
      </c>
      <c r="E2665" s="33" t="s">
        <v>777</v>
      </c>
      <c r="F2665" s="34">
        <v>6799</v>
      </c>
      <c r="G2665" s="34">
        <v>6799</v>
      </c>
      <c r="H2665" s="35" t="s">
        <v>859</v>
      </c>
    </row>
    <row r="2666" spans="1:8" ht="27" customHeight="1" x14ac:dyDescent="0.2">
      <c r="A2666" s="31" t="s">
        <v>3743</v>
      </c>
      <c r="B2666" s="32" t="s">
        <v>3744</v>
      </c>
      <c r="C2666" s="32" t="s">
        <v>779</v>
      </c>
      <c r="D2666" s="32" t="s">
        <v>927</v>
      </c>
      <c r="E2666" s="33" t="s">
        <v>780</v>
      </c>
      <c r="F2666" s="34">
        <v>711697</v>
      </c>
      <c r="G2666" s="34">
        <v>711697</v>
      </c>
      <c r="H2666" s="35" t="s">
        <v>859</v>
      </c>
    </row>
    <row r="2667" spans="1:8" ht="27" customHeight="1" x14ac:dyDescent="0.2">
      <c r="A2667" s="31" t="s">
        <v>3743</v>
      </c>
      <c r="B2667" s="32" t="s">
        <v>3744</v>
      </c>
      <c r="C2667" s="32" t="s">
        <v>782</v>
      </c>
      <c r="D2667" s="32" t="s">
        <v>813</v>
      </c>
      <c r="E2667" s="33" t="s">
        <v>784</v>
      </c>
      <c r="F2667" s="34">
        <v>242640</v>
      </c>
      <c r="G2667" s="34">
        <v>242640</v>
      </c>
      <c r="H2667" s="35" t="s">
        <v>859</v>
      </c>
    </row>
    <row r="2668" spans="1:8" ht="27" customHeight="1" x14ac:dyDescent="0.2">
      <c r="A2668" s="31" t="s">
        <v>3746</v>
      </c>
      <c r="B2668" s="32" t="s">
        <v>3747</v>
      </c>
      <c r="C2668" s="32" t="s">
        <v>763</v>
      </c>
      <c r="D2668" s="32" t="s">
        <v>816</v>
      </c>
      <c r="E2668" s="33" t="s">
        <v>764</v>
      </c>
      <c r="F2668" s="34">
        <v>635</v>
      </c>
      <c r="G2668" s="34">
        <v>635</v>
      </c>
      <c r="H2668" s="35" t="s">
        <v>859</v>
      </c>
    </row>
    <row r="2669" spans="1:8" ht="27" customHeight="1" x14ac:dyDescent="0.2">
      <c r="A2669" s="31" t="s">
        <v>3746</v>
      </c>
      <c r="B2669" s="32" t="s">
        <v>3747</v>
      </c>
      <c r="C2669" s="32" t="s">
        <v>770</v>
      </c>
      <c r="D2669" s="32" t="s">
        <v>820</v>
      </c>
      <c r="E2669" s="33" t="s">
        <v>772</v>
      </c>
      <c r="F2669" s="34">
        <v>100419</v>
      </c>
      <c r="G2669" s="34">
        <v>100419</v>
      </c>
      <c r="H2669" s="35" t="s">
        <v>859</v>
      </c>
    </row>
    <row r="2670" spans="1:8" ht="27" customHeight="1" x14ac:dyDescent="0.2">
      <c r="A2670" s="31" t="s">
        <v>3746</v>
      </c>
      <c r="B2670" s="32" t="s">
        <v>3747</v>
      </c>
      <c r="C2670" s="32" t="s">
        <v>844</v>
      </c>
      <c r="D2670" s="32" t="s">
        <v>3748</v>
      </c>
      <c r="E2670" s="33" t="s">
        <v>846</v>
      </c>
      <c r="F2670" s="34">
        <v>555986</v>
      </c>
      <c r="G2670" s="34">
        <v>555986</v>
      </c>
      <c r="H2670" s="35" t="s">
        <v>859</v>
      </c>
    </row>
    <row r="2671" spans="1:8" ht="27" customHeight="1" x14ac:dyDescent="0.2">
      <c r="A2671" s="31" t="s">
        <v>3746</v>
      </c>
      <c r="B2671" s="32" t="s">
        <v>3747</v>
      </c>
      <c r="C2671" s="32" t="s">
        <v>773</v>
      </c>
      <c r="D2671" s="32" t="s">
        <v>973</v>
      </c>
      <c r="E2671" s="33" t="s">
        <v>775</v>
      </c>
      <c r="F2671" s="34">
        <v>536410</v>
      </c>
      <c r="G2671" s="34">
        <v>536410</v>
      </c>
      <c r="H2671" s="35" t="s">
        <v>859</v>
      </c>
    </row>
    <row r="2672" spans="1:8" ht="27" customHeight="1" x14ac:dyDescent="0.2">
      <c r="A2672" s="31" t="s">
        <v>3746</v>
      </c>
      <c r="B2672" s="32" t="s">
        <v>3747</v>
      </c>
      <c r="C2672" s="32" t="s">
        <v>886</v>
      </c>
      <c r="D2672" s="32" t="s">
        <v>1013</v>
      </c>
      <c r="E2672" s="33" t="s">
        <v>887</v>
      </c>
      <c r="F2672" s="34">
        <v>12184</v>
      </c>
      <c r="G2672" s="34">
        <v>12184</v>
      </c>
      <c r="H2672" s="35" t="s">
        <v>859</v>
      </c>
    </row>
    <row r="2673" spans="1:8" ht="27" customHeight="1" x14ac:dyDescent="0.2">
      <c r="A2673" s="31" t="s">
        <v>3746</v>
      </c>
      <c r="B2673" s="32" t="s">
        <v>3747</v>
      </c>
      <c r="C2673" s="32" t="s">
        <v>860</v>
      </c>
      <c r="D2673" s="32" t="s">
        <v>911</v>
      </c>
      <c r="E2673" s="33" t="s">
        <v>861</v>
      </c>
      <c r="F2673" s="34">
        <v>2659391</v>
      </c>
      <c r="G2673" s="34">
        <v>2659391</v>
      </c>
      <c r="H2673" s="35" t="s">
        <v>859</v>
      </c>
    </row>
    <row r="2674" spans="1:8" ht="27" customHeight="1" x14ac:dyDescent="0.2">
      <c r="A2674" s="31" t="s">
        <v>3746</v>
      </c>
      <c r="B2674" s="32" t="s">
        <v>3747</v>
      </c>
      <c r="C2674" s="32" t="s">
        <v>796</v>
      </c>
      <c r="D2674" s="32" t="s">
        <v>811</v>
      </c>
      <c r="E2674" s="33" t="s">
        <v>823</v>
      </c>
      <c r="F2674" s="34">
        <v>2514879</v>
      </c>
      <c r="G2674" s="34">
        <v>2458851</v>
      </c>
      <c r="H2674" s="35" t="s">
        <v>3749</v>
      </c>
    </row>
    <row r="2675" spans="1:8" ht="27" customHeight="1" x14ac:dyDescent="0.2">
      <c r="A2675" s="31" t="s">
        <v>3746</v>
      </c>
      <c r="B2675" s="32" t="s">
        <v>3747</v>
      </c>
      <c r="C2675" s="32" t="s">
        <v>776</v>
      </c>
      <c r="D2675" s="32" t="s">
        <v>776</v>
      </c>
      <c r="E2675" s="33" t="s">
        <v>777</v>
      </c>
      <c r="F2675" s="34">
        <v>803354</v>
      </c>
      <c r="G2675" s="34">
        <v>203354</v>
      </c>
      <c r="H2675" s="35" t="s">
        <v>3750</v>
      </c>
    </row>
    <row r="2676" spans="1:8" ht="27" customHeight="1" x14ac:dyDescent="0.2">
      <c r="A2676" s="31" t="s">
        <v>3746</v>
      </c>
      <c r="B2676" s="32" t="s">
        <v>3747</v>
      </c>
      <c r="C2676" s="32" t="s">
        <v>779</v>
      </c>
      <c r="D2676" s="32" t="s">
        <v>876</v>
      </c>
      <c r="E2676" s="33" t="s">
        <v>780</v>
      </c>
      <c r="F2676" s="34">
        <v>2320887</v>
      </c>
      <c r="G2676" s="34">
        <v>1227537</v>
      </c>
      <c r="H2676" s="35" t="s">
        <v>3751</v>
      </c>
    </row>
    <row r="2677" spans="1:8" ht="27" customHeight="1" x14ac:dyDescent="0.2">
      <c r="A2677" s="31" t="s">
        <v>3752</v>
      </c>
      <c r="B2677" s="32" t="s">
        <v>3753</v>
      </c>
      <c r="C2677" s="32" t="s">
        <v>763</v>
      </c>
      <c r="D2677" s="32" t="s">
        <v>3033</v>
      </c>
      <c r="E2677" s="33" t="s">
        <v>764</v>
      </c>
      <c r="F2677" s="34">
        <v>2888926</v>
      </c>
      <c r="G2677" s="34">
        <v>2892059</v>
      </c>
      <c r="H2677" s="35" t="s">
        <v>3754</v>
      </c>
    </row>
    <row r="2678" spans="1:8" ht="27" customHeight="1" x14ac:dyDescent="0.2">
      <c r="A2678" s="31" t="s">
        <v>3752</v>
      </c>
      <c r="B2678" s="32" t="s">
        <v>3753</v>
      </c>
      <c r="C2678" s="32" t="s">
        <v>770</v>
      </c>
      <c r="D2678" s="32" t="s">
        <v>794</v>
      </c>
      <c r="E2678" s="33" t="s">
        <v>772</v>
      </c>
      <c r="F2678" s="34">
        <v>296078</v>
      </c>
      <c r="G2678" s="34">
        <v>296078</v>
      </c>
      <c r="H2678" s="35" t="s">
        <v>3754</v>
      </c>
    </row>
    <row r="2679" spans="1:8" ht="27" customHeight="1" x14ac:dyDescent="0.2">
      <c r="A2679" s="31" t="s">
        <v>3752</v>
      </c>
      <c r="B2679" s="32" t="s">
        <v>3753</v>
      </c>
      <c r="C2679" s="32" t="s">
        <v>844</v>
      </c>
      <c r="D2679" s="32" t="s">
        <v>844</v>
      </c>
      <c r="E2679" s="33" t="s">
        <v>846</v>
      </c>
      <c r="F2679" s="34">
        <v>318863</v>
      </c>
      <c r="G2679" s="34">
        <v>318863</v>
      </c>
      <c r="H2679" s="35" t="s">
        <v>3754</v>
      </c>
    </row>
    <row r="2680" spans="1:8" ht="27" customHeight="1" x14ac:dyDescent="0.2">
      <c r="A2680" s="31" t="s">
        <v>3752</v>
      </c>
      <c r="B2680" s="32" t="s">
        <v>3753</v>
      </c>
      <c r="C2680" s="32" t="s">
        <v>773</v>
      </c>
      <c r="D2680" s="32" t="s">
        <v>773</v>
      </c>
      <c r="E2680" s="33" t="s">
        <v>775</v>
      </c>
      <c r="F2680" s="34">
        <v>370178</v>
      </c>
      <c r="G2680" s="34">
        <v>370178</v>
      </c>
      <c r="H2680" s="35" t="s">
        <v>3754</v>
      </c>
    </row>
    <row r="2681" spans="1:8" ht="27" customHeight="1" x14ac:dyDescent="0.2">
      <c r="A2681" s="31" t="s">
        <v>3752</v>
      </c>
      <c r="B2681" s="32" t="s">
        <v>3753</v>
      </c>
      <c r="C2681" s="32" t="s">
        <v>796</v>
      </c>
      <c r="D2681" s="32" t="s">
        <v>1050</v>
      </c>
      <c r="E2681" s="33" t="s">
        <v>772</v>
      </c>
      <c r="F2681" s="34">
        <v>1431989</v>
      </c>
      <c r="G2681" s="34">
        <v>1431989</v>
      </c>
      <c r="H2681" s="35" t="s">
        <v>3754</v>
      </c>
    </row>
    <row r="2682" spans="1:8" ht="27" customHeight="1" x14ac:dyDescent="0.2">
      <c r="A2682" s="31" t="s">
        <v>3752</v>
      </c>
      <c r="B2682" s="32" t="s">
        <v>3753</v>
      </c>
      <c r="C2682" s="32" t="s">
        <v>779</v>
      </c>
      <c r="D2682" s="32" t="s">
        <v>1661</v>
      </c>
      <c r="E2682" s="33" t="s">
        <v>780</v>
      </c>
      <c r="F2682" s="34">
        <v>258377</v>
      </c>
      <c r="G2682" s="34">
        <v>258377</v>
      </c>
      <c r="H2682" s="35" t="s">
        <v>3754</v>
      </c>
    </row>
    <row r="2683" spans="1:8" ht="27" customHeight="1" x14ac:dyDescent="0.2">
      <c r="A2683" s="31" t="s">
        <v>3752</v>
      </c>
      <c r="B2683" s="32" t="s">
        <v>3753</v>
      </c>
      <c r="C2683" s="32" t="s">
        <v>782</v>
      </c>
      <c r="D2683" s="32" t="s">
        <v>901</v>
      </c>
      <c r="E2683" s="33" t="s">
        <v>784</v>
      </c>
      <c r="F2683" s="34">
        <v>457370</v>
      </c>
      <c r="G2683" s="34">
        <v>457370</v>
      </c>
      <c r="H2683" s="35" t="s">
        <v>3754</v>
      </c>
    </row>
    <row r="2684" spans="1:8" ht="27" customHeight="1" x14ac:dyDescent="0.2">
      <c r="A2684" s="31" t="s">
        <v>3755</v>
      </c>
      <c r="B2684" s="32" t="s">
        <v>3756</v>
      </c>
      <c r="C2684" s="32" t="s">
        <v>763</v>
      </c>
      <c r="D2684" s="32" t="s">
        <v>3757</v>
      </c>
      <c r="E2684" s="33" t="s">
        <v>764</v>
      </c>
      <c r="F2684" s="34">
        <v>250000</v>
      </c>
      <c r="G2684" s="34">
        <v>250000</v>
      </c>
      <c r="H2684" s="35" t="s">
        <v>3758</v>
      </c>
    </row>
    <row r="2685" spans="1:8" ht="27" customHeight="1" x14ac:dyDescent="0.2">
      <c r="A2685" s="31" t="s">
        <v>3755</v>
      </c>
      <c r="B2685" s="32" t="s">
        <v>3756</v>
      </c>
      <c r="C2685" s="32" t="s">
        <v>763</v>
      </c>
      <c r="D2685" s="32" t="s">
        <v>3759</v>
      </c>
      <c r="E2685" s="33" t="s">
        <v>764</v>
      </c>
      <c r="F2685" s="34">
        <v>0</v>
      </c>
      <c r="G2685" s="34">
        <v>2000000</v>
      </c>
      <c r="H2685" s="35" t="s">
        <v>3760</v>
      </c>
    </row>
    <row r="2686" spans="1:8" ht="27" customHeight="1" x14ac:dyDescent="0.2">
      <c r="A2686" s="31" t="s">
        <v>3755</v>
      </c>
      <c r="B2686" s="32" t="s">
        <v>3756</v>
      </c>
      <c r="C2686" s="32" t="s">
        <v>766</v>
      </c>
      <c r="D2686" s="32" t="s">
        <v>1876</v>
      </c>
      <c r="E2686" s="33" t="s">
        <v>768</v>
      </c>
      <c r="F2686" s="34">
        <v>2484838</v>
      </c>
      <c r="G2686" s="34">
        <v>2484838</v>
      </c>
      <c r="H2686" s="35" t="s">
        <v>1876</v>
      </c>
    </row>
    <row r="2687" spans="1:8" ht="27" customHeight="1" x14ac:dyDescent="0.2">
      <c r="A2687" s="31" t="s">
        <v>3755</v>
      </c>
      <c r="B2687" s="32" t="s">
        <v>3756</v>
      </c>
      <c r="C2687" s="32" t="s">
        <v>770</v>
      </c>
      <c r="D2687" s="32" t="s">
        <v>3761</v>
      </c>
      <c r="E2687" s="33" t="s">
        <v>772</v>
      </c>
      <c r="F2687" s="34">
        <v>709846</v>
      </c>
      <c r="G2687" s="34">
        <v>709846</v>
      </c>
      <c r="H2687" s="35" t="s">
        <v>1011</v>
      </c>
    </row>
    <row r="2688" spans="1:8" ht="27" customHeight="1" x14ac:dyDescent="0.2">
      <c r="A2688" s="31" t="s">
        <v>3755</v>
      </c>
      <c r="B2688" s="32" t="s">
        <v>3756</v>
      </c>
      <c r="C2688" s="32" t="s">
        <v>844</v>
      </c>
      <c r="D2688" s="32" t="s">
        <v>3762</v>
      </c>
      <c r="E2688" s="33" t="s">
        <v>846</v>
      </c>
      <c r="F2688" s="34">
        <v>470343</v>
      </c>
      <c r="G2688" s="34">
        <v>470343</v>
      </c>
      <c r="H2688" s="35" t="s">
        <v>844</v>
      </c>
    </row>
    <row r="2689" spans="1:8" ht="27" customHeight="1" x14ac:dyDescent="0.2">
      <c r="A2689" s="31" t="s">
        <v>3755</v>
      </c>
      <c r="B2689" s="32" t="s">
        <v>3756</v>
      </c>
      <c r="C2689" s="32" t="s">
        <v>860</v>
      </c>
      <c r="D2689" s="32" t="s">
        <v>860</v>
      </c>
      <c r="E2689" s="33" t="s">
        <v>861</v>
      </c>
      <c r="F2689" s="34">
        <v>9085697</v>
      </c>
      <c r="G2689" s="34">
        <v>10927079</v>
      </c>
      <c r="H2689" s="35" t="s">
        <v>860</v>
      </c>
    </row>
    <row r="2690" spans="1:8" ht="27" customHeight="1" x14ac:dyDescent="0.2">
      <c r="A2690" s="31" t="s">
        <v>3755</v>
      </c>
      <c r="B2690" s="32" t="s">
        <v>3756</v>
      </c>
      <c r="C2690" s="32" t="s">
        <v>796</v>
      </c>
      <c r="D2690" s="32" t="s">
        <v>3763</v>
      </c>
      <c r="E2690" s="33" t="s">
        <v>823</v>
      </c>
      <c r="F2690" s="34">
        <v>1354687</v>
      </c>
      <c r="G2690" s="34">
        <v>1354687</v>
      </c>
      <c r="H2690" s="35" t="s">
        <v>1050</v>
      </c>
    </row>
    <row r="2691" spans="1:8" ht="27" customHeight="1" x14ac:dyDescent="0.2">
      <c r="A2691" s="31" t="s">
        <v>3755</v>
      </c>
      <c r="B2691" s="32" t="s">
        <v>3756</v>
      </c>
      <c r="C2691" s="32" t="s">
        <v>776</v>
      </c>
      <c r="D2691" s="32" t="s">
        <v>3764</v>
      </c>
      <c r="E2691" s="33" t="s">
        <v>777</v>
      </c>
      <c r="F2691" s="34">
        <v>149495</v>
      </c>
      <c r="G2691" s="34">
        <v>149495</v>
      </c>
      <c r="H2691" s="35" t="s">
        <v>1755</v>
      </c>
    </row>
    <row r="2692" spans="1:8" ht="27" customHeight="1" x14ac:dyDescent="0.2">
      <c r="A2692" s="31" t="s">
        <v>3755</v>
      </c>
      <c r="B2692" s="32" t="s">
        <v>3756</v>
      </c>
      <c r="C2692" s="32" t="s">
        <v>779</v>
      </c>
      <c r="D2692" s="32" t="s">
        <v>3765</v>
      </c>
      <c r="E2692" s="33" t="s">
        <v>780</v>
      </c>
      <c r="F2692" s="34">
        <v>70464</v>
      </c>
      <c r="G2692" s="34">
        <v>70464</v>
      </c>
      <c r="H2692" s="35" t="s">
        <v>3765</v>
      </c>
    </row>
    <row r="2693" spans="1:8" ht="27" customHeight="1" x14ac:dyDescent="0.2">
      <c r="A2693" s="31" t="s">
        <v>3755</v>
      </c>
      <c r="B2693" s="32" t="s">
        <v>3756</v>
      </c>
      <c r="C2693" s="32" t="s">
        <v>782</v>
      </c>
      <c r="D2693" s="32" t="s">
        <v>3094</v>
      </c>
      <c r="E2693" s="33" t="s">
        <v>784</v>
      </c>
      <c r="F2693" s="34">
        <v>469290</v>
      </c>
      <c r="G2693" s="34">
        <v>469290</v>
      </c>
      <c r="H2693" s="35" t="s">
        <v>901</v>
      </c>
    </row>
    <row r="2694" spans="1:8" ht="27" customHeight="1" x14ac:dyDescent="0.2">
      <c r="A2694" s="31" t="s">
        <v>3766</v>
      </c>
      <c r="B2694" s="32" t="s">
        <v>302</v>
      </c>
      <c r="C2694" s="32" t="s">
        <v>763</v>
      </c>
      <c r="D2694" s="32" t="s">
        <v>763</v>
      </c>
      <c r="E2694" s="33" t="s">
        <v>764</v>
      </c>
      <c r="F2694" s="34">
        <v>956097</v>
      </c>
      <c r="G2694" s="34">
        <v>956097</v>
      </c>
      <c r="H2694" s="35" t="s">
        <v>1783</v>
      </c>
    </row>
    <row r="2695" spans="1:8" ht="27" customHeight="1" x14ac:dyDescent="0.2">
      <c r="A2695" s="31" t="s">
        <v>3766</v>
      </c>
      <c r="B2695" s="32" t="s">
        <v>302</v>
      </c>
      <c r="C2695" s="32" t="s">
        <v>770</v>
      </c>
      <c r="D2695" s="32" t="s">
        <v>3767</v>
      </c>
      <c r="E2695" s="33" t="s">
        <v>772</v>
      </c>
      <c r="F2695" s="34">
        <v>3160907</v>
      </c>
      <c r="G2695" s="34">
        <v>2960907</v>
      </c>
      <c r="H2695" s="35" t="s">
        <v>3768</v>
      </c>
    </row>
    <row r="2696" spans="1:8" ht="27" customHeight="1" x14ac:dyDescent="0.2">
      <c r="A2696" s="31" t="s">
        <v>3766</v>
      </c>
      <c r="B2696" s="32" t="s">
        <v>302</v>
      </c>
      <c r="C2696" s="32" t="s">
        <v>844</v>
      </c>
      <c r="D2696" s="32" t="s">
        <v>844</v>
      </c>
      <c r="E2696" s="33" t="s">
        <v>846</v>
      </c>
      <c r="F2696" s="34">
        <v>1500000</v>
      </c>
      <c r="G2696" s="34">
        <v>1500000</v>
      </c>
      <c r="H2696" s="35" t="s">
        <v>1783</v>
      </c>
    </row>
    <row r="2697" spans="1:8" ht="27" customHeight="1" x14ac:dyDescent="0.2">
      <c r="A2697" s="31" t="s">
        <v>3766</v>
      </c>
      <c r="B2697" s="32" t="s">
        <v>302</v>
      </c>
      <c r="C2697" s="32" t="s">
        <v>796</v>
      </c>
      <c r="D2697" s="32" t="s">
        <v>822</v>
      </c>
      <c r="E2697" s="33" t="s">
        <v>823</v>
      </c>
      <c r="F2697" s="34">
        <v>502531</v>
      </c>
      <c r="G2697" s="34">
        <v>2530</v>
      </c>
      <c r="H2697" s="35" t="s">
        <v>1783</v>
      </c>
    </row>
    <row r="2698" spans="1:8" ht="27" customHeight="1" x14ac:dyDescent="0.2">
      <c r="A2698" s="31" t="s">
        <v>3766</v>
      </c>
      <c r="B2698" s="32" t="s">
        <v>302</v>
      </c>
      <c r="C2698" s="32" t="s">
        <v>776</v>
      </c>
      <c r="D2698" s="32" t="s">
        <v>776</v>
      </c>
      <c r="E2698" s="33" t="s">
        <v>777</v>
      </c>
      <c r="F2698" s="34">
        <v>415135</v>
      </c>
      <c r="G2698" s="34">
        <v>415135</v>
      </c>
      <c r="H2698" s="35" t="s">
        <v>3769</v>
      </c>
    </row>
    <row r="2699" spans="1:8" ht="27" customHeight="1" x14ac:dyDescent="0.2">
      <c r="A2699" s="31" t="s">
        <v>3766</v>
      </c>
      <c r="B2699" s="32" t="s">
        <v>302</v>
      </c>
      <c r="C2699" s="32" t="s">
        <v>779</v>
      </c>
      <c r="D2699" s="32" t="s">
        <v>802</v>
      </c>
      <c r="E2699" s="33" t="s">
        <v>780</v>
      </c>
      <c r="F2699" s="34">
        <v>18000</v>
      </c>
      <c r="G2699" s="34">
        <v>18000</v>
      </c>
      <c r="H2699" s="35" t="s">
        <v>1783</v>
      </c>
    </row>
    <row r="2700" spans="1:8" ht="27" customHeight="1" x14ac:dyDescent="0.2">
      <c r="A2700" s="31" t="s">
        <v>3770</v>
      </c>
      <c r="B2700" s="32" t="s">
        <v>3771</v>
      </c>
      <c r="C2700" s="32" t="s">
        <v>763</v>
      </c>
      <c r="D2700" s="32" t="s">
        <v>3772</v>
      </c>
      <c r="E2700" s="33" t="s">
        <v>764</v>
      </c>
      <c r="F2700" s="34">
        <v>400000</v>
      </c>
      <c r="G2700" s="34">
        <v>400000</v>
      </c>
      <c r="H2700" s="35" t="s">
        <v>829</v>
      </c>
    </row>
    <row r="2701" spans="1:8" ht="27" customHeight="1" x14ac:dyDescent="0.2">
      <c r="A2701" s="31" t="s">
        <v>3770</v>
      </c>
      <c r="B2701" s="32" t="s">
        <v>3771</v>
      </c>
      <c r="C2701" s="32" t="s">
        <v>763</v>
      </c>
      <c r="D2701" s="32" t="s">
        <v>3773</v>
      </c>
      <c r="E2701" s="33" t="s">
        <v>764</v>
      </c>
      <c r="F2701" s="34">
        <v>0</v>
      </c>
      <c r="G2701" s="34">
        <v>3000000</v>
      </c>
      <c r="H2701" s="35" t="s">
        <v>3774</v>
      </c>
    </row>
    <row r="2702" spans="1:8" ht="27" customHeight="1" x14ac:dyDescent="0.2">
      <c r="A2702" s="31" t="s">
        <v>3770</v>
      </c>
      <c r="B2702" s="32" t="s">
        <v>3771</v>
      </c>
      <c r="C2702" s="32" t="s">
        <v>770</v>
      </c>
      <c r="D2702" s="32" t="s">
        <v>1136</v>
      </c>
      <c r="E2702" s="33" t="s">
        <v>772</v>
      </c>
      <c r="F2702" s="34">
        <v>3516926</v>
      </c>
      <c r="G2702" s="34">
        <v>3900000</v>
      </c>
      <c r="H2702" s="35" t="s">
        <v>3775</v>
      </c>
    </row>
    <row r="2703" spans="1:8" ht="27" customHeight="1" x14ac:dyDescent="0.2">
      <c r="A2703" s="31" t="s">
        <v>3770</v>
      </c>
      <c r="B2703" s="32" t="s">
        <v>3771</v>
      </c>
      <c r="C2703" s="32" t="s">
        <v>796</v>
      </c>
      <c r="D2703" s="32" t="s">
        <v>3426</v>
      </c>
      <c r="E2703" s="33" t="s">
        <v>772</v>
      </c>
      <c r="F2703" s="34">
        <v>1747367</v>
      </c>
      <c r="G2703" s="34">
        <v>2100000</v>
      </c>
      <c r="H2703" s="35" t="s">
        <v>2972</v>
      </c>
    </row>
    <row r="2704" spans="1:8" ht="27" customHeight="1" x14ac:dyDescent="0.2">
      <c r="A2704" s="31" t="s">
        <v>3770</v>
      </c>
      <c r="B2704" s="32" t="s">
        <v>3771</v>
      </c>
      <c r="C2704" s="32" t="s">
        <v>779</v>
      </c>
      <c r="D2704" s="32" t="s">
        <v>826</v>
      </c>
      <c r="E2704" s="33" t="s">
        <v>780</v>
      </c>
      <c r="F2704" s="34">
        <v>126529</v>
      </c>
      <c r="G2704" s="34">
        <v>137000</v>
      </c>
      <c r="H2704" s="35" t="s">
        <v>3776</v>
      </c>
    </row>
    <row r="2705" spans="1:8" ht="27" customHeight="1" x14ac:dyDescent="0.2">
      <c r="A2705" s="31" t="s">
        <v>3770</v>
      </c>
      <c r="B2705" s="32" t="s">
        <v>3771</v>
      </c>
      <c r="C2705" s="32" t="s">
        <v>782</v>
      </c>
      <c r="D2705" s="32" t="s">
        <v>964</v>
      </c>
      <c r="E2705" s="33" t="s">
        <v>784</v>
      </c>
      <c r="F2705" s="34">
        <v>449527</v>
      </c>
      <c r="G2705" s="34">
        <v>530000</v>
      </c>
      <c r="H2705" s="35" t="s">
        <v>3777</v>
      </c>
    </row>
    <row r="2706" spans="1:8" ht="27" customHeight="1" x14ac:dyDescent="0.2">
      <c r="A2706" s="31" t="s">
        <v>3778</v>
      </c>
      <c r="B2706" s="32" t="s">
        <v>3779</v>
      </c>
      <c r="C2706" s="32" t="s">
        <v>770</v>
      </c>
      <c r="D2706" s="32" t="s">
        <v>1136</v>
      </c>
      <c r="E2706" s="33" t="s">
        <v>772</v>
      </c>
      <c r="F2706" s="34">
        <v>2057369</v>
      </c>
      <c r="G2706" s="34">
        <v>2057369</v>
      </c>
      <c r="H2706" s="35" t="s">
        <v>3780</v>
      </c>
    </row>
    <row r="2707" spans="1:8" ht="27" customHeight="1" x14ac:dyDescent="0.2">
      <c r="A2707" s="31" t="s">
        <v>3778</v>
      </c>
      <c r="B2707" s="32" t="s">
        <v>3779</v>
      </c>
      <c r="C2707" s="32" t="s">
        <v>776</v>
      </c>
      <c r="D2707" s="32" t="s">
        <v>776</v>
      </c>
      <c r="E2707" s="33" t="s">
        <v>777</v>
      </c>
      <c r="F2707" s="34">
        <v>79705</v>
      </c>
      <c r="G2707" s="34">
        <v>79705</v>
      </c>
      <c r="H2707" s="35" t="s">
        <v>3781</v>
      </c>
    </row>
    <row r="2708" spans="1:8" ht="27" customHeight="1" x14ac:dyDescent="0.2">
      <c r="A2708" s="31" t="s">
        <v>3778</v>
      </c>
      <c r="B2708" s="32" t="s">
        <v>3779</v>
      </c>
      <c r="C2708" s="32" t="s">
        <v>782</v>
      </c>
      <c r="D2708" s="32" t="s">
        <v>782</v>
      </c>
      <c r="E2708" s="33" t="s">
        <v>784</v>
      </c>
      <c r="F2708" s="34">
        <v>1160902</v>
      </c>
      <c r="G2708" s="34">
        <v>1160902</v>
      </c>
      <c r="H2708" s="35" t="s">
        <v>3782</v>
      </c>
    </row>
    <row r="2709" spans="1:8" ht="27" customHeight="1" x14ac:dyDescent="0.2">
      <c r="A2709" s="31" t="s">
        <v>3783</v>
      </c>
      <c r="B2709" s="32" t="s">
        <v>3784</v>
      </c>
      <c r="C2709" s="32" t="s">
        <v>763</v>
      </c>
      <c r="D2709" s="32" t="s">
        <v>763</v>
      </c>
      <c r="E2709" s="33" t="s">
        <v>764</v>
      </c>
      <c r="F2709" s="34">
        <v>50658</v>
      </c>
      <c r="G2709" s="34">
        <v>50658</v>
      </c>
      <c r="H2709" s="35" t="s">
        <v>859</v>
      </c>
    </row>
    <row r="2710" spans="1:8" ht="27" customHeight="1" x14ac:dyDescent="0.2">
      <c r="A2710" s="31" t="s">
        <v>3783</v>
      </c>
      <c r="B2710" s="32" t="s">
        <v>3784</v>
      </c>
      <c r="C2710" s="32" t="s">
        <v>770</v>
      </c>
      <c r="D2710" s="32" t="s">
        <v>1751</v>
      </c>
      <c r="E2710" s="33" t="s">
        <v>772</v>
      </c>
      <c r="F2710" s="34">
        <v>4334605</v>
      </c>
      <c r="G2710" s="34">
        <v>4334605</v>
      </c>
      <c r="H2710" s="35" t="s">
        <v>859</v>
      </c>
    </row>
    <row r="2711" spans="1:8" ht="27" customHeight="1" x14ac:dyDescent="0.2">
      <c r="A2711" s="31" t="s">
        <v>3783</v>
      </c>
      <c r="B2711" s="32" t="s">
        <v>3784</v>
      </c>
      <c r="C2711" s="32" t="s">
        <v>773</v>
      </c>
      <c r="D2711" s="32" t="s">
        <v>773</v>
      </c>
      <c r="E2711" s="33" t="s">
        <v>775</v>
      </c>
      <c r="F2711" s="34">
        <v>1034938</v>
      </c>
      <c r="G2711" s="34">
        <v>1034938</v>
      </c>
      <c r="H2711" s="35" t="s">
        <v>859</v>
      </c>
    </row>
    <row r="2712" spans="1:8" ht="27" customHeight="1" x14ac:dyDescent="0.2">
      <c r="A2712" s="31" t="s">
        <v>3783</v>
      </c>
      <c r="B2712" s="32" t="s">
        <v>3784</v>
      </c>
      <c r="C2712" s="32" t="s">
        <v>831</v>
      </c>
      <c r="D2712" s="32" t="s">
        <v>3785</v>
      </c>
      <c r="E2712" s="33" t="s">
        <v>3786</v>
      </c>
      <c r="F2712" s="34">
        <v>25238178</v>
      </c>
      <c r="G2712" s="34">
        <v>25238178</v>
      </c>
      <c r="H2712" s="35" t="s">
        <v>859</v>
      </c>
    </row>
    <row r="2713" spans="1:8" ht="27" customHeight="1" x14ac:dyDescent="0.2">
      <c r="A2713" s="31" t="s">
        <v>3783</v>
      </c>
      <c r="B2713" s="32" t="s">
        <v>3784</v>
      </c>
      <c r="C2713" s="32" t="s">
        <v>796</v>
      </c>
      <c r="D2713" s="32" t="s">
        <v>1050</v>
      </c>
      <c r="E2713" s="33" t="s">
        <v>772</v>
      </c>
      <c r="F2713" s="34">
        <v>1637793</v>
      </c>
      <c r="G2713" s="34">
        <v>1637793</v>
      </c>
      <c r="H2713" s="35" t="s">
        <v>859</v>
      </c>
    </row>
    <row r="2714" spans="1:8" ht="27" customHeight="1" x14ac:dyDescent="0.2">
      <c r="A2714" s="31" t="s">
        <v>3783</v>
      </c>
      <c r="B2714" s="32" t="s">
        <v>3784</v>
      </c>
      <c r="C2714" s="32" t="s">
        <v>776</v>
      </c>
      <c r="D2714" s="32" t="s">
        <v>1755</v>
      </c>
      <c r="E2714" s="33" t="s">
        <v>777</v>
      </c>
      <c r="F2714" s="34">
        <v>3022128</v>
      </c>
      <c r="G2714" s="34">
        <v>3022128</v>
      </c>
      <c r="H2714" s="35" t="s">
        <v>859</v>
      </c>
    </row>
    <row r="2715" spans="1:8" ht="27" customHeight="1" x14ac:dyDescent="0.2">
      <c r="A2715" s="31" t="s">
        <v>3783</v>
      </c>
      <c r="B2715" s="32" t="s">
        <v>3784</v>
      </c>
      <c r="C2715" s="32" t="s">
        <v>779</v>
      </c>
      <c r="D2715" s="32" t="s">
        <v>802</v>
      </c>
      <c r="E2715" s="33" t="s">
        <v>780</v>
      </c>
      <c r="F2715" s="34">
        <v>190281</v>
      </c>
      <c r="G2715" s="34">
        <v>190281</v>
      </c>
      <c r="H2715" s="35" t="s">
        <v>859</v>
      </c>
    </row>
    <row r="2716" spans="1:8" ht="27" customHeight="1" x14ac:dyDescent="0.2">
      <c r="A2716" s="31" t="s">
        <v>3787</v>
      </c>
      <c r="B2716" s="32" t="s">
        <v>535</v>
      </c>
      <c r="C2716" s="32" t="s">
        <v>763</v>
      </c>
      <c r="D2716" s="32" t="s">
        <v>816</v>
      </c>
      <c r="E2716" s="33" t="s">
        <v>764</v>
      </c>
      <c r="F2716" s="34">
        <v>4475042</v>
      </c>
      <c r="G2716" s="34">
        <v>4475042</v>
      </c>
      <c r="H2716" s="35" t="s">
        <v>859</v>
      </c>
    </row>
    <row r="2717" spans="1:8" ht="27" customHeight="1" x14ac:dyDescent="0.2">
      <c r="A2717" s="31" t="s">
        <v>3787</v>
      </c>
      <c r="B2717" s="32" t="s">
        <v>535</v>
      </c>
      <c r="C2717" s="32" t="s">
        <v>770</v>
      </c>
      <c r="D2717" s="32" t="s">
        <v>770</v>
      </c>
      <c r="E2717" s="33" t="s">
        <v>772</v>
      </c>
      <c r="F2717" s="34">
        <v>495240</v>
      </c>
      <c r="G2717" s="34">
        <v>495240</v>
      </c>
      <c r="H2717" s="35" t="s">
        <v>859</v>
      </c>
    </row>
    <row r="2718" spans="1:8" ht="27" customHeight="1" x14ac:dyDescent="0.2">
      <c r="A2718" s="31" t="s">
        <v>3787</v>
      </c>
      <c r="B2718" s="32" t="s">
        <v>535</v>
      </c>
      <c r="C2718" s="32" t="s">
        <v>796</v>
      </c>
      <c r="D2718" s="32" t="s">
        <v>1411</v>
      </c>
      <c r="E2718" s="33" t="s">
        <v>823</v>
      </c>
      <c r="F2718" s="34">
        <v>1267466</v>
      </c>
      <c r="G2718" s="34">
        <v>1267466</v>
      </c>
      <c r="H2718" s="35" t="s">
        <v>859</v>
      </c>
    </row>
    <row r="2719" spans="1:8" ht="27" customHeight="1" x14ac:dyDescent="0.2">
      <c r="A2719" s="31" t="s">
        <v>3787</v>
      </c>
      <c r="B2719" s="32" t="s">
        <v>535</v>
      </c>
      <c r="C2719" s="32" t="s">
        <v>776</v>
      </c>
      <c r="D2719" s="32" t="s">
        <v>776</v>
      </c>
      <c r="E2719" s="33" t="s">
        <v>777</v>
      </c>
      <c r="F2719" s="34">
        <v>1034491</v>
      </c>
      <c r="G2719" s="34">
        <v>1034491</v>
      </c>
      <c r="H2719" s="35" t="s">
        <v>859</v>
      </c>
    </row>
    <row r="2720" spans="1:8" ht="27" customHeight="1" x14ac:dyDescent="0.2">
      <c r="A2720" s="31" t="s">
        <v>3787</v>
      </c>
      <c r="B2720" s="32" t="s">
        <v>535</v>
      </c>
      <c r="C2720" s="32" t="s">
        <v>779</v>
      </c>
      <c r="D2720" s="32" t="s">
        <v>779</v>
      </c>
      <c r="E2720" s="33" t="s">
        <v>780</v>
      </c>
      <c r="F2720" s="34">
        <v>463819</v>
      </c>
      <c r="G2720" s="34">
        <v>463819</v>
      </c>
      <c r="H2720" s="35" t="s">
        <v>859</v>
      </c>
    </row>
    <row r="2721" spans="1:8" ht="27" customHeight="1" x14ac:dyDescent="0.2">
      <c r="A2721" s="31" t="s">
        <v>3787</v>
      </c>
      <c r="B2721" s="32" t="s">
        <v>535</v>
      </c>
      <c r="C2721" s="32" t="s">
        <v>782</v>
      </c>
      <c r="D2721" s="32" t="s">
        <v>782</v>
      </c>
      <c r="E2721" s="33" t="s">
        <v>784</v>
      </c>
      <c r="F2721" s="34">
        <v>311028</v>
      </c>
      <c r="G2721" s="34">
        <v>311028</v>
      </c>
      <c r="H2721" s="35" t="s">
        <v>859</v>
      </c>
    </row>
    <row r="2722" spans="1:8" ht="27" customHeight="1" x14ac:dyDescent="0.2">
      <c r="A2722" s="31" t="s">
        <v>3788</v>
      </c>
      <c r="B2722" s="32" t="s">
        <v>3789</v>
      </c>
      <c r="C2722" s="32" t="s">
        <v>763</v>
      </c>
      <c r="D2722" s="32" t="s">
        <v>1019</v>
      </c>
      <c r="E2722" s="33" t="s">
        <v>764</v>
      </c>
      <c r="F2722" s="34">
        <v>500000</v>
      </c>
      <c r="G2722" s="34">
        <v>500000</v>
      </c>
      <c r="H2722" s="35" t="s">
        <v>3790</v>
      </c>
    </row>
    <row r="2723" spans="1:8" ht="27" customHeight="1" x14ac:dyDescent="0.2">
      <c r="A2723" s="31" t="s">
        <v>3788</v>
      </c>
      <c r="B2723" s="32" t="s">
        <v>3789</v>
      </c>
      <c r="C2723" s="32" t="s">
        <v>770</v>
      </c>
      <c r="D2723" s="32" t="s">
        <v>970</v>
      </c>
      <c r="E2723" s="33" t="s">
        <v>772</v>
      </c>
      <c r="F2723" s="34">
        <v>66000</v>
      </c>
      <c r="G2723" s="34">
        <v>66000</v>
      </c>
      <c r="H2723" s="35" t="s">
        <v>3791</v>
      </c>
    </row>
    <row r="2724" spans="1:8" ht="27" customHeight="1" x14ac:dyDescent="0.2">
      <c r="A2724" s="31" t="s">
        <v>3788</v>
      </c>
      <c r="B2724" s="32" t="s">
        <v>3789</v>
      </c>
      <c r="C2724" s="32" t="s">
        <v>796</v>
      </c>
      <c r="D2724" s="32" t="s">
        <v>3792</v>
      </c>
      <c r="E2724" s="33" t="s">
        <v>772</v>
      </c>
      <c r="F2724" s="34">
        <v>1330367</v>
      </c>
      <c r="G2724" s="34">
        <v>1330367</v>
      </c>
      <c r="H2724" s="35" t="s">
        <v>3793</v>
      </c>
    </row>
    <row r="2725" spans="1:8" ht="27" customHeight="1" x14ac:dyDescent="0.2">
      <c r="A2725" s="31" t="s">
        <v>3788</v>
      </c>
      <c r="B2725" s="32" t="s">
        <v>3789</v>
      </c>
      <c r="C2725" s="32" t="s">
        <v>782</v>
      </c>
      <c r="D2725" s="32" t="s">
        <v>782</v>
      </c>
      <c r="E2725" s="33" t="s">
        <v>784</v>
      </c>
      <c r="F2725" s="34">
        <v>155000</v>
      </c>
      <c r="G2725" s="34">
        <v>155000</v>
      </c>
      <c r="H2725" s="35" t="s">
        <v>3794</v>
      </c>
    </row>
    <row r="2726" spans="1:8" ht="27" customHeight="1" x14ac:dyDescent="0.2">
      <c r="A2726" s="31" t="s">
        <v>3795</v>
      </c>
      <c r="B2726" s="32" t="s">
        <v>3796</v>
      </c>
      <c r="C2726" s="32" t="s">
        <v>763</v>
      </c>
      <c r="D2726" s="32" t="s">
        <v>816</v>
      </c>
      <c r="E2726" s="33" t="s">
        <v>764</v>
      </c>
      <c r="F2726" s="34">
        <v>2015326</v>
      </c>
      <c r="G2726" s="34">
        <v>2015326</v>
      </c>
      <c r="H2726" s="35" t="s">
        <v>3797</v>
      </c>
    </row>
    <row r="2727" spans="1:8" ht="27" customHeight="1" x14ac:dyDescent="0.2">
      <c r="A2727" s="31" t="s">
        <v>3795</v>
      </c>
      <c r="B2727" s="32" t="s">
        <v>3796</v>
      </c>
      <c r="C2727" s="32" t="s">
        <v>763</v>
      </c>
      <c r="D2727" s="32" t="s">
        <v>3798</v>
      </c>
      <c r="E2727" s="33" t="s">
        <v>764</v>
      </c>
      <c r="F2727" s="34">
        <v>1278108</v>
      </c>
      <c r="G2727" s="34">
        <v>1196705</v>
      </c>
      <c r="H2727" s="35" t="s">
        <v>3799</v>
      </c>
    </row>
    <row r="2728" spans="1:8" ht="27" customHeight="1" x14ac:dyDescent="0.2">
      <c r="A2728" s="31" t="s">
        <v>3795</v>
      </c>
      <c r="B2728" s="32" t="s">
        <v>3796</v>
      </c>
      <c r="C2728" s="32" t="s">
        <v>766</v>
      </c>
      <c r="D2728" s="32" t="s">
        <v>832</v>
      </c>
      <c r="E2728" s="33" t="s">
        <v>768</v>
      </c>
      <c r="F2728" s="34">
        <v>834701</v>
      </c>
      <c r="G2728" s="34">
        <v>416686</v>
      </c>
      <c r="H2728" s="35" t="s">
        <v>3800</v>
      </c>
    </row>
    <row r="2729" spans="1:8" ht="27" customHeight="1" x14ac:dyDescent="0.2">
      <c r="A2729" s="31" t="s">
        <v>3795</v>
      </c>
      <c r="B2729" s="32" t="s">
        <v>3796</v>
      </c>
      <c r="C2729" s="32" t="s">
        <v>770</v>
      </c>
      <c r="D2729" s="32" t="s">
        <v>810</v>
      </c>
      <c r="E2729" s="33" t="s">
        <v>772</v>
      </c>
      <c r="F2729" s="34">
        <v>2663747</v>
      </c>
      <c r="G2729" s="34">
        <v>2515722</v>
      </c>
      <c r="H2729" s="35" t="s">
        <v>3801</v>
      </c>
    </row>
    <row r="2730" spans="1:8" ht="27" customHeight="1" x14ac:dyDescent="0.2">
      <c r="A2730" s="31" t="s">
        <v>3795</v>
      </c>
      <c r="B2730" s="32" t="s">
        <v>3796</v>
      </c>
      <c r="C2730" s="32" t="s">
        <v>796</v>
      </c>
      <c r="D2730" s="32" t="s">
        <v>3802</v>
      </c>
      <c r="E2730" s="33" t="s">
        <v>823</v>
      </c>
      <c r="F2730" s="34">
        <v>840987</v>
      </c>
      <c r="G2730" s="34">
        <v>771242</v>
      </c>
      <c r="H2730" s="35" t="s">
        <v>3803</v>
      </c>
    </row>
    <row r="2731" spans="1:8" ht="27" customHeight="1" x14ac:dyDescent="0.2">
      <c r="A2731" s="31" t="s">
        <v>3795</v>
      </c>
      <c r="B2731" s="32" t="s">
        <v>3796</v>
      </c>
      <c r="C2731" s="32" t="s">
        <v>776</v>
      </c>
      <c r="D2731" s="32" t="s">
        <v>812</v>
      </c>
      <c r="E2731" s="33" t="s">
        <v>777</v>
      </c>
      <c r="F2731" s="34">
        <v>81529</v>
      </c>
      <c r="G2731" s="34">
        <v>0</v>
      </c>
      <c r="H2731" s="35" t="s">
        <v>3804</v>
      </c>
    </row>
    <row r="2732" spans="1:8" ht="27" customHeight="1" x14ac:dyDescent="0.2">
      <c r="A2732" s="31" t="s">
        <v>3795</v>
      </c>
      <c r="B2732" s="32" t="s">
        <v>3796</v>
      </c>
      <c r="C2732" s="32" t="s">
        <v>779</v>
      </c>
      <c r="D2732" s="32" t="s">
        <v>826</v>
      </c>
      <c r="E2732" s="33" t="s">
        <v>780</v>
      </c>
      <c r="F2732" s="34">
        <v>35521</v>
      </c>
      <c r="G2732" s="34">
        <v>10896</v>
      </c>
      <c r="H2732" s="35" t="s">
        <v>3805</v>
      </c>
    </row>
    <row r="2733" spans="1:8" ht="27" customHeight="1" x14ac:dyDescent="0.2">
      <c r="A2733" s="31" t="s">
        <v>3795</v>
      </c>
      <c r="B2733" s="32" t="s">
        <v>3796</v>
      </c>
      <c r="C2733" s="32" t="s">
        <v>782</v>
      </c>
      <c r="D2733" s="32" t="s">
        <v>1391</v>
      </c>
      <c r="E2733" s="33" t="s">
        <v>784</v>
      </c>
      <c r="F2733" s="34">
        <v>271878</v>
      </c>
      <c r="G2733" s="34">
        <v>271878</v>
      </c>
      <c r="H2733" s="35" t="s">
        <v>3806</v>
      </c>
    </row>
    <row r="2734" spans="1:8" ht="27" customHeight="1" x14ac:dyDescent="0.2">
      <c r="A2734" s="31" t="s">
        <v>3807</v>
      </c>
      <c r="B2734" s="32" t="s">
        <v>3808</v>
      </c>
      <c r="C2734" s="32" t="s">
        <v>763</v>
      </c>
      <c r="D2734" s="32" t="s">
        <v>763</v>
      </c>
      <c r="E2734" s="33" t="s">
        <v>764</v>
      </c>
      <c r="F2734" s="34">
        <v>2645973</v>
      </c>
      <c r="G2734" s="34">
        <v>2645975</v>
      </c>
      <c r="H2734" s="35" t="s">
        <v>3809</v>
      </c>
    </row>
    <row r="2735" spans="1:8" ht="27" customHeight="1" x14ac:dyDescent="0.2">
      <c r="A2735" s="31" t="s">
        <v>3807</v>
      </c>
      <c r="B2735" s="32" t="s">
        <v>3808</v>
      </c>
      <c r="C2735" s="32" t="s">
        <v>766</v>
      </c>
      <c r="D2735" s="32" t="s">
        <v>818</v>
      </c>
      <c r="E2735" s="33" t="s">
        <v>768</v>
      </c>
      <c r="F2735" s="34">
        <v>1258248</v>
      </c>
      <c r="G2735" s="34">
        <v>1208128</v>
      </c>
      <c r="H2735" s="35" t="s">
        <v>3810</v>
      </c>
    </row>
    <row r="2736" spans="1:8" ht="27" customHeight="1" x14ac:dyDescent="0.2">
      <c r="A2736" s="31" t="s">
        <v>3807</v>
      </c>
      <c r="B2736" s="32" t="s">
        <v>3808</v>
      </c>
      <c r="C2736" s="32" t="s">
        <v>770</v>
      </c>
      <c r="D2736" s="32" t="s">
        <v>1720</v>
      </c>
      <c r="E2736" s="33" t="s">
        <v>772</v>
      </c>
      <c r="F2736" s="34">
        <v>1116085</v>
      </c>
      <c r="G2736" s="34">
        <v>1116085</v>
      </c>
      <c r="H2736" s="35" t="s">
        <v>3811</v>
      </c>
    </row>
    <row r="2737" spans="1:8" ht="27" customHeight="1" x14ac:dyDescent="0.2">
      <c r="A2737" s="31" t="s">
        <v>3807</v>
      </c>
      <c r="B2737" s="32" t="s">
        <v>3808</v>
      </c>
      <c r="C2737" s="32" t="s">
        <v>831</v>
      </c>
      <c r="D2737" s="32" t="s">
        <v>1019</v>
      </c>
      <c r="E2737" s="33" t="s">
        <v>3812</v>
      </c>
      <c r="F2737" s="34">
        <v>92815</v>
      </c>
      <c r="G2737" s="34">
        <v>92815</v>
      </c>
      <c r="H2737" s="35" t="s">
        <v>3813</v>
      </c>
    </row>
    <row r="2738" spans="1:8" ht="27" customHeight="1" x14ac:dyDescent="0.2">
      <c r="A2738" s="31" t="s">
        <v>3807</v>
      </c>
      <c r="B2738" s="32" t="s">
        <v>3808</v>
      </c>
      <c r="C2738" s="32" t="s">
        <v>886</v>
      </c>
      <c r="D2738" s="32" t="s">
        <v>1013</v>
      </c>
      <c r="E2738" s="33" t="s">
        <v>887</v>
      </c>
      <c r="F2738" s="34">
        <v>250732</v>
      </c>
      <c r="G2738" s="34">
        <v>250732</v>
      </c>
      <c r="H2738" s="35" t="s">
        <v>3814</v>
      </c>
    </row>
    <row r="2739" spans="1:8" ht="27" customHeight="1" x14ac:dyDescent="0.2">
      <c r="A2739" s="31" t="s">
        <v>3807</v>
      </c>
      <c r="B2739" s="32" t="s">
        <v>3808</v>
      </c>
      <c r="C2739" s="32" t="s">
        <v>796</v>
      </c>
      <c r="D2739" s="32" t="s">
        <v>811</v>
      </c>
      <c r="E2739" s="33" t="s">
        <v>823</v>
      </c>
      <c r="F2739" s="34">
        <v>4483194</v>
      </c>
      <c r="G2739" s="34">
        <v>4483195</v>
      </c>
      <c r="H2739" s="35" t="s">
        <v>3815</v>
      </c>
    </row>
    <row r="2740" spans="1:8" ht="27" customHeight="1" x14ac:dyDescent="0.2">
      <c r="A2740" s="31" t="s">
        <v>3807</v>
      </c>
      <c r="B2740" s="32" t="s">
        <v>3808</v>
      </c>
      <c r="C2740" s="32" t="s">
        <v>776</v>
      </c>
      <c r="D2740" s="32" t="s">
        <v>914</v>
      </c>
      <c r="E2740" s="33" t="s">
        <v>777</v>
      </c>
      <c r="F2740" s="34">
        <v>74247</v>
      </c>
      <c r="G2740" s="34">
        <v>0</v>
      </c>
      <c r="H2740" s="35" t="s">
        <v>3816</v>
      </c>
    </row>
    <row r="2741" spans="1:8" ht="27" customHeight="1" x14ac:dyDescent="0.2">
      <c r="A2741" s="31" t="s">
        <v>3807</v>
      </c>
      <c r="B2741" s="32" t="s">
        <v>3808</v>
      </c>
      <c r="C2741" s="32" t="s">
        <v>779</v>
      </c>
      <c r="D2741" s="32" t="s">
        <v>826</v>
      </c>
      <c r="E2741" s="33" t="s">
        <v>780</v>
      </c>
      <c r="F2741" s="34">
        <v>1358770</v>
      </c>
      <c r="G2741" s="34">
        <v>135871</v>
      </c>
      <c r="H2741" s="35" t="s">
        <v>3817</v>
      </c>
    </row>
    <row r="2742" spans="1:8" ht="27" customHeight="1" x14ac:dyDescent="0.2">
      <c r="A2742" s="31" t="s">
        <v>3818</v>
      </c>
      <c r="B2742" s="32" t="s">
        <v>3819</v>
      </c>
      <c r="C2742" s="32" t="s">
        <v>763</v>
      </c>
      <c r="D2742" s="32" t="s">
        <v>3820</v>
      </c>
      <c r="E2742" s="33" t="s">
        <v>764</v>
      </c>
      <c r="F2742" s="34">
        <v>376045</v>
      </c>
      <c r="G2742" s="34">
        <v>376045</v>
      </c>
      <c r="H2742" s="35" t="s">
        <v>1423</v>
      </c>
    </row>
    <row r="2743" spans="1:8" ht="27" customHeight="1" x14ac:dyDescent="0.2">
      <c r="A2743" s="31" t="s">
        <v>3818</v>
      </c>
      <c r="B2743" s="32" t="s">
        <v>3819</v>
      </c>
      <c r="C2743" s="32" t="s">
        <v>763</v>
      </c>
      <c r="D2743" s="32" t="s">
        <v>2248</v>
      </c>
      <c r="E2743" s="33" t="s">
        <v>764</v>
      </c>
      <c r="F2743" s="34">
        <v>445389</v>
      </c>
      <c r="G2743" s="34">
        <v>544775</v>
      </c>
      <c r="H2743" s="35" t="s">
        <v>3821</v>
      </c>
    </row>
    <row r="2744" spans="1:8" ht="27" customHeight="1" x14ac:dyDescent="0.2">
      <c r="A2744" s="31" t="s">
        <v>3818</v>
      </c>
      <c r="B2744" s="32" t="s">
        <v>3819</v>
      </c>
      <c r="C2744" s="32" t="s">
        <v>766</v>
      </c>
      <c r="D2744" s="32" t="s">
        <v>765</v>
      </c>
      <c r="E2744" s="33" t="s">
        <v>768</v>
      </c>
      <c r="F2744" s="34">
        <v>0</v>
      </c>
      <c r="G2744" s="34">
        <v>0</v>
      </c>
      <c r="H2744" s="35" t="s">
        <v>765</v>
      </c>
    </row>
    <row r="2745" spans="1:8" ht="27" customHeight="1" x14ac:dyDescent="0.2">
      <c r="A2745" s="31" t="s">
        <v>3818</v>
      </c>
      <c r="B2745" s="32" t="s">
        <v>3819</v>
      </c>
      <c r="C2745" s="32" t="s">
        <v>770</v>
      </c>
      <c r="D2745" s="32" t="s">
        <v>3822</v>
      </c>
      <c r="E2745" s="33" t="s">
        <v>772</v>
      </c>
      <c r="F2745" s="34">
        <v>796804</v>
      </c>
      <c r="G2745" s="34">
        <v>796804</v>
      </c>
      <c r="H2745" s="35" t="s">
        <v>1423</v>
      </c>
    </row>
    <row r="2746" spans="1:8" ht="27" customHeight="1" x14ac:dyDescent="0.2">
      <c r="A2746" s="31" t="s">
        <v>3818</v>
      </c>
      <c r="B2746" s="32" t="s">
        <v>3819</v>
      </c>
      <c r="C2746" s="32" t="s">
        <v>773</v>
      </c>
      <c r="D2746" s="32" t="s">
        <v>973</v>
      </c>
      <c r="E2746" s="33" t="s">
        <v>775</v>
      </c>
      <c r="F2746" s="34">
        <v>220667</v>
      </c>
      <c r="G2746" s="34">
        <v>345006</v>
      </c>
      <c r="H2746" s="35" t="s">
        <v>3823</v>
      </c>
    </row>
    <row r="2747" spans="1:8" ht="27" customHeight="1" x14ac:dyDescent="0.2">
      <c r="A2747" s="31" t="s">
        <v>3818</v>
      </c>
      <c r="B2747" s="32" t="s">
        <v>3819</v>
      </c>
      <c r="C2747" s="32" t="s">
        <v>796</v>
      </c>
      <c r="D2747" s="32" t="s">
        <v>3824</v>
      </c>
      <c r="E2747" s="33" t="s">
        <v>772</v>
      </c>
      <c r="F2747" s="34">
        <v>310826</v>
      </c>
      <c r="G2747" s="34">
        <v>250648</v>
      </c>
      <c r="H2747" s="35" t="s">
        <v>3825</v>
      </c>
    </row>
    <row r="2748" spans="1:8" ht="27" customHeight="1" x14ac:dyDescent="0.2">
      <c r="A2748" s="31" t="s">
        <v>3818</v>
      </c>
      <c r="B2748" s="32" t="s">
        <v>3819</v>
      </c>
      <c r="C2748" s="32" t="s">
        <v>779</v>
      </c>
      <c r="D2748" s="32" t="s">
        <v>826</v>
      </c>
      <c r="E2748" s="33" t="s">
        <v>780</v>
      </c>
      <c r="F2748" s="34">
        <v>140408</v>
      </c>
      <c r="G2748" s="34">
        <v>100408</v>
      </c>
      <c r="H2748" s="35" t="s">
        <v>3826</v>
      </c>
    </row>
    <row r="2749" spans="1:8" ht="27" customHeight="1" x14ac:dyDescent="0.2">
      <c r="A2749" s="31" t="s">
        <v>3827</v>
      </c>
      <c r="B2749" s="32" t="s">
        <v>3828</v>
      </c>
      <c r="C2749" s="32" t="s">
        <v>770</v>
      </c>
      <c r="D2749" s="32" t="s">
        <v>770</v>
      </c>
      <c r="E2749" s="33" t="s">
        <v>772</v>
      </c>
      <c r="F2749" s="34">
        <v>554372</v>
      </c>
      <c r="G2749" s="34">
        <v>554372</v>
      </c>
      <c r="H2749" s="35" t="s">
        <v>3829</v>
      </c>
    </row>
    <row r="2750" spans="1:8" ht="27" customHeight="1" x14ac:dyDescent="0.2">
      <c r="A2750" s="31" t="s">
        <v>3827</v>
      </c>
      <c r="B2750" s="32" t="s">
        <v>3828</v>
      </c>
      <c r="C2750" s="32" t="s">
        <v>796</v>
      </c>
      <c r="D2750" s="32" t="s">
        <v>3830</v>
      </c>
      <c r="E2750" s="33" t="s">
        <v>823</v>
      </c>
      <c r="F2750" s="34">
        <v>506800</v>
      </c>
      <c r="G2750" s="34">
        <v>506800</v>
      </c>
      <c r="H2750" s="35" t="s">
        <v>3831</v>
      </c>
    </row>
    <row r="2751" spans="1:8" ht="27" customHeight="1" x14ac:dyDescent="0.2">
      <c r="A2751" s="31" t="s">
        <v>3827</v>
      </c>
      <c r="B2751" s="32" t="s">
        <v>3828</v>
      </c>
      <c r="C2751" s="32" t="s">
        <v>779</v>
      </c>
      <c r="D2751" s="32" t="s">
        <v>779</v>
      </c>
      <c r="E2751" s="33" t="s">
        <v>780</v>
      </c>
      <c r="F2751" s="34">
        <v>25000</v>
      </c>
      <c r="G2751" s="34">
        <v>25000</v>
      </c>
      <c r="H2751" s="35" t="s">
        <v>3832</v>
      </c>
    </row>
    <row r="2752" spans="1:8" ht="27" customHeight="1" x14ac:dyDescent="0.2">
      <c r="A2752" s="31" t="s">
        <v>3833</v>
      </c>
      <c r="B2752" s="32" t="s">
        <v>3834</v>
      </c>
      <c r="C2752" s="32" t="s">
        <v>763</v>
      </c>
      <c r="D2752" s="32" t="s">
        <v>3835</v>
      </c>
      <c r="E2752" s="33" t="s">
        <v>764</v>
      </c>
      <c r="F2752" s="34">
        <v>1312669</v>
      </c>
      <c r="G2752" s="34">
        <v>1166615</v>
      </c>
      <c r="H2752" s="35" t="s">
        <v>3836</v>
      </c>
    </row>
    <row r="2753" spans="1:8" ht="27" customHeight="1" x14ac:dyDescent="0.2">
      <c r="A2753" s="31" t="s">
        <v>3833</v>
      </c>
      <c r="B2753" s="32" t="s">
        <v>3834</v>
      </c>
      <c r="C2753" s="32" t="s">
        <v>770</v>
      </c>
      <c r="D2753" s="32" t="s">
        <v>794</v>
      </c>
      <c r="E2753" s="33" t="s">
        <v>772</v>
      </c>
      <c r="F2753" s="34">
        <v>444154</v>
      </c>
      <c r="G2753" s="34">
        <v>444154</v>
      </c>
      <c r="H2753" s="35" t="s">
        <v>3837</v>
      </c>
    </row>
    <row r="2754" spans="1:8" ht="27" customHeight="1" x14ac:dyDescent="0.2">
      <c r="A2754" s="31" t="s">
        <v>3833</v>
      </c>
      <c r="B2754" s="32" t="s">
        <v>3834</v>
      </c>
      <c r="C2754" s="32" t="s">
        <v>860</v>
      </c>
      <c r="D2754" s="32" t="s">
        <v>860</v>
      </c>
      <c r="E2754" s="33" t="s">
        <v>861</v>
      </c>
      <c r="F2754" s="34">
        <v>289975</v>
      </c>
      <c r="G2754" s="34">
        <v>276405</v>
      </c>
      <c r="H2754" s="35" t="s">
        <v>2557</v>
      </c>
    </row>
    <row r="2755" spans="1:8" ht="27" customHeight="1" x14ac:dyDescent="0.2">
      <c r="A2755" s="31" t="s">
        <v>3833</v>
      </c>
      <c r="B2755" s="32" t="s">
        <v>3834</v>
      </c>
      <c r="C2755" s="32" t="s">
        <v>796</v>
      </c>
      <c r="D2755" s="32" t="s">
        <v>835</v>
      </c>
      <c r="E2755" s="33" t="s">
        <v>772</v>
      </c>
      <c r="F2755" s="34">
        <v>180041</v>
      </c>
      <c r="G2755" s="34">
        <v>155041</v>
      </c>
      <c r="H2755" s="35" t="s">
        <v>3838</v>
      </c>
    </row>
    <row r="2756" spans="1:8" ht="27" customHeight="1" x14ac:dyDescent="0.2">
      <c r="A2756" s="31" t="s">
        <v>3833</v>
      </c>
      <c r="B2756" s="32" t="s">
        <v>3834</v>
      </c>
      <c r="C2756" s="32" t="s">
        <v>776</v>
      </c>
      <c r="D2756" s="32" t="s">
        <v>776</v>
      </c>
      <c r="E2756" s="33" t="s">
        <v>777</v>
      </c>
      <c r="F2756" s="34">
        <v>7500</v>
      </c>
      <c r="G2756" s="34">
        <v>7500</v>
      </c>
      <c r="H2756" s="35" t="s">
        <v>2569</v>
      </c>
    </row>
    <row r="2757" spans="1:8" ht="27" customHeight="1" x14ac:dyDescent="0.2">
      <c r="A2757" s="31" t="s">
        <v>3833</v>
      </c>
      <c r="B2757" s="32" t="s">
        <v>3834</v>
      </c>
      <c r="C2757" s="32" t="s">
        <v>779</v>
      </c>
      <c r="D2757" s="32" t="s">
        <v>779</v>
      </c>
      <c r="E2757" s="33" t="s">
        <v>780</v>
      </c>
      <c r="F2757" s="34">
        <v>147520</v>
      </c>
      <c r="G2757" s="34">
        <v>122520</v>
      </c>
      <c r="H2757" s="35" t="s">
        <v>3839</v>
      </c>
    </row>
    <row r="2758" spans="1:8" ht="27" customHeight="1" x14ac:dyDescent="0.2">
      <c r="A2758" s="31" t="s">
        <v>3833</v>
      </c>
      <c r="B2758" s="32" t="s">
        <v>3834</v>
      </c>
      <c r="C2758" s="32" t="s">
        <v>782</v>
      </c>
      <c r="D2758" s="32" t="s">
        <v>782</v>
      </c>
      <c r="E2758" s="33" t="s">
        <v>784</v>
      </c>
      <c r="F2758" s="34">
        <v>150036</v>
      </c>
      <c r="G2758" s="34">
        <v>125036</v>
      </c>
      <c r="H2758" s="35" t="s">
        <v>3840</v>
      </c>
    </row>
    <row r="2759" spans="1:8" ht="27" customHeight="1" x14ac:dyDescent="0.2">
      <c r="A2759" s="31" t="s">
        <v>3841</v>
      </c>
      <c r="B2759" s="32" t="s">
        <v>3842</v>
      </c>
      <c r="C2759" s="32" t="s">
        <v>770</v>
      </c>
      <c r="D2759" s="32" t="s">
        <v>3843</v>
      </c>
      <c r="E2759" s="33" t="s">
        <v>772</v>
      </c>
      <c r="F2759" s="34">
        <v>201005</v>
      </c>
      <c r="G2759" s="34">
        <v>201105</v>
      </c>
      <c r="H2759" s="35" t="s">
        <v>3844</v>
      </c>
    </row>
    <row r="2760" spans="1:8" ht="27" customHeight="1" x14ac:dyDescent="0.2">
      <c r="A2760" s="31" t="s">
        <v>3841</v>
      </c>
      <c r="B2760" s="32" t="s">
        <v>3842</v>
      </c>
      <c r="C2760" s="32" t="s">
        <v>796</v>
      </c>
      <c r="D2760" s="32" t="s">
        <v>811</v>
      </c>
      <c r="E2760" s="33" t="s">
        <v>772</v>
      </c>
      <c r="F2760" s="34">
        <v>211378</v>
      </c>
      <c r="G2760" s="34">
        <v>211478</v>
      </c>
      <c r="H2760" s="35" t="s">
        <v>3845</v>
      </c>
    </row>
    <row r="2761" spans="1:8" ht="27" customHeight="1" x14ac:dyDescent="0.2">
      <c r="A2761" s="31" t="s">
        <v>3841</v>
      </c>
      <c r="B2761" s="32" t="s">
        <v>3842</v>
      </c>
      <c r="C2761" s="32" t="s">
        <v>782</v>
      </c>
      <c r="D2761" s="32" t="s">
        <v>964</v>
      </c>
      <c r="E2761" s="33" t="s">
        <v>784</v>
      </c>
      <c r="F2761" s="34">
        <v>64614</v>
      </c>
      <c r="G2761" s="34">
        <v>64639</v>
      </c>
      <c r="H2761" s="35" t="s">
        <v>3846</v>
      </c>
    </row>
    <row r="2762" spans="1:8" ht="27" customHeight="1" x14ac:dyDescent="0.2">
      <c r="A2762" s="31" t="s">
        <v>3847</v>
      </c>
      <c r="B2762" s="32" t="s">
        <v>3848</v>
      </c>
      <c r="C2762" s="32" t="s">
        <v>763</v>
      </c>
      <c r="D2762" s="32" t="s">
        <v>816</v>
      </c>
      <c r="E2762" s="33" t="s">
        <v>764</v>
      </c>
      <c r="F2762" s="34">
        <v>500000</v>
      </c>
      <c r="G2762" s="34">
        <v>500000</v>
      </c>
      <c r="H2762" s="35" t="s">
        <v>3849</v>
      </c>
    </row>
    <row r="2763" spans="1:8" ht="27" customHeight="1" x14ac:dyDescent="0.2">
      <c r="A2763" s="31" t="s">
        <v>3847</v>
      </c>
      <c r="B2763" s="32" t="s">
        <v>3848</v>
      </c>
      <c r="C2763" s="32" t="s">
        <v>770</v>
      </c>
      <c r="D2763" s="32" t="s">
        <v>3850</v>
      </c>
      <c r="E2763" s="33" t="s">
        <v>772</v>
      </c>
      <c r="F2763" s="34">
        <v>282947</v>
      </c>
      <c r="G2763" s="34">
        <v>275672</v>
      </c>
      <c r="H2763" s="35" t="s">
        <v>3851</v>
      </c>
    </row>
    <row r="2764" spans="1:8" ht="27" customHeight="1" x14ac:dyDescent="0.2">
      <c r="A2764" s="31" t="s">
        <v>3847</v>
      </c>
      <c r="B2764" s="32" t="s">
        <v>3848</v>
      </c>
      <c r="C2764" s="32" t="s">
        <v>844</v>
      </c>
      <c r="D2764" s="32" t="s">
        <v>972</v>
      </c>
      <c r="E2764" s="33" t="s">
        <v>846</v>
      </c>
      <c r="F2764" s="34">
        <v>33039</v>
      </c>
      <c r="G2764" s="34">
        <v>33039</v>
      </c>
      <c r="H2764" s="35" t="s">
        <v>3852</v>
      </c>
    </row>
    <row r="2765" spans="1:8" ht="27" customHeight="1" x14ac:dyDescent="0.2">
      <c r="A2765" s="31" t="s">
        <v>3847</v>
      </c>
      <c r="B2765" s="32" t="s">
        <v>3848</v>
      </c>
      <c r="C2765" s="32" t="s">
        <v>860</v>
      </c>
      <c r="D2765" s="32" t="s">
        <v>911</v>
      </c>
      <c r="E2765" s="33" t="s">
        <v>861</v>
      </c>
      <c r="F2765" s="34">
        <v>200000</v>
      </c>
      <c r="G2765" s="34">
        <v>200000</v>
      </c>
      <c r="H2765" s="35" t="s">
        <v>3853</v>
      </c>
    </row>
    <row r="2766" spans="1:8" ht="27" customHeight="1" x14ac:dyDescent="0.2">
      <c r="A2766" s="31" t="s">
        <v>3847</v>
      </c>
      <c r="B2766" s="32" t="s">
        <v>3848</v>
      </c>
      <c r="C2766" s="32" t="s">
        <v>796</v>
      </c>
      <c r="D2766" s="32" t="s">
        <v>3854</v>
      </c>
      <c r="E2766" s="33" t="s">
        <v>772</v>
      </c>
      <c r="F2766" s="34">
        <v>300353</v>
      </c>
      <c r="G2766" s="34">
        <v>300353</v>
      </c>
      <c r="H2766" s="35" t="s">
        <v>3852</v>
      </c>
    </row>
    <row r="2767" spans="1:8" ht="27" customHeight="1" x14ac:dyDescent="0.2">
      <c r="A2767" s="31" t="s">
        <v>3847</v>
      </c>
      <c r="B2767" s="32" t="s">
        <v>3848</v>
      </c>
      <c r="C2767" s="32" t="s">
        <v>776</v>
      </c>
      <c r="D2767" s="32" t="s">
        <v>812</v>
      </c>
      <c r="E2767" s="33" t="s">
        <v>777</v>
      </c>
      <c r="F2767" s="34">
        <v>80000</v>
      </c>
      <c r="G2767" s="34">
        <v>73462</v>
      </c>
      <c r="H2767" s="35" t="s">
        <v>3855</v>
      </c>
    </row>
    <row r="2768" spans="1:8" ht="27" customHeight="1" x14ac:dyDescent="0.2">
      <c r="A2768" s="31" t="s">
        <v>3847</v>
      </c>
      <c r="B2768" s="32" t="s">
        <v>3848</v>
      </c>
      <c r="C2768" s="32" t="s">
        <v>779</v>
      </c>
      <c r="D2768" s="32" t="s">
        <v>3856</v>
      </c>
      <c r="E2768" s="33" t="s">
        <v>780</v>
      </c>
      <c r="F2768" s="34">
        <v>165368</v>
      </c>
      <c r="G2768" s="34">
        <v>165368</v>
      </c>
      <c r="H2768" s="35" t="s">
        <v>3852</v>
      </c>
    </row>
    <row r="2769" spans="1:8" ht="27" customHeight="1" x14ac:dyDescent="0.2">
      <c r="A2769" s="31" t="s">
        <v>3857</v>
      </c>
      <c r="B2769" s="32" t="s">
        <v>3858</v>
      </c>
      <c r="C2769" s="32" t="s">
        <v>763</v>
      </c>
      <c r="D2769" s="32" t="s">
        <v>763</v>
      </c>
      <c r="E2769" s="33" t="s">
        <v>764</v>
      </c>
      <c r="F2769" s="34">
        <v>914505</v>
      </c>
      <c r="G2769" s="34">
        <v>923664</v>
      </c>
      <c r="H2769" s="35" t="s">
        <v>3859</v>
      </c>
    </row>
    <row r="2770" spans="1:8" ht="27" customHeight="1" x14ac:dyDescent="0.2">
      <c r="A2770" s="31" t="s">
        <v>3857</v>
      </c>
      <c r="B2770" s="32" t="s">
        <v>3858</v>
      </c>
      <c r="C2770" s="32" t="s">
        <v>770</v>
      </c>
      <c r="D2770" s="32" t="s">
        <v>1136</v>
      </c>
      <c r="E2770" s="33" t="s">
        <v>772</v>
      </c>
      <c r="F2770" s="34">
        <v>332252</v>
      </c>
      <c r="G2770" s="34">
        <v>292741</v>
      </c>
      <c r="H2770" s="35" t="s">
        <v>1645</v>
      </c>
    </row>
    <row r="2771" spans="1:8" ht="27" customHeight="1" x14ac:dyDescent="0.2">
      <c r="A2771" s="31" t="s">
        <v>3857</v>
      </c>
      <c r="B2771" s="32" t="s">
        <v>3858</v>
      </c>
      <c r="C2771" s="32" t="s">
        <v>844</v>
      </c>
      <c r="D2771" s="32" t="s">
        <v>844</v>
      </c>
      <c r="E2771" s="33" t="s">
        <v>846</v>
      </c>
      <c r="F2771" s="34">
        <v>167918</v>
      </c>
      <c r="G2771" s="34">
        <v>169595</v>
      </c>
      <c r="H2771" s="35" t="s">
        <v>3860</v>
      </c>
    </row>
    <row r="2772" spans="1:8" ht="27" customHeight="1" x14ac:dyDescent="0.2">
      <c r="A2772" s="31" t="s">
        <v>3857</v>
      </c>
      <c r="B2772" s="32" t="s">
        <v>3858</v>
      </c>
      <c r="C2772" s="32" t="s">
        <v>773</v>
      </c>
      <c r="D2772" s="32" t="s">
        <v>773</v>
      </c>
      <c r="E2772" s="33" t="s">
        <v>775</v>
      </c>
      <c r="F2772" s="34">
        <v>27269</v>
      </c>
      <c r="G2772" s="34">
        <v>27541</v>
      </c>
      <c r="H2772" s="35" t="s">
        <v>3861</v>
      </c>
    </row>
    <row r="2773" spans="1:8" ht="27" customHeight="1" x14ac:dyDescent="0.2">
      <c r="A2773" s="31" t="s">
        <v>3857</v>
      </c>
      <c r="B2773" s="32" t="s">
        <v>3858</v>
      </c>
      <c r="C2773" s="32" t="s">
        <v>886</v>
      </c>
      <c r="D2773" s="32" t="s">
        <v>886</v>
      </c>
      <c r="E2773" s="33" t="s">
        <v>887</v>
      </c>
      <c r="F2773" s="34">
        <v>27269</v>
      </c>
      <c r="G2773" s="34">
        <v>27541</v>
      </c>
      <c r="H2773" s="35" t="s">
        <v>859</v>
      </c>
    </row>
    <row r="2774" spans="1:8" ht="27" customHeight="1" x14ac:dyDescent="0.2">
      <c r="A2774" s="31" t="s">
        <v>3857</v>
      </c>
      <c r="B2774" s="32" t="s">
        <v>3858</v>
      </c>
      <c r="C2774" s="32" t="s">
        <v>860</v>
      </c>
      <c r="D2774" s="32" t="s">
        <v>860</v>
      </c>
      <c r="E2774" s="33" t="s">
        <v>861</v>
      </c>
      <c r="F2774" s="34">
        <v>163547</v>
      </c>
      <c r="G2774" s="34">
        <v>165181</v>
      </c>
      <c r="H2774" s="35" t="s">
        <v>3862</v>
      </c>
    </row>
    <row r="2775" spans="1:8" ht="27" customHeight="1" x14ac:dyDescent="0.2">
      <c r="A2775" s="31" t="s">
        <v>3857</v>
      </c>
      <c r="B2775" s="32" t="s">
        <v>3858</v>
      </c>
      <c r="C2775" s="32" t="s">
        <v>796</v>
      </c>
      <c r="D2775" s="32" t="s">
        <v>796</v>
      </c>
      <c r="E2775" s="33" t="s">
        <v>772</v>
      </c>
      <c r="F2775" s="34">
        <v>480898</v>
      </c>
      <c r="G2775" s="34">
        <v>445703</v>
      </c>
      <c r="H2775" s="35" t="s">
        <v>1611</v>
      </c>
    </row>
    <row r="2776" spans="1:8" ht="27" customHeight="1" x14ac:dyDescent="0.2">
      <c r="A2776" s="31" t="s">
        <v>3857</v>
      </c>
      <c r="B2776" s="32" t="s">
        <v>3858</v>
      </c>
      <c r="C2776" s="32" t="s">
        <v>776</v>
      </c>
      <c r="D2776" s="32" t="s">
        <v>776</v>
      </c>
      <c r="E2776" s="33" t="s">
        <v>777</v>
      </c>
      <c r="F2776" s="34">
        <v>43231</v>
      </c>
      <c r="G2776" s="34">
        <v>43820</v>
      </c>
      <c r="H2776" s="35" t="s">
        <v>3863</v>
      </c>
    </row>
    <row r="2777" spans="1:8" ht="27" customHeight="1" x14ac:dyDescent="0.2">
      <c r="A2777" s="31" t="s">
        <v>3857</v>
      </c>
      <c r="B2777" s="32" t="s">
        <v>3858</v>
      </c>
      <c r="C2777" s="32" t="s">
        <v>779</v>
      </c>
      <c r="D2777" s="32" t="s">
        <v>802</v>
      </c>
      <c r="E2777" s="33" t="s">
        <v>780</v>
      </c>
      <c r="F2777" s="34">
        <v>216487</v>
      </c>
      <c r="G2777" s="34">
        <v>218667</v>
      </c>
      <c r="H2777" s="35" t="s">
        <v>1612</v>
      </c>
    </row>
    <row r="2778" spans="1:8" ht="27" customHeight="1" x14ac:dyDescent="0.2">
      <c r="A2778" s="31" t="s">
        <v>3864</v>
      </c>
      <c r="B2778" s="32" t="s">
        <v>3865</v>
      </c>
      <c r="C2778" s="32" t="s">
        <v>763</v>
      </c>
      <c r="D2778" s="32" t="s">
        <v>816</v>
      </c>
      <c r="E2778" s="33" t="s">
        <v>764</v>
      </c>
      <c r="F2778" s="34">
        <v>0</v>
      </c>
      <c r="G2778" s="34">
        <v>0</v>
      </c>
      <c r="H2778" s="35" t="s">
        <v>3866</v>
      </c>
    </row>
    <row r="2779" spans="1:8" ht="27" customHeight="1" x14ac:dyDescent="0.2">
      <c r="A2779" s="31" t="s">
        <v>3864</v>
      </c>
      <c r="B2779" s="32" t="s">
        <v>3865</v>
      </c>
      <c r="C2779" s="32" t="s">
        <v>770</v>
      </c>
      <c r="D2779" s="32" t="s">
        <v>2489</v>
      </c>
      <c r="E2779" s="33" t="s">
        <v>772</v>
      </c>
      <c r="F2779" s="34">
        <v>293543</v>
      </c>
      <c r="G2779" s="34">
        <v>294043</v>
      </c>
      <c r="H2779" s="35" t="s">
        <v>3867</v>
      </c>
    </row>
    <row r="2780" spans="1:8" ht="27" customHeight="1" x14ac:dyDescent="0.2">
      <c r="A2780" s="31" t="s">
        <v>3864</v>
      </c>
      <c r="B2780" s="32" t="s">
        <v>3865</v>
      </c>
      <c r="C2780" s="32" t="s">
        <v>860</v>
      </c>
      <c r="D2780" s="32" t="s">
        <v>1174</v>
      </c>
      <c r="E2780" s="33" t="s">
        <v>861</v>
      </c>
      <c r="F2780" s="34">
        <v>0</v>
      </c>
      <c r="G2780" s="34">
        <v>750000</v>
      </c>
      <c r="H2780" s="35" t="s">
        <v>3868</v>
      </c>
    </row>
    <row r="2781" spans="1:8" ht="27" customHeight="1" x14ac:dyDescent="0.2">
      <c r="A2781" s="31" t="s">
        <v>3864</v>
      </c>
      <c r="B2781" s="32" t="s">
        <v>3865</v>
      </c>
      <c r="C2781" s="32" t="s">
        <v>776</v>
      </c>
      <c r="D2781" s="32" t="s">
        <v>812</v>
      </c>
      <c r="E2781" s="33" t="s">
        <v>777</v>
      </c>
      <c r="F2781" s="34">
        <v>163190</v>
      </c>
      <c r="G2781" s="34">
        <v>65961</v>
      </c>
      <c r="H2781" s="35" t="s">
        <v>3869</v>
      </c>
    </row>
    <row r="2782" spans="1:8" ht="27" customHeight="1" x14ac:dyDescent="0.2">
      <c r="A2782" s="31" t="s">
        <v>3864</v>
      </c>
      <c r="B2782" s="32" t="s">
        <v>3865</v>
      </c>
      <c r="C2782" s="32" t="s">
        <v>779</v>
      </c>
      <c r="D2782" s="32" t="s">
        <v>3870</v>
      </c>
      <c r="E2782" s="33" t="s">
        <v>780</v>
      </c>
      <c r="F2782" s="34">
        <v>50627</v>
      </c>
      <c r="G2782" s="34">
        <v>50750</v>
      </c>
      <c r="H2782" s="35" t="s">
        <v>3871</v>
      </c>
    </row>
    <row r="2783" spans="1:8" ht="27" customHeight="1" x14ac:dyDescent="0.2">
      <c r="A2783" s="31" t="s">
        <v>3872</v>
      </c>
      <c r="B2783" s="32" t="s">
        <v>3873</v>
      </c>
      <c r="C2783" s="32" t="s">
        <v>763</v>
      </c>
      <c r="D2783" s="32" t="s">
        <v>816</v>
      </c>
      <c r="E2783" s="33" t="s">
        <v>764</v>
      </c>
      <c r="F2783" s="34">
        <v>300000</v>
      </c>
      <c r="G2783" s="34">
        <v>400000</v>
      </c>
      <c r="H2783" s="35" t="s">
        <v>3874</v>
      </c>
    </row>
    <row r="2784" spans="1:8" ht="27" customHeight="1" x14ac:dyDescent="0.2">
      <c r="A2784" s="31" t="s">
        <v>3872</v>
      </c>
      <c r="B2784" s="32" t="s">
        <v>3873</v>
      </c>
      <c r="C2784" s="32" t="s">
        <v>770</v>
      </c>
      <c r="D2784" s="32" t="s">
        <v>810</v>
      </c>
      <c r="E2784" s="33" t="s">
        <v>772</v>
      </c>
      <c r="F2784" s="34">
        <v>104255</v>
      </c>
      <c r="G2784" s="34">
        <v>85000</v>
      </c>
      <c r="H2784" s="35" t="s">
        <v>3875</v>
      </c>
    </row>
    <row r="2785" spans="1:8" ht="27" customHeight="1" x14ac:dyDescent="0.2">
      <c r="A2785" s="31" t="s">
        <v>3872</v>
      </c>
      <c r="B2785" s="32" t="s">
        <v>3873</v>
      </c>
      <c r="C2785" s="32" t="s">
        <v>860</v>
      </c>
      <c r="D2785" s="32" t="s">
        <v>911</v>
      </c>
      <c r="E2785" s="33" t="s">
        <v>861</v>
      </c>
      <c r="F2785" s="34">
        <v>0</v>
      </c>
      <c r="G2785" s="34">
        <v>15000</v>
      </c>
      <c r="H2785" s="35" t="s">
        <v>2557</v>
      </c>
    </row>
    <row r="2786" spans="1:8" ht="27" customHeight="1" x14ac:dyDescent="0.2">
      <c r="A2786" s="31" t="s">
        <v>3872</v>
      </c>
      <c r="B2786" s="32" t="s">
        <v>3873</v>
      </c>
      <c r="C2786" s="32" t="s">
        <v>796</v>
      </c>
      <c r="D2786" s="32" t="s">
        <v>3876</v>
      </c>
      <c r="E2786" s="33" t="s">
        <v>823</v>
      </c>
      <c r="F2786" s="34">
        <v>153466</v>
      </c>
      <c r="G2786" s="34">
        <v>100000</v>
      </c>
      <c r="H2786" s="35" t="s">
        <v>3877</v>
      </c>
    </row>
    <row r="2787" spans="1:8" ht="27" customHeight="1" x14ac:dyDescent="0.2">
      <c r="A2787" s="31" t="s">
        <v>3878</v>
      </c>
      <c r="B2787" s="32" t="s">
        <v>3879</v>
      </c>
      <c r="C2787" s="32" t="s">
        <v>770</v>
      </c>
      <c r="D2787" s="32" t="s">
        <v>3880</v>
      </c>
      <c r="E2787" s="33" t="s">
        <v>772</v>
      </c>
      <c r="F2787" s="34">
        <v>432714</v>
      </c>
      <c r="G2787" s="34">
        <v>432714</v>
      </c>
      <c r="H2787" s="35" t="s">
        <v>1049</v>
      </c>
    </row>
    <row r="2788" spans="1:8" ht="27" customHeight="1" x14ac:dyDescent="0.2">
      <c r="A2788" s="31" t="s">
        <v>3878</v>
      </c>
      <c r="B2788" s="32" t="s">
        <v>3879</v>
      </c>
      <c r="C2788" s="32" t="s">
        <v>796</v>
      </c>
      <c r="D2788" s="32" t="s">
        <v>811</v>
      </c>
      <c r="E2788" s="33" t="s">
        <v>823</v>
      </c>
      <c r="F2788" s="34">
        <v>546778</v>
      </c>
      <c r="G2788" s="34">
        <v>876778</v>
      </c>
      <c r="H2788" s="35" t="s">
        <v>3881</v>
      </c>
    </row>
    <row r="2789" spans="1:8" ht="27" customHeight="1" x14ac:dyDescent="0.2">
      <c r="A2789" s="31" t="s">
        <v>3878</v>
      </c>
      <c r="B2789" s="32" t="s">
        <v>3879</v>
      </c>
      <c r="C2789" s="32" t="s">
        <v>776</v>
      </c>
      <c r="D2789" s="32" t="s">
        <v>3882</v>
      </c>
      <c r="E2789" s="33" t="s">
        <v>777</v>
      </c>
      <c r="F2789" s="34">
        <v>151078</v>
      </c>
      <c r="G2789" s="34">
        <v>151078</v>
      </c>
      <c r="H2789" s="35" t="s">
        <v>1049</v>
      </c>
    </row>
    <row r="2790" spans="1:8" ht="27" customHeight="1" x14ac:dyDescent="0.2">
      <c r="A2790" s="31" t="s">
        <v>3878</v>
      </c>
      <c r="B2790" s="32" t="s">
        <v>3879</v>
      </c>
      <c r="C2790" s="32" t="s">
        <v>779</v>
      </c>
      <c r="D2790" s="32" t="s">
        <v>826</v>
      </c>
      <c r="E2790" s="33" t="s">
        <v>780</v>
      </c>
      <c r="F2790" s="34">
        <v>76201</v>
      </c>
      <c r="G2790" s="34">
        <v>76201</v>
      </c>
      <c r="H2790" s="35" t="s">
        <v>1049</v>
      </c>
    </row>
    <row r="2791" spans="1:8" ht="27" customHeight="1" x14ac:dyDescent="0.2">
      <c r="A2791" s="31" t="s">
        <v>3878</v>
      </c>
      <c r="B2791" s="32" t="s">
        <v>3879</v>
      </c>
      <c r="C2791" s="32" t="s">
        <v>782</v>
      </c>
      <c r="D2791" s="32" t="s">
        <v>782</v>
      </c>
      <c r="E2791" s="33" t="s">
        <v>784</v>
      </c>
      <c r="F2791" s="34">
        <v>136506</v>
      </c>
      <c r="G2791" s="34">
        <v>136506</v>
      </c>
      <c r="H2791" s="35" t="s">
        <v>3883</v>
      </c>
    </row>
    <row r="2792" spans="1:8" ht="27" customHeight="1" x14ac:dyDescent="0.2">
      <c r="A2792" s="31" t="s">
        <v>3884</v>
      </c>
      <c r="B2792" s="32" t="s">
        <v>3885</v>
      </c>
      <c r="C2792" s="32" t="s">
        <v>770</v>
      </c>
      <c r="D2792" s="32" t="s">
        <v>1011</v>
      </c>
      <c r="E2792" s="33" t="s">
        <v>772</v>
      </c>
      <c r="F2792" s="34">
        <v>119107</v>
      </c>
      <c r="G2792" s="34">
        <v>119107</v>
      </c>
      <c r="H2792" s="35" t="s">
        <v>3886</v>
      </c>
    </row>
    <row r="2793" spans="1:8" ht="27" customHeight="1" x14ac:dyDescent="0.2">
      <c r="A2793" s="31" t="s">
        <v>3884</v>
      </c>
      <c r="B2793" s="32" t="s">
        <v>3885</v>
      </c>
      <c r="C2793" s="32" t="s">
        <v>796</v>
      </c>
      <c r="D2793" s="32" t="s">
        <v>835</v>
      </c>
      <c r="E2793" s="33" t="s">
        <v>772</v>
      </c>
      <c r="F2793" s="34">
        <v>1033657</v>
      </c>
      <c r="G2793" s="34">
        <v>1033657</v>
      </c>
      <c r="H2793" s="35" t="s">
        <v>3887</v>
      </c>
    </row>
    <row r="2794" spans="1:8" ht="27" customHeight="1" x14ac:dyDescent="0.2">
      <c r="A2794" s="31" t="s">
        <v>3884</v>
      </c>
      <c r="B2794" s="32" t="s">
        <v>3885</v>
      </c>
      <c r="C2794" s="32" t="s">
        <v>779</v>
      </c>
      <c r="D2794" s="32" t="s">
        <v>779</v>
      </c>
      <c r="E2794" s="33" t="s">
        <v>780</v>
      </c>
      <c r="F2794" s="34">
        <v>30344</v>
      </c>
      <c r="G2794" s="34">
        <v>303344</v>
      </c>
      <c r="H2794" s="35" t="s">
        <v>3888</v>
      </c>
    </row>
    <row r="2795" spans="1:8" ht="27" customHeight="1" x14ac:dyDescent="0.2">
      <c r="A2795" s="31" t="s">
        <v>3884</v>
      </c>
      <c r="B2795" s="32" t="s">
        <v>3885</v>
      </c>
      <c r="C2795" s="32" t="s">
        <v>782</v>
      </c>
      <c r="D2795" s="32" t="s">
        <v>782</v>
      </c>
      <c r="E2795" s="33" t="s">
        <v>784</v>
      </c>
      <c r="F2795" s="34">
        <v>30500</v>
      </c>
      <c r="G2795" s="34">
        <v>30500</v>
      </c>
      <c r="H2795" s="35" t="s">
        <v>3889</v>
      </c>
    </row>
    <row r="2796" spans="1:8" ht="27" customHeight="1" x14ac:dyDescent="0.2">
      <c r="A2796" s="31" t="s">
        <v>3890</v>
      </c>
      <c r="B2796" s="32" t="s">
        <v>3891</v>
      </c>
      <c r="C2796" s="32" t="s">
        <v>763</v>
      </c>
      <c r="D2796" s="32" t="s">
        <v>816</v>
      </c>
      <c r="E2796" s="33" t="s">
        <v>764</v>
      </c>
      <c r="F2796" s="34">
        <v>585000</v>
      </c>
      <c r="G2796" s="34">
        <v>685000</v>
      </c>
      <c r="H2796" s="35" t="s">
        <v>3892</v>
      </c>
    </row>
    <row r="2797" spans="1:8" ht="27" customHeight="1" x14ac:dyDescent="0.2">
      <c r="A2797" s="31" t="s">
        <v>3890</v>
      </c>
      <c r="B2797" s="32" t="s">
        <v>3891</v>
      </c>
      <c r="C2797" s="32" t="s">
        <v>770</v>
      </c>
      <c r="D2797" s="32" t="s">
        <v>1720</v>
      </c>
      <c r="E2797" s="33" t="s">
        <v>772</v>
      </c>
      <c r="F2797" s="34">
        <v>179335</v>
      </c>
      <c r="G2797" s="34">
        <v>180000</v>
      </c>
      <c r="H2797" s="35" t="s">
        <v>3893</v>
      </c>
    </row>
    <row r="2798" spans="1:8" ht="27" customHeight="1" x14ac:dyDescent="0.2">
      <c r="A2798" s="31" t="s">
        <v>3890</v>
      </c>
      <c r="B2798" s="32" t="s">
        <v>3891</v>
      </c>
      <c r="C2798" s="32" t="s">
        <v>860</v>
      </c>
      <c r="D2798" s="32" t="s">
        <v>911</v>
      </c>
      <c r="E2798" s="33" t="s">
        <v>861</v>
      </c>
      <c r="F2798" s="34">
        <v>178298</v>
      </c>
      <c r="G2798" s="34">
        <v>148298</v>
      </c>
      <c r="H2798" s="35" t="s">
        <v>3894</v>
      </c>
    </row>
    <row r="2799" spans="1:8" ht="27" customHeight="1" x14ac:dyDescent="0.2">
      <c r="A2799" s="31" t="s">
        <v>3890</v>
      </c>
      <c r="B2799" s="32" t="s">
        <v>3891</v>
      </c>
      <c r="C2799" s="32" t="s">
        <v>796</v>
      </c>
      <c r="D2799" s="32" t="s">
        <v>961</v>
      </c>
      <c r="E2799" s="33" t="s">
        <v>823</v>
      </c>
      <c r="F2799" s="34">
        <v>782600</v>
      </c>
      <c r="G2799" s="34">
        <v>800000</v>
      </c>
      <c r="H2799" s="35" t="s">
        <v>3895</v>
      </c>
    </row>
    <row r="2800" spans="1:8" ht="27" customHeight="1" x14ac:dyDescent="0.2">
      <c r="A2800" s="31" t="s">
        <v>3890</v>
      </c>
      <c r="B2800" s="32" t="s">
        <v>3891</v>
      </c>
      <c r="C2800" s="32" t="s">
        <v>779</v>
      </c>
      <c r="D2800" s="32" t="s">
        <v>927</v>
      </c>
      <c r="E2800" s="33" t="s">
        <v>780</v>
      </c>
      <c r="F2800" s="34">
        <v>270255</v>
      </c>
      <c r="G2800" s="34">
        <v>270260</v>
      </c>
      <c r="H2800" s="35" t="s">
        <v>3896</v>
      </c>
    </row>
    <row r="2801" spans="1:8" ht="27" customHeight="1" x14ac:dyDescent="0.2">
      <c r="A2801" s="31" t="s">
        <v>3897</v>
      </c>
      <c r="B2801" s="32" t="s">
        <v>3898</v>
      </c>
      <c r="C2801" s="32" t="s">
        <v>763</v>
      </c>
      <c r="D2801" s="32" t="s">
        <v>763</v>
      </c>
      <c r="E2801" s="33" t="s">
        <v>764</v>
      </c>
      <c r="F2801" s="34">
        <v>68012</v>
      </c>
      <c r="G2801" s="34">
        <v>68016</v>
      </c>
      <c r="H2801" s="35" t="s">
        <v>3899</v>
      </c>
    </row>
    <row r="2802" spans="1:8" ht="27" customHeight="1" x14ac:dyDescent="0.2">
      <c r="A2802" s="31" t="s">
        <v>3897</v>
      </c>
      <c r="B2802" s="32" t="s">
        <v>3898</v>
      </c>
      <c r="C2802" s="32" t="s">
        <v>770</v>
      </c>
      <c r="D2802" s="32" t="s">
        <v>1136</v>
      </c>
      <c r="E2802" s="33" t="s">
        <v>772</v>
      </c>
      <c r="F2802" s="34">
        <v>154498</v>
      </c>
      <c r="G2802" s="34">
        <v>124497</v>
      </c>
      <c r="H2802" s="35" t="s">
        <v>3900</v>
      </c>
    </row>
    <row r="2803" spans="1:8" ht="27" customHeight="1" x14ac:dyDescent="0.2">
      <c r="A2803" s="31" t="s">
        <v>3897</v>
      </c>
      <c r="B2803" s="32" t="s">
        <v>3898</v>
      </c>
      <c r="C2803" s="32" t="s">
        <v>773</v>
      </c>
      <c r="D2803" s="32" t="s">
        <v>773</v>
      </c>
      <c r="E2803" s="33" t="s">
        <v>775</v>
      </c>
      <c r="F2803" s="34">
        <v>26626</v>
      </c>
      <c r="G2803" s="34">
        <v>25627</v>
      </c>
      <c r="H2803" s="35" t="s">
        <v>3901</v>
      </c>
    </row>
    <row r="2804" spans="1:8" ht="27" customHeight="1" x14ac:dyDescent="0.2">
      <c r="A2804" s="31" t="s">
        <v>3897</v>
      </c>
      <c r="B2804" s="32" t="s">
        <v>3898</v>
      </c>
      <c r="C2804" s="32" t="s">
        <v>886</v>
      </c>
      <c r="D2804" s="32" t="s">
        <v>886</v>
      </c>
      <c r="E2804" s="33" t="s">
        <v>887</v>
      </c>
      <c r="F2804" s="34">
        <v>25626</v>
      </c>
      <c r="G2804" s="34">
        <v>25627</v>
      </c>
      <c r="H2804" s="35" t="s">
        <v>2235</v>
      </c>
    </row>
    <row r="2805" spans="1:8" ht="27" customHeight="1" x14ac:dyDescent="0.2">
      <c r="A2805" s="31" t="s">
        <v>3897</v>
      </c>
      <c r="B2805" s="32" t="s">
        <v>3898</v>
      </c>
      <c r="C2805" s="32" t="s">
        <v>796</v>
      </c>
      <c r="D2805" s="32" t="s">
        <v>1050</v>
      </c>
      <c r="E2805" s="33" t="s">
        <v>772</v>
      </c>
      <c r="F2805" s="34">
        <v>656254</v>
      </c>
      <c r="G2805" s="34">
        <v>506277</v>
      </c>
      <c r="H2805" s="35" t="s">
        <v>3902</v>
      </c>
    </row>
    <row r="2806" spans="1:8" ht="27" customHeight="1" x14ac:dyDescent="0.2">
      <c r="A2806" s="31" t="s">
        <v>3897</v>
      </c>
      <c r="B2806" s="32" t="s">
        <v>3898</v>
      </c>
      <c r="C2806" s="32" t="s">
        <v>776</v>
      </c>
      <c r="D2806" s="32" t="s">
        <v>776</v>
      </c>
      <c r="E2806" s="33" t="s">
        <v>777</v>
      </c>
      <c r="F2806" s="34">
        <v>10009</v>
      </c>
      <c r="G2806" s="34">
        <v>10010</v>
      </c>
      <c r="H2806" s="35" t="s">
        <v>3903</v>
      </c>
    </row>
    <row r="2807" spans="1:8" ht="27" customHeight="1" x14ac:dyDescent="0.2">
      <c r="A2807" s="31" t="s">
        <v>3897</v>
      </c>
      <c r="B2807" s="32" t="s">
        <v>3898</v>
      </c>
      <c r="C2807" s="32" t="s">
        <v>779</v>
      </c>
      <c r="D2807" s="32" t="s">
        <v>802</v>
      </c>
      <c r="E2807" s="33" t="s">
        <v>780</v>
      </c>
      <c r="F2807" s="34">
        <v>76276</v>
      </c>
      <c r="G2807" s="34">
        <v>76277</v>
      </c>
      <c r="H2807" s="35" t="s">
        <v>1612</v>
      </c>
    </row>
    <row r="2808" spans="1:8" ht="27" customHeight="1" x14ac:dyDescent="0.2">
      <c r="A2808" s="31" t="s">
        <v>3904</v>
      </c>
      <c r="B2808" s="32" t="s">
        <v>3905</v>
      </c>
      <c r="C2808" s="32" t="s">
        <v>763</v>
      </c>
      <c r="D2808" s="32" t="s">
        <v>816</v>
      </c>
      <c r="E2808" s="33" t="s">
        <v>764</v>
      </c>
      <c r="F2808" s="34">
        <v>2500000</v>
      </c>
      <c r="G2808" s="34">
        <v>2500000</v>
      </c>
      <c r="H2808" s="35" t="s">
        <v>3906</v>
      </c>
    </row>
    <row r="2809" spans="1:8" ht="27" customHeight="1" x14ac:dyDescent="0.2">
      <c r="A2809" s="31" t="s">
        <v>3904</v>
      </c>
      <c r="B2809" s="32" t="s">
        <v>3905</v>
      </c>
      <c r="C2809" s="32" t="s">
        <v>766</v>
      </c>
      <c r="D2809" s="32" t="s">
        <v>767</v>
      </c>
      <c r="E2809" s="33" t="s">
        <v>768</v>
      </c>
      <c r="F2809" s="34">
        <v>125198</v>
      </c>
      <c r="G2809" s="34">
        <v>125198</v>
      </c>
      <c r="H2809" s="35" t="s">
        <v>3907</v>
      </c>
    </row>
    <row r="2810" spans="1:8" ht="27" customHeight="1" x14ac:dyDescent="0.2">
      <c r="A2810" s="31" t="s">
        <v>3904</v>
      </c>
      <c r="B2810" s="32" t="s">
        <v>3905</v>
      </c>
      <c r="C2810" s="32" t="s">
        <v>770</v>
      </c>
      <c r="D2810" s="32" t="s">
        <v>820</v>
      </c>
      <c r="E2810" s="33" t="s">
        <v>772</v>
      </c>
      <c r="F2810" s="34">
        <v>100000</v>
      </c>
      <c r="G2810" s="34">
        <v>100000</v>
      </c>
      <c r="H2810" s="35" t="s">
        <v>3908</v>
      </c>
    </row>
    <row r="2811" spans="1:8" ht="27" customHeight="1" x14ac:dyDescent="0.2">
      <c r="A2811" s="31" t="s">
        <v>3904</v>
      </c>
      <c r="B2811" s="32" t="s">
        <v>3905</v>
      </c>
      <c r="C2811" s="32" t="s">
        <v>886</v>
      </c>
      <c r="D2811" s="32" t="s">
        <v>3909</v>
      </c>
      <c r="E2811" s="33" t="s">
        <v>887</v>
      </c>
      <c r="F2811" s="34">
        <v>1607367</v>
      </c>
      <c r="G2811" s="34">
        <v>607367</v>
      </c>
      <c r="H2811" s="35" t="s">
        <v>3910</v>
      </c>
    </row>
    <row r="2812" spans="1:8" ht="27" customHeight="1" x14ac:dyDescent="0.2">
      <c r="A2812" s="31" t="s">
        <v>3904</v>
      </c>
      <c r="B2812" s="32" t="s">
        <v>3905</v>
      </c>
      <c r="C2812" s="32" t="s">
        <v>796</v>
      </c>
      <c r="D2812" s="32" t="s">
        <v>1095</v>
      </c>
      <c r="E2812" s="33" t="s">
        <v>823</v>
      </c>
      <c r="F2812" s="34">
        <v>100000</v>
      </c>
      <c r="G2812" s="34">
        <v>100000</v>
      </c>
      <c r="H2812" s="35" t="s">
        <v>3908</v>
      </c>
    </row>
    <row r="2813" spans="1:8" ht="27" customHeight="1" x14ac:dyDescent="0.2">
      <c r="A2813" s="31" t="s">
        <v>3904</v>
      </c>
      <c r="B2813" s="32" t="s">
        <v>3905</v>
      </c>
      <c r="C2813" s="32" t="s">
        <v>776</v>
      </c>
      <c r="D2813" s="32" t="s">
        <v>776</v>
      </c>
      <c r="E2813" s="33" t="s">
        <v>777</v>
      </c>
      <c r="F2813" s="34">
        <v>4352616</v>
      </c>
      <c r="G2813" s="34">
        <v>3352616</v>
      </c>
      <c r="H2813" s="35" t="s">
        <v>3911</v>
      </c>
    </row>
    <row r="2814" spans="1:8" ht="27" customHeight="1" x14ac:dyDescent="0.2">
      <c r="A2814" s="31" t="s">
        <v>3904</v>
      </c>
      <c r="B2814" s="32" t="s">
        <v>3905</v>
      </c>
      <c r="C2814" s="32" t="s">
        <v>779</v>
      </c>
      <c r="D2814" s="32" t="s">
        <v>802</v>
      </c>
      <c r="E2814" s="33" t="s">
        <v>780</v>
      </c>
      <c r="F2814" s="34">
        <v>25000</v>
      </c>
      <c r="G2814" s="34">
        <v>25000</v>
      </c>
      <c r="H2814" s="35" t="s">
        <v>3908</v>
      </c>
    </row>
    <row r="2815" spans="1:8" ht="27" customHeight="1" x14ac:dyDescent="0.2">
      <c r="A2815" s="31" t="s">
        <v>3904</v>
      </c>
      <c r="B2815" s="32" t="s">
        <v>3905</v>
      </c>
      <c r="C2815" s="32" t="s">
        <v>782</v>
      </c>
      <c r="D2815" s="32" t="s">
        <v>782</v>
      </c>
      <c r="E2815" s="33" t="s">
        <v>784</v>
      </c>
      <c r="F2815" s="34">
        <v>50000</v>
      </c>
      <c r="G2815" s="34">
        <v>50000</v>
      </c>
      <c r="H2815" s="35" t="s">
        <v>3908</v>
      </c>
    </row>
    <row r="2816" spans="1:8" ht="27" customHeight="1" x14ac:dyDescent="0.2">
      <c r="A2816" s="31" t="s">
        <v>3912</v>
      </c>
      <c r="B2816" s="32" t="s">
        <v>3913</v>
      </c>
      <c r="C2816" s="32" t="s">
        <v>763</v>
      </c>
      <c r="D2816" s="32" t="s">
        <v>763</v>
      </c>
      <c r="E2816" s="33" t="s">
        <v>764</v>
      </c>
      <c r="F2816" s="34">
        <v>953717</v>
      </c>
      <c r="G2816" s="34">
        <v>1250000</v>
      </c>
      <c r="H2816" s="35" t="s">
        <v>3914</v>
      </c>
    </row>
    <row r="2817" spans="1:8" ht="27" customHeight="1" x14ac:dyDescent="0.2">
      <c r="A2817" s="31" t="s">
        <v>3912</v>
      </c>
      <c r="B2817" s="32" t="s">
        <v>3913</v>
      </c>
      <c r="C2817" s="32" t="s">
        <v>770</v>
      </c>
      <c r="D2817" s="32" t="s">
        <v>771</v>
      </c>
      <c r="E2817" s="33" t="s">
        <v>772</v>
      </c>
      <c r="F2817" s="34">
        <v>1875016</v>
      </c>
      <c r="G2817" s="34">
        <v>2244403</v>
      </c>
      <c r="H2817" s="35" t="s">
        <v>3915</v>
      </c>
    </row>
    <row r="2818" spans="1:8" ht="27" customHeight="1" x14ac:dyDescent="0.2">
      <c r="A2818" s="31" t="s">
        <v>3912</v>
      </c>
      <c r="B2818" s="32" t="s">
        <v>3913</v>
      </c>
      <c r="C2818" s="32" t="s">
        <v>776</v>
      </c>
      <c r="D2818" s="32" t="s">
        <v>776</v>
      </c>
      <c r="E2818" s="33" t="s">
        <v>777</v>
      </c>
      <c r="F2818" s="34">
        <v>2077285</v>
      </c>
      <c r="G2818" s="34">
        <v>2077285</v>
      </c>
      <c r="H2818" s="35" t="s">
        <v>3916</v>
      </c>
    </row>
    <row r="2819" spans="1:8" ht="27" customHeight="1" x14ac:dyDescent="0.2">
      <c r="A2819" s="31" t="s">
        <v>3917</v>
      </c>
      <c r="B2819" s="32" t="s">
        <v>3918</v>
      </c>
      <c r="C2819" s="32" t="s">
        <v>763</v>
      </c>
      <c r="D2819" s="32" t="s">
        <v>3919</v>
      </c>
      <c r="E2819" s="33" t="s">
        <v>764</v>
      </c>
      <c r="F2819" s="34">
        <v>302464</v>
      </c>
      <c r="G2819" s="34">
        <v>502464</v>
      </c>
      <c r="H2819" s="35" t="s">
        <v>3920</v>
      </c>
    </row>
    <row r="2820" spans="1:8" ht="27" customHeight="1" x14ac:dyDescent="0.2">
      <c r="A2820" s="31" t="s">
        <v>3917</v>
      </c>
      <c r="B2820" s="32" t="s">
        <v>3918</v>
      </c>
      <c r="C2820" s="32" t="s">
        <v>770</v>
      </c>
      <c r="D2820" s="32" t="s">
        <v>1011</v>
      </c>
      <c r="E2820" s="33" t="s">
        <v>772</v>
      </c>
      <c r="F2820" s="34">
        <v>235000</v>
      </c>
      <c r="G2820" s="34">
        <v>235000</v>
      </c>
      <c r="H2820" s="35" t="s">
        <v>859</v>
      </c>
    </row>
    <row r="2821" spans="1:8" ht="27" customHeight="1" x14ac:dyDescent="0.2">
      <c r="A2821" s="31" t="s">
        <v>3917</v>
      </c>
      <c r="B2821" s="32" t="s">
        <v>3918</v>
      </c>
      <c r="C2821" s="32" t="s">
        <v>844</v>
      </c>
      <c r="D2821" s="32" t="s">
        <v>3228</v>
      </c>
      <c r="E2821" s="33" t="s">
        <v>846</v>
      </c>
      <c r="F2821" s="34">
        <v>49265</v>
      </c>
      <c r="G2821" s="34">
        <v>49265</v>
      </c>
      <c r="H2821" s="35" t="s">
        <v>859</v>
      </c>
    </row>
    <row r="2822" spans="1:8" ht="27" customHeight="1" x14ac:dyDescent="0.2">
      <c r="A2822" s="31" t="s">
        <v>3917</v>
      </c>
      <c r="B2822" s="32" t="s">
        <v>3918</v>
      </c>
      <c r="C2822" s="32" t="s">
        <v>860</v>
      </c>
      <c r="D2822" s="32" t="s">
        <v>911</v>
      </c>
      <c r="E2822" s="33" t="s">
        <v>861</v>
      </c>
      <c r="F2822" s="34">
        <v>672840</v>
      </c>
      <c r="G2822" s="34">
        <v>472840</v>
      </c>
      <c r="H2822" s="35" t="s">
        <v>3921</v>
      </c>
    </row>
    <row r="2823" spans="1:8" ht="27" customHeight="1" x14ac:dyDescent="0.2">
      <c r="A2823" s="31" t="s">
        <v>3917</v>
      </c>
      <c r="B2823" s="32" t="s">
        <v>3918</v>
      </c>
      <c r="C2823" s="32" t="s">
        <v>796</v>
      </c>
      <c r="D2823" s="32" t="s">
        <v>1252</v>
      </c>
      <c r="E2823" s="33" t="s">
        <v>823</v>
      </c>
      <c r="F2823" s="34">
        <v>560969</v>
      </c>
      <c r="G2823" s="34">
        <v>310969</v>
      </c>
      <c r="H2823" s="35" t="s">
        <v>3922</v>
      </c>
    </row>
    <row r="2824" spans="1:8" ht="27" customHeight="1" x14ac:dyDescent="0.2">
      <c r="A2824" s="31" t="s">
        <v>3917</v>
      </c>
      <c r="B2824" s="32" t="s">
        <v>3918</v>
      </c>
      <c r="C2824" s="32" t="s">
        <v>776</v>
      </c>
      <c r="D2824" s="32" t="s">
        <v>3923</v>
      </c>
      <c r="E2824" s="33" t="s">
        <v>777</v>
      </c>
      <c r="F2824" s="34">
        <v>96069</v>
      </c>
      <c r="G2824" s="34">
        <v>96069</v>
      </c>
      <c r="H2824" s="35" t="s">
        <v>859</v>
      </c>
    </row>
    <row r="2825" spans="1:8" ht="27" customHeight="1" x14ac:dyDescent="0.2">
      <c r="A2825" s="31" t="s">
        <v>3917</v>
      </c>
      <c r="B2825" s="32" t="s">
        <v>3918</v>
      </c>
      <c r="C2825" s="32" t="s">
        <v>798</v>
      </c>
      <c r="D2825" s="32" t="s">
        <v>3924</v>
      </c>
      <c r="E2825" s="33" t="s">
        <v>800</v>
      </c>
      <c r="F2825" s="34">
        <v>415000</v>
      </c>
      <c r="G2825" s="34">
        <v>415000</v>
      </c>
      <c r="H2825" s="35" t="s">
        <v>859</v>
      </c>
    </row>
    <row r="2826" spans="1:8" ht="27" customHeight="1" x14ac:dyDescent="0.2">
      <c r="A2826" s="31" t="s">
        <v>3917</v>
      </c>
      <c r="B2826" s="32" t="s">
        <v>3918</v>
      </c>
      <c r="C2826" s="32" t="s">
        <v>779</v>
      </c>
      <c r="D2826" s="32" t="s">
        <v>3925</v>
      </c>
      <c r="E2826" s="33" t="s">
        <v>780</v>
      </c>
      <c r="F2826" s="34">
        <v>30000</v>
      </c>
      <c r="G2826" s="34">
        <v>30000</v>
      </c>
      <c r="H2826" s="35" t="s">
        <v>859</v>
      </c>
    </row>
    <row r="2827" spans="1:8" ht="27" customHeight="1" x14ac:dyDescent="0.2">
      <c r="A2827" s="31" t="s">
        <v>3926</v>
      </c>
      <c r="B2827" s="32" t="s">
        <v>3927</v>
      </c>
      <c r="C2827" s="32" t="s">
        <v>766</v>
      </c>
      <c r="D2827" s="32" t="s">
        <v>767</v>
      </c>
      <c r="E2827" s="33" t="s">
        <v>768</v>
      </c>
      <c r="F2827" s="34">
        <v>904232</v>
      </c>
      <c r="G2827" s="34">
        <v>904232</v>
      </c>
      <c r="H2827" s="35" t="s">
        <v>3928</v>
      </c>
    </row>
    <row r="2828" spans="1:8" ht="27" customHeight="1" x14ac:dyDescent="0.2">
      <c r="A2828" s="31" t="s">
        <v>3926</v>
      </c>
      <c r="B2828" s="32" t="s">
        <v>3927</v>
      </c>
      <c r="C2828" s="32" t="s">
        <v>770</v>
      </c>
      <c r="D2828" s="32" t="s">
        <v>1136</v>
      </c>
      <c r="E2828" s="33" t="s">
        <v>772</v>
      </c>
      <c r="F2828" s="34">
        <v>124840</v>
      </c>
      <c r="G2828" s="34">
        <v>124840</v>
      </c>
      <c r="H2828" s="35" t="s">
        <v>3929</v>
      </c>
    </row>
    <row r="2829" spans="1:8" ht="27" customHeight="1" x14ac:dyDescent="0.2">
      <c r="A2829" s="31" t="s">
        <v>3926</v>
      </c>
      <c r="B2829" s="32" t="s">
        <v>3927</v>
      </c>
      <c r="C2829" s="32" t="s">
        <v>796</v>
      </c>
      <c r="D2829" s="32" t="s">
        <v>822</v>
      </c>
      <c r="E2829" s="33" t="s">
        <v>772</v>
      </c>
      <c r="F2829" s="34">
        <v>504041</v>
      </c>
      <c r="G2829" s="34">
        <v>404041</v>
      </c>
      <c r="H2829" s="35" t="s">
        <v>3930</v>
      </c>
    </row>
    <row r="2830" spans="1:8" ht="27" customHeight="1" x14ac:dyDescent="0.2">
      <c r="A2830" s="31" t="s">
        <v>3926</v>
      </c>
      <c r="B2830" s="32" t="s">
        <v>3927</v>
      </c>
      <c r="C2830" s="32" t="s">
        <v>776</v>
      </c>
      <c r="D2830" s="32" t="s">
        <v>776</v>
      </c>
      <c r="E2830" s="33" t="s">
        <v>777</v>
      </c>
      <c r="F2830" s="34">
        <v>84104</v>
      </c>
      <c r="G2830" s="34">
        <v>74104</v>
      </c>
      <c r="H2830" s="35" t="s">
        <v>3931</v>
      </c>
    </row>
    <row r="2831" spans="1:8" ht="27" customHeight="1" x14ac:dyDescent="0.2">
      <c r="A2831" s="31" t="s">
        <v>3926</v>
      </c>
      <c r="B2831" s="32" t="s">
        <v>3927</v>
      </c>
      <c r="C2831" s="32" t="s">
        <v>779</v>
      </c>
      <c r="D2831" s="32" t="s">
        <v>3932</v>
      </c>
      <c r="E2831" s="33" t="s">
        <v>780</v>
      </c>
      <c r="F2831" s="34">
        <v>89083</v>
      </c>
      <c r="G2831" s="34">
        <v>79083</v>
      </c>
      <c r="H2831" s="35" t="s">
        <v>3933</v>
      </c>
    </row>
    <row r="2832" spans="1:8" ht="27" customHeight="1" x14ac:dyDescent="0.2">
      <c r="A2832" s="31" t="s">
        <v>3934</v>
      </c>
      <c r="B2832" s="32" t="s">
        <v>3935</v>
      </c>
      <c r="C2832" s="32" t="s">
        <v>763</v>
      </c>
      <c r="D2832" s="32" t="s">
        <v>816</v>
      </c>
      <c r="E2832" s="33" t="s">
        <v>764</v>
      </c>
      <c r="F2832" s="34">
        <v>963091</v>
      </c>
      <c r="G2832" s="34">
        <v>1562214</v>
      </c>
      <c r="H2832" s="35" t="s">
        <v>3936</v>
      </c>
    </row>
    <row r="2833" spans="1:8" ht="27" customHeight="1" x14ac:dyDescent="0.2">
      <c r="A2833" s="31" t="s">
        <v>3934</v>
      </c>
      <c r="B2833" s="32" t="s">
        <v>3935</v>
      </c>
      <c r="C2833" s="32" t="s">
        <v>766</v>
      </c>
      <c r="D2833" s="32" t="s">
        <v>765</v>
      </c>
      <c r="E2833" s="33" t="s">
        <v>768</v>
      </c>
      <c r="F2833" s="34">
        <v>0</v>
      </c>
      <c r="G2833" s="34">
        <v>0</v>
      </c>
      <c r="H2833" s="35" t="s">
        <v>765</v>
      </c>
    </row>
    <row r="2834" spans="1:8" ht="27" customHeight="1" x14ac:dyDescent="0.2">
      <c r="A2834" s="31" t="s">
        <v>3934</v>
      </c>
      <c r="B2834" s="32" t="s">
        <v>3935</v>
      </c>
      <c r="C2834" s="32" t="s">
        <v>770</v>
      </c>
      <c r="D2834" s="32" t="s">
        <v>1011</v>
      </c>
      <c r="E2834" s="33" t="s">
        <v>772</v>
      </c>
      <c r="F2834" s="34">
        <v>1420541</v>
      </c>
      <c r="G2834" s="34">
        <v>1375727</v>
      </c>
      <c r="H2834" s="35" t="s">
        <v>3937</v>
      </c>
    </row>
    <row r="2835" spans="1:8" ht="27" customHeight="1" x14ac:dyDescent="0.2">
      <c r="A2835" s="31" t="s">
        <v>3934</v>
      </c>
      <c r="B2835" s="32" t="s">
        <v>3935</v>
      </c>
      <c r="C2835" s="32" t="s">
        <v>884</v>
      </c>
      <c r="D2835" s="32" t="s">
        <v>765</v>
      </c>
      <c r="E2835" s="33" t="s">
        <v>885</v>
      </c>
      <c r="F2835" s="34">
        <v>0</v>
      </c>
      <c r="G2835" s="34">
        <v>0</v>
      </c>
      <c r="H2835" s="35" t="s">
        <v>765</v>
      </c>
    </row>
    <row r="2836" spans="1:8" ht="27" customHeight="1" x14ac:dyDescent="0.2">
      <c r="A2836" s="31" t="s">
        <v>3934</v>
      </c>
      <c r="B2836" s="32" t="s">
        <v>3935</v>
      </c>
      <c r="C2836" s="32" t="s">
        <v>844</v>
      </c>
      <c r="D2836" s="32" t="s">
        <v>765</v>
      </c>
      <c r="E2836" s="33" t="s">
        <v>846</v>
      </c>
      <c r="F2836" s="34">
        <v>0</v>
      </c>
      <c r="G2836" s="34">
        <v>0</v>
      </c>
      <c r="H2836" s="35" t="s">
        <v>765</v>
      </c>
    </row>
    <row r="2837" spans="1:8" ht="27" customHeight="1" x14ac:dyDescent="0.2">
      <c r="A2837" s="31" t="s">
        <v>3934</v>
      </c>
      <c r="B2837" s="32" t="s">
        <v>3935</v>
      </c>
      <c r="C2837" s="32" t="s">
        <v>773</v>
      </c>
      <c r="D2837" s="32" t="s">
        <v>3938</v>
      </c>
      <c r="E2837" s="33" t="s">
        <v>775</v>
      </c>
      <c r="F2837" s="34">
        <v>101663</v>
      </c>
      <c r="G2837" s="34">
        <v>101665</v>
      </c>
      <c r="H2837" s="35" t="s">
        <v>3939</v>
      </c>
    </row>
    <row r="2838" spans="1:8" ht="27" customHeight="1" x14ac:dyDescent="0.2">
      <c r="A2838" s="31" t="s">
        <v>3934</v>
      </c>
      <c r="B2838" s="32" t="s">
        <v>3935</v>
      </c>
      <c r="C2838" s="32" t="s">
        <v>831</v>
      </c>
      <c r="D2838" s="32" t="s">
        <v>2545</v>
      </c>
      <c r="E2838" s="33" t="s">
        <v>3940</v>
      </c>
      <c r="F2838" s="34">
        <v>17696384</v>
      </c>
      <c r="G2838" s="34">
        <v>925000</v>
      </c>
      <c r="H2838" s="35" t="s">
        <v>3941</v>
      </c>
    </row>
    <row r="2839" spans="1:8" ht="27" customHeight="1" x14ac:dyDescent="0.2">
      <c r="A2839" s="31" t="s">
        <v>3934</v>
      </c>
      <c r="B2839" s="32" t="s">
        <v>3935</v>
      </c>
      <c r="C2839" s="32" t="s">
        <v>886</v>
      </c>
      <c r="D2839" s="32" t="s">
        <v>951</v>
      </c>
      <c r="E2839" s="33" t="s">
        <v>887</v>
      </c>
      <c r="F2839" s="34">
        <v>25758</v>
      </c>
      <c r="G2839" s="34">
        <v>25760</v>
      </c>
      <c r="H2839" s="35" t="s">
        <v>886</v>
      </c>
    </row>
    <row r="2840" spans="1:8" ht="27" customHeight="1" x14ac:dyDescent="0.2">
      <c r="A2840" s="31" t="s">
        <v>3934</v>
      </c>
      <c r="B2840" s="32" t="s">
        <v>3935</v>
      </c>
      <c r="C2840" s="32" t="s">
        <v>860</v>
      </c>
      <c r="D2840" s="32" t="s">
        <v>911</v>
      </c>
      <c r="E2840" s="33" t="s">
        <v>861</v>
      </c>
      <c r="F2840" s="34">
        <v>30603</v>
      </c>
      <c r="G2840" s="34">
        <v>30605</v>
      </c>
      <c r="H2840" s="35" t="s">
        <v>3942</v>
      </c>
    </row>
    <row r="2841" spans="1:8" ht="27" customHeight="1" x14ac:dyDescent="0.2">
      <c r="A2841" s="31" t="s">
        <v>3934</v>
      </c>
      <c r="B2841" s="32" t="s">
        <v>3935</v>
      </c>
      <c r="C2841" s="32" t="s">
        <v>796</v>
      </c>
      <c r="D2841" s="32" t="s">
        <v>3943</v>
      </c>
      <c r="E2841" s="33" t="s">
        <v>772</v>
      </c>
      <c r="F2841" s="34">
        <v>1318262</v>
      </c>
      <c r="G2841" s="34">
        <v>1318262</v>
      </c>
      <c r="H2841" s="35" t="s">
        <v>3944</v>
      </c>
    </row>
    <row r="2842" spans="1:8" ht="27" customHeight="1" x14ac:dyDescent="0.2">
      <c r="A2842" s="31" t="s">
        <v>3934</v>
      </c>
      <c r="B2842" s="32" t="s">
        <v>3935</v>
      </c>
      <c r="C2842" s="32" t="s">
        <v>776</v>
      </c>
      <c r="D2842" s="32" t="s">
        <v>914</v>
      </c>
      <c r="E2842" s="33" t="s">
        <v>777</v>
      </c>
      <c r="F2842" s="34">
        <v>1005119</v>
      </c>
      <c r="G2842" s="34">
        <v>583158</v>
      </c>
      <c r="H2842" s="35" t="s">
        <v>3945</v>
      </c>
    </row>
    <row r="2843" spans="1:8" ht="27" customHeight="1" x14ac:dyDescent="0.2">
      <c r="A2843" s="31" t="s">
        <v>3934</v>
      </c>
      <c r="B2843" s="32" t="s">
        <v>3935</v>
      </c>
      <c r="C2843" s="32" t="s">
        <v>798</v>
      </c>
      <c r="D2843" s="32" t="s">
        <v>765</v>
      </c>
      <c r="E2843" s="33" t="s">
        <v>800</v>
      </c>
      <c r="F2843" s="34">
        <v>0</v>
      </c>
      <c r="G2843" s="34">
        <v>0</v>
      </c>
      <c r="H2843" s="35" t="s">
        <v>765</v>
      </c>
    </row>
    <row r="2844" spans="1:8" ht="27" customHeight="1" x14ac:dyDescent="0.2">
      <c r="A2844" s="31" t="s">
        <v>3934</v>
      </c>
      <c r="B2844" s="32" t="s">
        <v>3935</v>
      </c>
      <c r="C2844" s="32" t="s">
        <v>892</v>
      </c>
      <c r="D2844" s="32" t="s">
        <v>765</v>
      </c>
      <c r="E2844" s="33" t="s">
        <v>893</v>
      </c>
      <c r="F2844" s="34">
        <v>0</v>
      </c>
      <c r="G2844" s="34">
        <v>0</v>
      </c>
      <c r="H2844" s="35" t="s">
        <v>765</v>
      </c>
    </row>
    <row r="2845" spans="1:8" ht="27" customHeight="1" x14ac:dyDescent="0.2">
      <c r="A2845" s="31" t="s">
        <v>3934</v>
      </c>
      <c r="B2845" s="32" t="s">
        <v>3935</v>
      </c>
      <c r="C2845" s="32" t="s">
        <v>779</v>
      </c>
      <c r="D2845" s="32" t="s">
        <v>765</v>
      </c>
      <c r="E2845" s="33" t="s">
        <v>780</v>
      </c>
      <c r="F2845" s="34">
        <v>0</v>
      </c>
      <c r="G2845" s="34">
        <v>0</v>
      </c>
      <c r="H2845" s="35" t="s">
        <v>765</v>
      </c>
    </row>
    <row r="2846" spans="1:8" ht="27" customHeight="1" x14ac:dyDescent="0.2">
      <c r="A2846" s="31" t="s">
        <v>3934</v>
      </c>
      <c r="B2846" s="32" t="s">
        <v>3935</v>
      </c>
      <c r="C2846" s="32" t="s">
        <v>782</v>
      </c>
      <c r="D2846" s="32" t="s">
        <v>765</v>
      </c>
      <c r="E2846" s="33" t="s">
        <v>784</v>
      </c>
      <c r="F2846" s="34">
        <v>0</v>
      </c>
      <c r="G2846" s="34">
        <v>0</v>
      </c>
      <c r="H2846" s="35" t="s">
        <v>765</v>
      </c>
    </row>
    <row r="2847" spans="1:8" ht="27" customHeight="1" x14ac:dyDescent="0.2">
      <c r="A2847" s="31" t="s">
        <v>3946</v>
      </c>
      <c r="B2847" s="32" t="s">
        <v>3947</v>
      </c>
      <c r="C2847" s="32" t="s">
        <v>770</v>
      </c>
      <c r="D2847" s="32" t="s">
        <v>770</v>
      </c>
      <c r="E2847" s="33" t="s">
        <v>772</v>
      </c>
      <c r="F2847" s="34">
        <v>1891056</v>
      </c>
      <c r="G2847" s="34">
        <v>1500000</v>
      </c>
      <c r="H2847" s="35" t="s">
        <v>3948</v>
      </c>
    </row>
    <row r="2848" spans="1:8" ht="27" customHeight="1" x14ac:dyDescent="0.2">
      <c r="A2848" s="31" t="s">
        <v>3946</v>
      </c>
      <c r="B2848" s="32" t="s">
        <v>3947</v>
      </c>
      <c r="C2848" s="32" t="s">
        <v>796</v>
      </c>
      <c r="D2848" s="32" t="s">
        <v>796</v>
      </c>
      <c r="E2848" s="33" t="s">
        <v>823</v>
      </c>
      <c r="F2848" s="34">
        <v>1537257</v>
      </c>
      <c r="G2848" s="34">
        <v>1200000</v>
      </c>
      <c r="H2848" s="35" t="s">
        <v>3948</v>
      </c>
    </row>
    <row r="2849" spans="1:8" ht="27" customHeight="1" x14ac:dyDescent="0.2">
      <c r="A2849" s="31" t="s">
        <v>3946</v>
      </c>
      <c r="B2849" s="32" t="s">
        <v>3947</v>
      </c>
      <c r="C2849" s="32" t="s">
        <v>776</v>
      </c>
      <c r="D2849" s="32" t="s">
        <v>776</v>
      </c>
      <c r="E2849" s="33" t="s">
        <v>777</v>
      </c>
      <c r="F2849" s="34">
        <v>24449</v>
      </c>
      <c r="G2849" s="34">
        <v>100000</v>
      </c>
      <c r="H2849" s="35" t="s">
        <v>3949</v>
      </c>
    </row>
    <row r="2850" spans="1:8" ht="27" customHeight="1" x14ac:dyDescent="0.2">
      <c r="A2850" s="31" t="s">
        <v>3946</v>
      </c>
      <c r="B2850" s="32" t="s">
        <v>3947</v>
      </c>
      <c r="C2850" s="32" t="s">
        <v>779</v>
      </c>
      <c r="D2850" s="32" t="s">
        <v>779</v>
      </c>
      <c r="E2850" s="33" t="s">
        <v>780</v>
      </c>
      <c r="F2850" s="34">
        <v>58000</v>
      </c>
      <c r="G2850" s="34">
        <v>10000</v>
      </c>
      <c r="H2850" s="35" t="s">
        <v>3948</v>
      </c>
    </row>
    <row r="2851" spans="1:8" ht="27" customHeight="1" x14ac:dyDescent="0.2">
      <c r="A2851" s="31" t="s">
        <v>3950</v>
      </c>
      <c r="B2851" s="32" t="s">
        <v>3951</v>
      </c>
      <c r="C2851" s="32" t="s">
        <v>763</v>
      </c>
      <c r="D2851" s="32" t="s">
        <v>816</v>
      </c>
      <c r="E2851" s="33" t="s">
        <v>764</v>
      </c>
      <c r="F2851" s="34">
        <v>2025000</v>
      </c>
      <c r="G2851" s="34">
        <v>0</v>
      </c>
      <c r="H2851" s="35" t="s">
        <v>3952</v>
      </c>
    </row>
    <row r="2852" spans="1:8" ht="27" customHeight="1" x14ac:dyDescent="0.2">
      <c r="A2852" s="31" t="s">
        <v>3950</v>
      </c>
      <c r="B2852" s="32" t="s">
        <v>3951</v>
      </c>
      <c r="C2852" s="32" t="s">
        <v>770</v>
      </c>
      <c r="D2852" s="32" t="s">
        <v>1720</v>
      </c>
      <c r="E2852" s="33" t="s">
        <v>772</v>
      </c>
      <c r="F2852" s="34">
        <v>2008052</v>
      </c>
      <c r="G2852" s="34">
        <v>2008052</v>
      </c>
      <c r="H2852" s="35" t="s">
        <v>859</v>
      </c>
    </row>
    <row r="2853" spans="1:8" ht="27" customHeight="1" x14ac:dyDescent="0.2">
      <c r="A2853" s="31" t="s">
        <v>3950</v>
      </c>
      <c r="B2853" s="32" t="s">
        <v>3951</v>
      </c>
      <c r="C2853" s="32" t="s">
        <v>796</v>
      </c>
      <c r="D2853" s="32" t="s">
        <v>811</v>
      </c>
      <c r="E2853" s="33" t="s">
        <v>823</v>
      </c>
      <c r="F2853" s="34">
        <v>50000</v>
      </c>
      <c r="G2853" s="34">
        <v>50000</v>
      </c>
      <c r="H2853" s="35" t="s">
        <v>859</v>
      </c>
    </row>
    <row r="2854" spans="1:8" ht="27" customHeight="1" x14ac:dyDescent="0.2">
      <c r="A2854" s="31" t="s">
        <v>3950</v>
      </c>
      <c r="B2854" s="32" t="s">
        <v>3951</v>
      </c>
      <c r="C2854" s="32" t="s">
        <v>776</v>
      </c>
      <c r="D2854" s="32" t="s">
        <v>914</v>
      </c>
      <c r="E2854" s="33" t="s">
        <v>777</v>
      </c>
      <c r="F2854" s="34">
        <v>33000</v>
      </c>
      <c r="G2854" s="34">
        <v>33000</v>
      </c>
      <c r="H2854" s="35" t="s">
        <v>3953</v>
      </c>
    </row>
    <row r="2855" spans="1:8" ht="27" customHeight="1" x14ac:dyDescent="0.2">
      <c r="A2855" s="31" t="s">
        <v>3950</v>
      </c>
      <c r="B2855" s="32" t="s">
        <v>3951</v>
      </c>
      <c r="C2855" s="32" t="s">
        <v>779</v>
      </c>
      <c r="D2855" s="32" t="s">
        <v>1246</v>
      </c>
      <c r="E2855" s="33" t="s">
        <v>780</v>
      </c>
      <c r="F2855" s="34">
        <v>60000</v>
      </c>
      <c r="G2855" s="34">
        <v>60000</v>
      </c>
      <c r="H2855" s="35" t="s">
        <v>3954</v>
      </c>
    </row>
    <row r="2856" spans="1:8" ht="27" customHeight="1" x14ac:dyDescent="0.2">
      <c r="A2856" s="31" t="s">
        <v>3950</v>
      </c>
      <c r="B2856" s="32" t="s">
        <v>3951</v>
      </c>
      <c r="C2856" s="32" t="s">
        <v>782</v>
      </c>
      <c r="D2856" s="32" t="s">
        <v>1887</v>
      </c>
      <c r="E2856" s="33" t="s">
        <v>784</v>
      </c>
      <c r="F2856" s="34">
        <v>100000</v>
      </c>
      <c r="G2856" s="34">
        <v>100000</v>
      </c>
      <c r="H2856" s="35" t="s">
        <v>859</v>
      </c>
    </row>
    <row r="2857" spans="1:8" ht="27" customHeight="1" x14ac:dyDescent="0.2">
      <c r="A2857" s="31" t="s">
        <v>3955</v>
      </c>
      <c r="B2857" s="32" t="s">
        <v>3956</v>
      </c>
      <c r="C2857" s="32" t="s">
        <v>763</v>
      </c>
      <c r="D2857" s="32" t="s">
        <v>816</v>
      </c>
      <c r="E2857" s="33" t="s">
        <v>764</v>
      </c>
      <c r="F2857" s="34">
        <v>1398337</v>
      </c>
      <c r="G2857" s="34">
        <v>664480</v>
      </c>
      <c r="H2857" s="35" t="s">
        <v>3957</v>
      </c>
    </row>
    <row r="2858" spans="1:8" ht="27" customHeight="1" x14ac:dyDescent="0.2">
      <c r="A2858" s="31" t="s">
        <v>3955</v>
      </c>
      <c r="B2858" s="32" t="s">
        <v>3956</v>
      </c>
      <c r="C2858" s="32" t="s">
        <v>766</v>
      </c>
      <c r="D2858" s="32" t="s">
        <v>1301</v>
      </c>
      <c r="E2858" s="33" t="s">
        <v>768</v>
      </c>
      <c r="F2858" s="34">
        <v>0</v>
      </c>
      <c r="G2858" s="34">
        <v>0</v>
      </c>
      <c r="H2858" s="35" t="s">
        <v>765</v>
      </c>
    </row>
    <row r="2859" spans="1:8" ht="27" customHeight="1" x14ac:dyDescent="0.2">
      <c r="A2859" s="31" t="s">
        <v>3955</v>
      </c>
      <c r="B2859" s="32" t="s">
        <v>3956</v>
      </c>
      <c r="C2859" s="32" t="s">
        <v>770</v>
      </c>
      <c r="D2859" s="32" t="s">
        <v>1136</v>
      </c>
      <c r="E2859" s="33" t="s">
        <v>772</v>
      </c>
      <c r="F2859" s="34">
        <v>607280</v>
      </c>
      <c r="G2859" s="34">
        <v>607280</v>
      </c>
      <c r="H2859" s="35" t="s">
        <v>3958</v>
      </c>
    </row>
    <row r="2860" spans="1:8" ht="27" customHeight="1" x14ac:dyDescent="0.2">
      <c r="A2860" s="31" t="s">
        <v>3955</v>
      </c>
      <c r="B2860" s="32" t="s">
        <v>3956</v>
      </c>
      <c r="C2860" s="32" t="s">
        <v>884</v>
      </c>
      <c r="D2860" s="32" t="s">
        <v>3959</v>
      </c>
      <c r="E2860" s="33" t="s">
        <v>885</v>
      </c>
      <c r="F2860" s="34">
        <v>0</v>
      </c>
      <c r="G2860" s="34">
        <v>0</v>
      </c>
      <c r="H2860" s="35" t="s">
        <v>765</v>
      </c>
    </row>
    <row r="2861" spans="1:8" ht="27" customHeight="1" x14ac:dyDescent="0.2">
      <c r="A2861" s="31" t="s">
        <v>3955</v>
      </c>
      <c r="B2861" s="32" t="s">
        <v>3956</v>
      </c>
      <c r="C2861" s="32" t="s">
        <v>844</v>
      </c>
      <c r="D2861" s="32" t="s">
        <v>972</v>
      </c>
      <c r="E2861" s="33" t="s">
        <v>846</v>
      </c>
      <c r="F2861" s="34">
        <v>0</v>
      </c>
      <c r="G2861" s="34">
        <v>0</v>
      </c>
      <c r="H2861" s="35" t="s">
        <v>765</v>
      </c>
    </row>
    <row r="2862" spans="1:8" ht="27" customHeight="1" x14ac:dyDescent="0.2">
      <c r="A2862" s="31" t="s">
        <v>3955</v>
      </c>
      <c r="B2862" s="32" t="s">
        <v>3956</v>
      </c>
      <c r="C2862" s="32" t="s">
        <v>773</v>
      </c>
      <c r="D2862" s="32" t="s">
        <v>973</v>
      </c>
      <c r="E2862" s="33" t="s">
        <v>775</v>
      </c>
      <c r="F2862" s="34">
        <v>0</v>
      </c>
      <c r="G2862" s="34">
        <v>0</v>
      </c>
      <c r="H2862" s="35" t="s">
        <v>765</v>
      </c>
    </row>
    <row r="2863" spans="1:8" ht="27" customHeight="1" x14ac:dyDescent="0.2">
      <c r="A2863" s="31" t="s">
        <v>3955</v>
      </c>
      <c r="B2863" s="32" t="s">
        <v>3956</v>
      </c>
      <c r="C2863" s="32" t="s">
        <v>886</v>
      </c>
      <c r="D2863" s="32" t="s">
        <v>1013</v>
      </c>
      <c r="E2863" s="33" t="s">
        <v>887</v>
      </c>
      <c r="F2863" s="34">
        <v>0</v>
      </c>
      <c r="G2863" s="34">
        <v>0</v>
      </c>
      <c r="H2863" s="35" t="s">
        <v>765</v>
      </c>
    </row>
    <row r="2864" spans="1:8" ht="27" customHeight="1" x14ac:dyDescent="0.2">
      <c r="A2864" s="31" t="s">
        <v>3955</v>
      </c>
      <c r="B2864" s="32" t="s">
        <v>3956</v>
      </c>
      <c r="C2864" s="32" t="s">
        <v>860</v>
      </c>
      <c r="D2864" s="32" t="s">
        <v>911</v>
      </c>
      <c r="E2864" s="33" t="s">
        <v>861</v>
      </c>
      <c r="F2864" s="34">
        <v>0</v>
      </c>
      <c r="G2864" s="34">
        <v>0</v>
      </c>
      <c r="H2864" s="35" t="s">
        <v>765</v>
      </c>
    </row>
    <row r="2865" spans="1:8" ht="27" customHeight="1" x14ac:dyDescent="0.2">
      <c r="A2865" s="31" t="s">
        <v>3955</v>
      </c>
      <c r="B2865" s="32" t="s">
        <v>3956</v>
      </c>
      <c r="C2865" s="32" t="s">
        <v>796</v>
      </c>
      <c r="D2865" s="32" t="s">
        <v>835</v>
      </c>
      <c r="E2865" s="33" t="s">
        <v>772</v>
      </c>
      <c r="F2865" s="34">
        <v>802408</v>
      </c>
      <c r="G2865" s="34">
        <v>802408</v>
      </c>
      <c r="H2865" s="35" t="s">
        <v>3960</v>
      </c>
    </row>
    <row r="2866" spans="1:8" ht="27" customHeight="1" x14ac:dyDescent="0.2">
      <c r="A2866" s="31" t="s">
        <v>3955</v>
      </c>
      <c r="B2866" s="32" t="s">
        <v>3956</v>
      </c>
      <c r="C2866" s="32" t="s">
        <v>776</v>
      </c>
      <c r="D2866" s="32" t="s">
        <v>812</v>
      </c>
      <c r="E2866" s="33" t="s">
        <v>777</v>
      </c>
      <c r="F2866" s="34">
        <v>233000</v>
      </c>
      <c r="G2866" s="34">
        <v>483000</v>
      </c>
      <c r="H2866" s="35" t="s">
        <v>3961</v>
      </c>
    </row>
    <row r="2867" spans="1:8" ht="27" customHeight="1" x14ac:dyDescent="0.2">
      <c r="A2867" s="31" t="s">
        <v>3955</v>
      </c>
      <c r="B2867" s="32" t="s">
        <v>3956</v>
      </c>
      <c r="C2867" s="32" t="s">
        <v>798</v>
      </c>
      <c r="D2867" s="32" t="s">
        <v>1014</v>
      </c>
      <c r="E2867" s="33" t="s">
        <v>800</v>
      </c>
      <c r="F2867" s="34">
        <v>0</v>
      </c>
      <c r="G2867" s="34">
        <v>0</v>
      </c>
      <c r="H2867" s="35" t="s">
        <v>765</v>
      </c>
    </row>
    <row r="2868" spans="1:8" ht="27" customHeight="1" x14ac:dyDescent="0.2">
      <c r="A2868" s="31" t="s">
        <v>3955</v>
      </c>
      <c r="B2868" s="32" t="s">
        <v>3956</v>
      </c>
      <c r="C2868" s="32" t="s">
        <v>892</v>
      </c>
      <c r="D2868" s="32" t="s">
        <v>1226</v>
      </c>
      <c r="E2868" s="33" t="s">
        <v>893</v>
      </c>
      <c r="F2868" s="34">
        <v>0</v>
      </c>
      <c r="G2868" s="34">
        <v>0</v>
      </c>
      <c r="H2868" s="35" t="s">
        <v>765</v>
      </c>
    </row>
    <row r="2869" spans="1:8" ht="27" customHeight="1" x14ac:dyDescent="0.2">
      <c r="A2869" s="31" t="s">
        <v>3955</v>
      </c>
      <c r="B2869" s="32" t="s">
        <v>3956</v>
      </c>
      <c r="C2869" s="32" t="s">
        <v>779</v>
      </c>
      <c r="D2869" s="32" t="s">
        <v>876</v>
      </c>
      <c r="E2869" s="33" t="s">
        <v>780</v>
      </c>
      <c r="F2869" s="34">
        <v>527595</v>
      </c>
      <c r="G2869" s="34">
        <v>527595</v>
      </c>
      <c r="H2869" s="35" t="s">
        <v>3962</v>
      </c>
    </row>
    <row r="2870" spans="1:8" ht="27" customHeight="1" x14ac:dyDescent="0.2">
      <c r="A2870" s="31" t="s">
        <v>3955</v>
      </c>
      <c r="B2870" s="32" t="s">
        <v>3956</v>
      </c>
      <c r="C2870" s="32" t="s">
        <v>782</v>
      </c>
      <c r="D2870" s="32" t="s">
        <v>813</v>
      </c>
      <c r="E2870" s="33" t="s">
        <v>784</v>
      </c>
      <c r="F2870" s="34">
        <v>77480</v>
      </c>
      <c r="G2870" s="34">
        <v>77480</v>
      </c>
      <c r="H2870" s="35" t="s">
        <v>3962</v>
      </c>
    </row>
    <row r="2871" spans="1:8" ht="27" customHeight="1" x14ac:dyDescent="0.2">
      <c r="A2871" s="31" t="s">
        <v>3963</v>
      </c>
      <c r="B2871" s="32" t="s">
        <v>3964</v>
      </c>
      <c r="C2871" s="32" t="s">
        <v>763</v>
      </c>
      <c r="D2871" s="32" t="s">
        <v>1924</v>
      </c>
      <c r="E2871" s="33" t="s">
        <v>764</v>
      </c>
      <c r="F2871" s="34">
        <v>775175</v>
      </c>
      <c r="G2871" s="34">
        <v>775175</v>
      </c>
      <c r="H2871" s="35" t="s">
        <v>3965</v>
      </c>
    </row>
    <row r="2872" spans="1:8" ht="27" customHeight="1" x14ac:dyDescent="0.2">
      <c r="A2872" s="31" t="s">
        <v>3963</v>
      </c>
      <c r="B2872" s="32" t="s">
        <v>3964</v>
      </c>
      <c r="C2872" s="32" t="s">
        <v>770</v>
      </c>
      <c r="D2872" s="32" t="s">
        <v>3966</v>
      </c>
      <c r="E2872" s="33" t="s">
        <v>772</v>
      </c>
      <c r="F2872" s="34">
        <v>3441853</v>
      </c>
      <c r="G2872" s="34">
        <v>3441853</v>
      </c>
      <c r="H2872" s="35" t="s">
        <v>3967</v>
      </c>
    </row>
    <row r="2873" spans="1:8" ht="27" customHeight="1" x14ac:dyDescent="0.2">
      <c r="A2873" s="31" t="s">
        <v>3963</v>
      </c>
      <c r="B2873" s="32" t="s">
        <v>3964</v>
      </c>
      <c r="C2873" s="32" t="s">
        <v>796</v>
      </c>
      <c r="D2873" s="32" t="s">
        <v>862</v>
      </c>
      <c r="E2873" s="33" t="s">
        <v>772</v>
      </c>
      <c r="F2873" s="34">
        <v>6235432</v>
      </c>
      <c r="G2873" s="34">
        <v>6235432</v>
      </c>
      <c r="H2873" s="35" t="s">
        <v>3968</v>
      </c>
    </row>
    <row r="2874" spans="1:8" ht="27" customHeight="1" x14ac:dyDescent="0.2">
      <c r="A2874" s="31" t="s">
        <v>3963</v>
      </c>
      <c r="B2874" s="32" t="s">
        <v>3964</v>
      </c>
      <c r="C2874" s="32" t="s">
        <v>776</v>
      </c>
      <c r="D2874" s="32" t="s">
        <v>776</v>
      </c>
      <c r="E2874" s="33" t="s">
        <v>777</v>
      </c>
      <c r="F2874" s="34">
        <v>403677</v>
      </c>
      <c r="G2874" s="34">
        <v>903677</v>
      </c>
      <c r="H2874" s="35" t="s">
        <v>3969</v>
      </c>
    </row>
    <row r="2875" spans="1:8" ht="27" customHeight="1" x14ac:dyDescent="0.2">
      <c r="A2875" s="31" t="s">
        <v>3963</v>
      </c>
      <c r="B2875" s="32" t="s">
        <v>3964</v>
      </c>
      <c r="C2875" s="32" t="s">
        <v>779</v>
      </c>
      <c r="D2875" s="32" t="s">
        <v>802</v>
      </c>
      <c r="E2875" s="33" t="s">
        <v>780</v>
      </c>
      <c r="F2875" s="34">
        <v>240000</v>
      </c>
      <c r="G2875" s="34">
        <v>232000</v>
      </c>
      <c r="H2875" s="35" t="s">
        <v>3970</v>
      </c>
    </row>
    <row r="2876" spans="1:8" ht="27" customHeight="1" x14ac:dyDescent="0.2">
      <c r="A2876" s="31" t="s">
        <v>3963</v>
      </c>
      <c r="B2876" s="32" t="s">
        <v>3964</v>
      </c>
      <c r="C2876" s="32" t="s">
        <v>782</v>
      </c>
      <c r="D2876" s="32" t="s">
        <v>783</v>
      </c>
      <c r="E2876" s="33" t="s">
        <v>784</v>
      </c>
      <c r="F2876" s="34">
        <v>700000</v>
      </c>
      <c r="G2876" s="34">
        <v>700000</v>
      </c>
      <c r="H2876" s="35" t="s">
        <v>3971</v>
      </c>
    </row>
    <row r="2877" spans="1:8" ht="27" customHeight="1" x14ac:dyDescent="0.2">
      <c r="A2877" s="31" t="s">
        <v>3972</v>
      </c>
      <c r="B2877" s="32" t="s">
        <v>3973</v>
      </c>
      <c r="C2877" s="32" t="s">
        <v>763</v>
      </c>
      <c r="D2877" s="32" t="s">
        <v>3974</v>
      </c>
      <c r="E2877" s="33" t="s">
        <v>764</v>
      </c>
      <c r="F2877" s="34">
        <v>342778</v>
      </c>
      <c r="G2877" s="34">
        <v>346414</v>
      </c>
      <c r="H2877" s="35" t="s">
        <v>3975</v>
      </c>
    </row>
    <row r="2878" spans="1:8" ht="27" customHeight="1" x14ac:dyDescent="0.2">
      <c r="A2878" s="31" t="s">
        <v>3972</v>
      </c>
      <c r="B2878" s="32" t="s">
        <v>3973</v>
      </c>
      <c r="C2878" s="32" t="s">
        <v>763</v>
      </c>
      <c r="D2878" s="32" t="s">
        <v>3567</v>
      </c>
      <c r="E2878" s="33" t="s">
        <v>764</v>
      </c>
      <c r="F2878" s="34">
        <v>302371</v>
      </c>
      <c r="G2878" s="34">
        <v>305578</v>
      </c>
      <c r="H2878" s="35" t="s">
        <v>3976</v>
      </c>
    </row>
    <row r="2879" spans="1:8" ht="27" customHeight="1" x14ac:dyDescent="0.2">
      <c r="A2879" s="31" t="s">
        <v>3972</v>
      </c>
      <c r="B2879" s="32" t="s">
        <v>3973</v>
      </c>
      <c r="C2879" s="32" t="s">
        <v>770</v>
      </c>
      <c r="D2879" s="32" t="s">
        <v>770</v>
      </c>
      <c r="E2879" s="33" t="s">
        <v>772</v>
      </c>
      <c r="F2879" s="34">
        <v>369038</v>
      </c>
      <c r="G2879" s="34">
        <v>318038</v>
      </c>
      <c r="H2879" s="35" t="s">
        <v>3977</v>
      </c>
    </row>
    <row r="2880" spans="1:8" ht="27" customHeight="1" x14ac:dyDescent="0.2">
      <c r="A2880" s="31" t="s">
        <v>3972</v>
      </c>
      <c r="B2880" s="32" t="s">
        <v>3973</v>
      </c>
      <c r="C2880" s="32" t="s">
        <v>860</v>
      </c>
      <c r="D2880" s="32" t="s">
        <v>860</v>
      </c>
      <c r="E2880" s="33" t="s">
        <v>861</v>
      </c>
      <c r="F2880" s="34">
        <v>121644</v>
      </c>
      <c r="G2880" s="34">
        <v>122934</v>
      </c>
      <c r="H2880" s="35" t="s">
        <v>3978</v>
      </c>
    </row>
    <row r="2881" spans="1:8" ht="27" customHeight="1" x14ac:dyDescent="0.2">
      <c r="A2881" s="31" t="s">
        <v>3972</v>
      </c>
      <c r="B2881" s="32" t="s">
        <v>3973</v>
      </c>
      <c r="C2881" s="32" t="s">
        <v>776</v>
      </c>
      <c r="D2881" s="32" t="s">
        <v>776</v>
      </c>
      <c r="E2881" s="33" t="s">
        <v>777</v>
      </c>
      <c r="F2881" s="34">
        <v>4862</v>
      </c>
      <c r="G2881" s="34">
        <v>4862</v>
      </c>
      <c r="H2881" s="35" t="s">
        <v>3979</v>
      </c>
    </row>
    <row r="2882" spans="1:8" ht="27" customHeight="1" x14ac:dyDescent="0.2">
      <c r="A2882" s="31" t="s">
        <v>3972</v>
      </c>
      <c r="B2882" s="32" t="s">
        <v>3973</v>
      </c>
      <c r="C2882" s="32" t="s">
        <v>779</v>
      </c>
      <c r="D2882" s="32" t="s">
        <v>779</v>
      </c>
      <c r="E2882" s="33" t="s">
        <v>780</v>
      </c>
      <c r="F2882" s="34">
        <v>121542</v>
      </c>
      <c r="G2882" s="34">
        <v>0</v>
      </c>
      <c r="H2882" s="35" t="s">
        <v>3980</v>
      </c>
    </row>
    <row r="2883" spans="1:8" ht="27" customHeight="1" x14ac:dyDescent="0.2">
      <c r="A2883" s="31" t="s">
        <v>3981</v>
      </c>
      <c r="B2883" s="32" t="s">
        <v>3982</v>
      </c>
      <c r="C2883" s="32" t="s">
        <v>770</v>
      </c>
      <c r="D2883" s="32" t="s">
        <v>1136</v>
      </c>
      <c r="E2883" s="33" t="s">
        <v>772</v>
      </c>
      <c r="F2883" s="34">
        <v>413594</v>
      </c>
      <c r="G2883" s="34">
        <v>413844</v>
      </c>
      <c r="H2883" s="35" t="s">
        <v>1423</v>
      </c>
    </row>
    <row r="2884" spans="1:8" ht="27" customHeight="1" x14ac:dyDescent="0.2">
      <c r="A2884" s="31" t="s">
        <v>3981</v>
      </c>
      <c r="B2884" s="32" t="s">
        <v>3982</v>
      </c>
      <c r="C2884" s="32" t="s">
        <v>860</v>
      </c>
      <c r="D2884" s="32" t="s">
        <v>911</v>
      </c>
      <c r="E2884" s="33" t="s">
        <v>861</v>
      </c>
      <c r="F2884" s="34">
        <v>693246</v>
      </c>
      <c r="G2884" s="34">
        <v>871598</v>
      </c>
      <c r="H2884" s="35" t="s">
        <v>1423</v>
      </c>
    </row>
    <row r="2885" spans="1:8" ht="27" customHeight="1" x14ac:dyDescent="0.2">
      <c r="A2885" s="31" t="s">
        <v>3981</v>
      </c>
      <c r="B2885" s="32" t="s">
        <v>3982</v>
      </c>
      <c r="C2885" s="32" t="s">
        <v>796</v>
      </c>
      <c r="D2885" s="32" t="s">
        <v>1095</v>
      </c>
      <c r="E2885" s="33" t="s">
        <v>823</v>
      </c>
      <c r="F2885" s="34">
        <v>503572</v>
      </c>
      <c r="G2885" s="34">
        <v>503872</v>
      </c>
      <c r="H2885" s="35" t="s">
        <v>1423</v>
      </c>
    </row>
    <row r="2886" spans="1:8" ht="27" customHeight="1" x14ac:dyDescent="0.2">
      <c r="A2886" s="31" t="s">
        <v>3981</v>
      </c>
      <c r="B2886" s="32" t="s">
        <v>3982</v>
      </c>
      <c r="C2886" s="32" t="s">
        <v>776</v>
      </c>
      <c r="D2886" s="32" t="s">
        <v>812</v>
      </c>
      <c r="E2886" s="33" t="s">
        <v>777</v>
      </c>
      <c r="F2886" s="34">
        <v>755873</v>
      </c>
      <c r="G2886" s="34">
        <v>756273</v>
      </c>
      <c r="H2886" s="35" t="s">
        <v>1423</v>
      </c>
    </row>
    <row r="2887" spans="1:8" ht="27" customHeight="1" x14ac:dyDescent="0.2">
      <c r="A2887" s="31" t="s">
        <v>3981</v>
      </c>
      <c r="B2887" s="32" t="s">
        <v>3982</v>
      </c>
      <c r="C2887" s="32" t="s">
        <v>782</v>
      </c>
      <c r="D2887" s="32" t="s">
        <v>964</v>
      </c>
      <c r="E2887" s="33" t="s">
        <v>784</v>
      </c>
      <c r="F2887" s="34">
        <v>205363</v>
      </c>
      <c r="G2887" s="34">
        <v>205473</v>
      </c>
      <c r="H2887" s="35" t="s">
        <v>1423</v>
      </c>
    </row>
    <row r="2888" spans="1:8" ht="27" customHeight="1" x14ac:dyDescent="0.2">
      <c r="A2888" s="31" t="s">
        <v>3983</v>
      </c>
      <c r="B2888" s="32" t="s">
        <v>3984</v>
      </c>
      <c r="C2888" s="32" t="s">
        <v>770</v>
      </c>
      <c r="D2888" s="32" t="s">
        <v>1121</v>
      </c>
      <c r="E2888" s="33" t="s">
        <v>772</v>
      </c>
      <c r="F2888" s="34">
        <v>31076</v>
      </c>
      <c r="G2888" s="34">
        <v>31076</v>
      </c>
      <c r="H2888" s="35" t="s">
        <v>3985</v>
      </c>
    </row>
    <row r="2889" spans="1:8" ht="27" customHeight="1" x14ac:dyDescent="0.2">
      <c r="A2889" s="31" t="s">
        <v>3983</v>
      </c>
      <c r="B2889" s="32" t="s">
        <v>3984</v>
      </c>
      <c r="C2889" s="32" t="s">
        <v>776</v>
      </c>
      <c r="D2889" s="32" t="s">
        <v>914</v>
      </c>
      <c r="E2889" s="33" t="s">
        <v>777</v>
      </c>
      <c r="F2889" s="34">
        <v>15000</v>
      </c>
      <c r="G2889" s="34">
        <v>15000</v>
      </c>
      <c r="H2889" s="35" t="s">
        <v>3986</v>
      </c>
    </row>
    <row r="2890" spans="1:8" ht="27" customHeight="1" x14ac:dyDescent="0.2">
      <c r="A2890" s="31" t="s">
        <v>3983</v>
      </c>
      <c r="B2890" s="32" t="s">
        <v>3984</v>
      </c>
      <c r="C2890" s="32" t="s">
        <v>779</v>
      </c>
      <c r="D2890" s="32" t="s">
        <v>876</v>
      </c>
      <c r="E2890" s="33" t="s">
        <v>780</v>
      </c>
      <c r="F2890" s="34">
        <v>15000</v>
      </c>
      <c r="G2890" s="34">
        <v>15000</v>
      </c>
      <c r="H2890" s="35" t="s">
        <v>3987</v>
      </c>
    </row>
    <row r="2891" spans="1:8" ht="27" customHeight="1" x14ac:dyDescent="0.2">
      <c r="A2891" s="31" t="s">
        <v>3988</v>
      </c>
      <c r="B2891" s="32" t="s">
        <v>3989</v>
      </c>
      <c r="C2891" s="32" t="s">
        <v>763</v>
      </c>
      <c r="D2891" s="32" t="s">
        <v>816</v>
      </c>
      <c r="E2891" s="33" t="s">
        <v>764</v>
      </c>
      <c r="F2891" s="34">
        <v>835109</v>
      </c>
      <c r="G2891" s="34">
        <v>335109</v>
      </c>
      <c r="H2891" s="35" t="s">
        <v>3990</v>
      </c>
    </row>
    <row r="2892" spans="1:8" ht="27" customHeight="1" x14ac:dyDescent="0.2">
      <c r="A2892" s="31" t="s">
        <v>3988</v>
      </c>
      <c r="B2892" s="32" t="s">
        <v>3989</v>
      </c>
      <c r="C2892" s="32" t="s">
        <v>770</v>
      </c>
      <c r="D2892" s="32" t="s">
        <v>3991</v>
      </c>
      <c r="E2892" s="33" t="s">
        <v>772</v>
      </c>
      <c r="F2892" s="34">
        <v>366238</v>
      </c>
      <c r="G2892" s="34">
        <v>356585</v>
      </c>
      <c r="H2892" s="35" t="s">
        <v>3992</v>
      </c>
    </row>
    <row r="2893" spans="1:8" ht="27" customHeight="1" x14ac:dyDescent="0.2">
      <c r="A2893" s="31" t="s">
        <v>3988</v>
      </c>
      <c r="B2893" s="32" t="s">
        <v>3989</v>
      </c>
      <c r="C2893" s="32" t="s">
        <v>844</v>
      </c>
      <c r="D2893" s="32" t="s">
        <v>972</v>
      </c>
      <c r="E2893" s="33" t="s">
        <v>846</v>
      </c>
      <c r="F2893" s="34">
        <v>100000</v>
      </c>
      <c r="G2893" s="34">
        <v>100000</v>
      </c>
      <c r="H2893" s="35" t="s">
        <v>3993</v>
      </c>
    </row>
    <row r="2894" spans="1:8" ht="27" customHeight="1" x14ac:dyDescent="0.2">
      <c r="A2894" s="31" t="s">
        <v>3988</v>
      </c>
      <c r="B2894" s="32" t="s">
        <v>3989</v>
      </c>
      <c r="C2894" s="32" t="s">
        <v>796</v>
      </c>
      <c r="D2894" s="32" t="s">
        <v>3994</v>
      </c>
      <c r="E2894" s="33" t="s">
        <v>823</v>
      </c>
      <c r="F2894" s="34">
        <v>350000</v>
      </c>
      <c r="G2894" s="34">
        <v>350000</v>
      </c>
      <c r="H2894" s="35" t="s">
        <v>3995</v>
      </c>
    </row>
    <row r="2895" spans="1:8" ht="27" customHeight="1" x14ac:dyDescent="0.2">
      <c r="A2895" s="31" t="s">
        <v>3988</v>
      </c>
      <c r="B2895" s="32" t="s">
        <v>3989</v>
      </c>
      <c r="C2895" s="32" t="s">
        <v>776</v>
      </c>
      <c r="D2895" s="32" t="s">
        <v>914</v>
      </c>
      <c r="E2895" s="33" t="s">
        <v>777</v>
      </c>
      <c r="F2895" s="34">
        <v>50000</v>
      </c>
      <c r="G2895" s="34">
        <v>50000</v>
      </c>
      <c r="H2895" s="35" t="s">
        <v>3996</v>
      </c>
    </row>
    <row r="2896" spans="1:8" ht="27" customHeight="1" x14ac:dyDescent="0.2">
      <c r="A2896" s="31" t="s">
        <v>3988</v>
      </c>
      <c r="B2896" s="32" t="s">
        <v>3989</v>
      </c>
      <c r="C2896" s="32" t="s">
        <v>779</v>
      </c>
      <c r="D2896" s="32" t="s">
        <v>826</v>
      </c>
      <c r="E2896" s="33" t="s">
        <v>780</v>
      </c>
      <c r="F2896" s="34">
        <v>50000</v>
      </c>
      <c r="G2896" s="34">
        <v>39063</v>
      </c>
      <c r="H2896" s="35" t="s">
        <v>3997</v>
      </c>
    </row>
    <row r="2897" spans="1:8" ht="27" customHeight="1" x14ac:dyDescent="0.2">
      <c r="A2897" s="31" t="s">
        <v>3988</v>
      </c>
      <c r="B2897" s="32" t="s">
        <v>3989</v>
      </c>
      <c r="C2897" s="32" t="s">
        <v>782</v>
      </c>
      <c r="D2897" s="32" t="s">
        <v>813</v>
      </c>
      <c r="E2897" s="33" t="s">
        <v>784</v>
      </c>
      <c r="F2897" s="34">
        <v>135303</v>
      </c>
      <c r="G2897" s="34">
        <v>135303</v>
      </c>
      <c r="H2897" s="35" t="s">
        <v>3998</v>
      </c>
    </row>
    <row r="2898" spans="1:8" ht="27" customHeight="1" x14ac:dyDescent="0.2">
      <c r="A2898" s="31" t="s">
        <v>3999</v>
      </c>
      <c r="B2898" s="32" t="s">
        <v>4000</v>
      </c>
      <c r="C2898" s="32" t="s">
        <v>763</v>
      </c>
      <c r="D2898" s="32" t="s">
        <v>816</v>
      </c>
      <c r="E2898" s="33" t="s">
        <v>764</v>
      </c>
      <c r="F2898" s="34">
        <v>280789</v>
      </c>
      <c r="G2898" s="34">
        <v>280789</v>
      </c>
      <c r="H2898" s="35" t="s">
        <v>859</v>
      </c>
    </row>
    <row r="2899" spans="1:8" ht="27" customHeight="1" x14ac:dyDescent="0.2">
      <c r="A2899" s="31" t="s">
        <v>3999</v>
      </c>
      <c r="B2899" s="32" t="s">
        <v>4000</v>
      </c>
      <c r="C2899" s="32" t="s">
        <v>860</v>
      </c>
      <c r="D2899" s="32" t="s">
        <v>1027</v>
      </c>
      <c r="E2899" s="33" t="s">
        <v>861</v>
      </c>
      <c r="F2899" s="34">
        <v>86964</v>
      </c>
      <c r="G2899" s="34">
        <v>86964</v>
      </c>
      <c r="H2899" s="35" t="s">
        <v>859</v>
      </c>
    </row>
    <row r="2900" spans="1:8" ht="27" customHeight="1" x14ac:dyDescent="0.2">
      <c r="A2900" s="31" t="s">
        <v>4001</v>
      </c>
      <c r="B2900" s="32" t="s">
        <v>4002</v>
      </c>
      <c r="C2900" s="32" t="s">
        <v>770</v>
      </c>
      <c r="D2900" s="32" t="s">
        <v>2267</v>
      </c>
      <c r="E2900" s="33" t="s">
        <v>772</v>
      </c>
      <c r="F2900" s="34">
        <v>1713856</v>
      </c>
      <c r="G2900" s="34">
        <v>1813856</v>
      </c>
      <c r="H2900" s="35" t="s">
        <v>4003</v>
      </c>
    </row>
    <row r="2901" spans="1:8" ht="27" customHeight="1" x14ac:dyDescent="0.2">
      <c r="A2901" s="31" t="s">
        <v>4001</v>
      </c>
      <c r="B2901" s="32" t="s">
        <v>4002</v>
      </c>
      <c r="C2901" s="32" t="s">
        <v>796</v>
      </c>
      <c r="D2901" s="32" t="s">
        <v>811</v>
      </c>
      <c r="E2901" s="33" t="s">
        <v>823</v>
      </c>
      <c r="F2901" s="34">
        <v>977566</v>
      </c>
      <c r="G2901" s="34">
        <v>1577566</v>
      </c>
      <c r="H2901" s="35" t="s">
        <v>4004</v>
      </c>
    </row>
    <row r="2902" spans="1:8" ht="27" customHeight="1" x14ac:dyDescent="0.2">
      <c r="A2902" s="31" t="s">
        <v>4001</v>
      </c>
      <c r="B2902" s="32" t="s">
        <v>4002</v>
      </c>
      <c r="C2902" s="32" t="s">
        <v>782</v>
      </c>
      <c r="D2902" s="32" t="s">
        <v>813</v>
      </c>
      <c r="E2902" s="33" t="s">
        <v>784</v>
      </c>
      <c r="F2902" s="34">
        <v>365000</v>
      </c>
      <c r="G2902" s="34">
        <v>1165000</v>
      </c>
      <c r="H2902" s="35" t="s">
        <v>4005</v>
      </c>
    </row>
    <row r="2903" spans="1:8" ht="27" customHeight="1" x14ac:dyDescent="0.2">
      <c r="A2903" s="31" t="s">
        <v>4006</v>
      </c>
      <c r="B2903" s="32" t="s">
        <v>4007</v>
      </c>
      <c r="C2903" s="32" t="s">
        <v>763</v>
      </c>
      <c r="D2903" s="32" t="s">
        <v>4008</v>
      </c>
      <c r="E2903" s="33" t="s">
        <v>764</v>
      </c>
      <c r="F2903" s="34">
        <v>1840000</v>
      </c>
      <c r="G2903" s="34">
        <v>2000000</v>
      </c>
      <c r="H2903" s="35" t="s">
        <v>859</v>
      </c>
    </row>
    <row r="2904" spans="1:8" ht="27" customHeight="1" x14ac:dyDescent="0.2">
      <c r="A2904" s="31" t="s">
        <v>4006</v>
      </c>
      <c r="B2904" s="32" t="s">
        <v>4007</v>
      </c>
      <c r="C2904" s="32" t="s">
        <v>763</v>
      </c>
      <c r="D2904" s="32" t="s">
        <v>933</v>
      </c>
      <c r="E2904" s="33" t="s">
        <v>764</v>
      </c>
      <c r="F2904" s="34">
        <v>215078</v>
      </c>
      <c r="G2904" s="34">
        <v>1015078</v>
      </c>
      <c r="H2904" s="35" t="s">
        <v>859</v>
      </c>
    </row>
    <row r="2905" spans="1:8" ht="27" customHeight="1" x14ac:dyDescent="0.2">
      <c r="A2905" s="31" t="s">
        <v>4006</v>
      </c>
      <c r="B2905" s="32" t="s">
        <v>4007</v>
      </c>
      <c r="C2905" s="32" t="s">
        <v>766</v>
      </c>
      <c r="D2905" s="32" t="s">
        <v>4009</v>
      </c>
      <c r="E2905" s="33" t="s">
        <v>768</v>
      </c>
      <c r="F2905" s="34">
        <v>1930579</v>
      </c>
      <c r="G2905" s="34">
        <v>1730579</v>
      </c>
      <c r="H2905" s="35" t="s">
        <v>4010</v>
      </c>
    </row>
    <row r="2906" spans="1:8" ht="27" customHeight="1" x14ac:dyDescent="0.2">
      <c r="A2906" s="31" t="s">
        <v>4006</v>
      </c>
      <c r="B2906" s="32" t="s">
        <v>4007</v>
      </c>
      <c r="C2906" s="32" t="s">
        <v>770</v>
      </c>
      <c r="D2906" s="32" t="s">
        <v>4011</v>
      </c>
      <c r="E2906" s="33" t="s">
        <v>772</v>
      </c>
      <c r="F2906" s="34">
        <v>56628</v>
      </c>
      <c r="G2906" s="34">
        <v>56628</v>
      </c>
      <c r="H2906" s="35" t="s">
        <v>859</v>
      </c>
    </row>
    <row r="2907" spans="1:8" ht="27" customHeight="1" x14ac:dyDescent="0.2">
      <c r="A2907" s="31" t="s">
        <v>4006</v>
      </c>
      <c r="B2907" s="32" t="s">
        <v>4007</v>
      </c>
      <c r="C2907" s="32" t="s">
        <v>844</v>
      </c>
      <c r="D2907" s="32" t="s">
        <v>3228</v>
      </c>
      <c r="E2907" s="33" t="s">
        <v>846</v>
      </c>
      <c r="F2907" s="34">
        <v>85066</v>
      </c>
      <c r="G2907" s="34">
        <v>145066</v>
      </c>
      <c r="H2907" s="35" t="s">
        <v>859</v>
      </c>
    </row>
    <row r="2908" spans="1:8" ht="27" customHeight="1" x14ac:dyDescent="0.2">
      <c r="A2908" s="31" t="s">
        <v>4006</v>
      </c>
      <c r="B2908" s="32" t="s">
        <v>4007</v>
      </c>
      <c r="C2908" s="32" t="s">
        <v>796</v>
      </c>
      <c r="D2908" s="32" t="s">
        <v>1422</v>
      </c>
      <c r="E2908" s="33" t="s">
        <v>823</v>
      </c>
      <c r="F2908" s="34">
        <v>2071174</v>
      </c>
      <c r="G2908" s="34">
        <v>1996174</v>
      </c>
      <c r="H2908" s="35" t="s">
        <v>4012</v>
      </c>
    </row>
    <row r="2909" spans="1:8" ht="27" customHeight="1" x14ac:dyDescent="0.2">
      <c r="A2909" s="31" t="s">
        <v>4006</v>
      </c>
      <c r="B2909" s="32" t="s">
        <v>4007</v>
      </c>
      <c r="C2909" s="32" t="s">
        <v>776</v>
      </c>
      <c r="D2909" s="32" t="s">
        <v>812</v>
      </c>
      <c r="E2909" s="33" t="s">
        <v>777</v>
      </c>
      <c r="F2909" s="34">
        <v>10468</v>
      </c>
      <c r="G2909" s="34">
        <v>10468</v>
      </c>
      <c r="H2909" s="35" t="s">
        <v>859</v>
      </c>
    </row>
    <row r="2910" spans="1:8" ht="27" customHeight="1" x14ac:dyDescent="0.2">
      <c r="A2910" s="31" t="s">
        <v>4006</v>
      </c>
      <c r="B2910" s="32" t="s">
        <v>4007</v>
      </c>
      <c r="C2910" s="32" t="s">
        <v>779</v>
      </c>
      <c r="D2910" s="32" t="s">
        <v>1426</v>
      </c>
      <c r="E2910" s="33" t="s">
        <v>780</v>
      </c>
      <c r="F2910" s="34">
        <v>111389</v>
      </c>
      <c r="G2910" s="34">
        <v>103389</v>
      </c>
      <c r="H2910" s="35" t="s">
        <v>4013</v>
      </c>
    </row>
    <row r="2911" spans="1:8" ht="27" customHeight="1" x14ac:dyDescent="0.2">
      <c r="A2911" s="31" t="s">
        <v>4014</v>
      </c>
      <c r="B2911" s="32" t="s">
        <v>4015</v>
      </c>
      <c r="C2911" s="32" t="s">
        <v>763</v>
      </c>
      <c r="D2911" s="32" t="s">
        <v>816</v>
      </c>
      <c r="E2911" s="33" t="s">
        <v>764</v>
      </c>
      <c r="F2911" s="34">
        <v>1797327</v>
      </c>
      <c r="G2911" s="34">
        <v>1797327</v>
      </c>
      <c r="H2911" s="35" t="s">
        <v>4016</v>
      </c>
    </row>
    <row r="2912" spans="1:8" ht="27" customHeight="1" x14ac:dyDescent="0.2">
      <c r="A2912" s="31" t="s">
        <v>4014</v>
      </c>
      <c r="B2912" s="32" t="s">
        <v>4015</v>
      </c>
      <c r="C2912" s="32" t="s">
        <v>770</v>
      </c>
      <c r="D2912" s="32" t="s">
        <v>1260</v>
      </c>
      <c r="E2912" s="33" t="s">
        <v>772</v>
      </c>
      <c r="F2912" s="34">
        <v>380300</v>
      </c>
      <c r="G2912" s="34">
        <v>380300</v>
      </c>
      <c r="H2912" s="35" t="s">
        <v>4017</v>
      </c>
    </row>
    <row r="2913" spans="1:8" ht="27" customHeight="1" x14ac:dyDescent="0.2">
      <c r="A2913" s="31" t="s">
        <v>4014</v>
      </c>
      <c r="B2913" s="32" t="s">
        <v>4015</v>
      </c>
      <c r="C2913" s="32" t="s">
        <v>844</v>
      </c>
      <c r="D2913" s="32" t="s">
        <v>972</v>
      </c>
      <c r="E2913" s="33" t="s">
        <v>846</v>
      </c>
      <c r="F2913" s="34">
        <v>248971</v>
      </c>
      <c r="G2913" s="34">
        <v>248971</v>
      </c>
      <c r="H2913" s="35" t="s">
        <v>4017</v>
      </c>
    </row>
    <row r="2914" spans="1:8" ht="27" customHeight="1" x14ac:dyDescent="0.2">
      <c r="A2914" s="31" t="s">
        <v>4014</v>
      </c>
      <c r="B2914" s="32" t="s">
        <v>4015</v>
      </c>
      <c r="C2914" s="32" t="s">
        <v>796</v>
      </c>
      <c r="D2914" s="32" t="s">
        <v>1463</v>
      </c>
      <c r="E2914" s="33" t="s">
        <v>772</v>
      </c>
      <c r="F2914" s="34">
        <v>433450</v>
      </c>
      <c r="G2914" s="34">
        <v>433450</v>
      </c>
      <c r="H2914" s="35" t="s">
        <v>4017</v>
      </c>
    </row>
    <row r="2915" spans="1:8" ht="27" customHeight="1" x14ac:dyDescent="0.2">
      <c r="A2915" s="31" t="s">
        <v>4014</v>
      </c>
      <c r="B2915" s="32" t="s">
        <v>4015</v>
      </c>
      <c r="C2915" s="32" t="s">
        <v>779</v>
      </c>
      <c r="D2915" s="32" t="s">
        <v>876</v>
      </c>
      <c r="E2915" s="33" t="s">
        <v>780</v>
      </c>
      <c r="F2915" s="34">
        <v>500122</v>
      </c>
      <c r="G2915" s="34">
        <v>500122</v>
      </c>
      <c r="H2915" s="35" t="s">
        <v>4017</v>
      </c>
    </row>
    <row r="2916" spans="1:8" ht="27" customHeight="1" x14ac:dyDescent="0.2">
      <c r="A2916" s="31" t="s">
        <v>4014</v>
      </c>
      <c r="B2916" s="32" t="s">
        <v>4015</v>
      </c>
      <c r="C2916" s="32" t="s">
        <v>782</v>
      </c>
      <c r="D2916" s="32" t="s">
        <v>964</v>
      </c>
      <c r="E2916" s="33" t="s">
        <v>784</v>
      </c>
      <c r="F2916" s="34">
        <v>251180</v>
      </c>
      <c r="G2916" s="34">
        <v>251180</v>
      </c>
      <c r="H2916" s="35" t="s">
        <v>4017</v>
      </c>
    </row>
    <row r="2917" spans="1:8" ht="27" customHeight="1" x14ac:dyDescent="0.2">
      <c r="A2917" s="31" t="s">
        <v>4018</v>
      </c>
      <c r="B2917" s="32" t="s">
        <v>4019</v>
      </c>
      <c r="C2917" s="32" t="s">
        <v>763</v>
      </c>
      <c r="D2917" s="32" t="s">
        <v>816</v>
      </c>
      <c r="E2917" s="33" t="s">
        <v>764</v>
      </c>
      <c r="F2917" s="34">
        <v>1501496</v>
      </c>
      <c r="G2917" s="34">
        <v>3751496</v>
      </c>
      <c r="H2917" s="35" t="s">
        <v>4020</v>
      </c>
    </row>
    <row r="2918" spans="1:8" ht="27" customHeight="1" x14ac:dyDescent="0.2">
      <c r="A2918" s="31" t="s">
        <v>4018</v>
      </c>
      <c r="B2918" s="32" t="s">
        <v>4019</v>
      </c>
      <c r="C2918" s="32" t="s">
        <v>770</v>
      </c>
      <c r="D2918" s="32" t="s">
        <v>1011</v>
      </c>
      <c r="E2918" s="33" t="s">
        <v>772</v>
      </c>
      <c r="F2918" s="34">
        <v>1237896</v>
      </c>
      <c r="G2918" s="34">
        <v>1237896</v>
      </c>
      <c r="H2918" s="35" t="s">
        <v>4021</v>
      </c>
    </row>
    <row r="2919" spans="1:8" ht="27" customHeight="1" x14ac:dyDescent="0.2">
      <c r="A2919" s="31" t="s">
        <v>4018</v>
      </c>
      <c r="B2919" s="32" t="s">
        <v>4019</v>
      </c>
      <c r="C2919" s="32" t="s">
        <v>796</v>
      </c>
      <c r="D2919" s="32" t="s">
        <v>835</v>
      </c>
      <c r="E2919" s="33" t="s">
        <v>823</v>
      </c>
      <c r="F2919" s="34">
        <v>0</v>
      </c>
      <c r="G2919" s="34">
        <v>500000</v>
      </c>
      <c r="H2919" s="35" t="s">
        <v>4022</v>
      </c>
    </row>
    <row r="2920" spans="1:8" ht="27" customHeight="1" x14ac:dyDescent="0.2">
      <c r="A2920" s="31" t="s">
        <v>4018</v>
      </c>
      <c r="B2920" s="32" t="s">
        <v>4019</v>
      </c>
      <c r="C2920" s="32" t="s">
        <v>776</v>
      </c>
      <c r="D2920" s="32" t="s">
        <v>1755</v>
      </c>
      <c r="E2920" s="33" t="s">
        <v>777</v>
      </c>
      <c r="F2920" s="34">
        <v>35362</v>
      </c>
      <c r="G2920" s="34">
        <v>535362</v>
      </c>
      <c r="H2920" s="35" t="s">
        <v>4023</v>
      </c>
    </row>
    <row r="2921" spans="1:8" ht="27" customHeight="1" x14ac:dyDescent="0.2">
      <c r="A2921" s="31" t="s">
        <v>4018</v>
      </c>
      <c r="B2921" s="32" t="s">
        <v>4019</v>
      </c>
      <c r="C2921" s="32" t="s">
        <v>779</v>
      </c>
      <c r="D2921" s="32" t="s">
        <v>802</v>
      </c>
      <c r="E2921" s="33" t="s">
        <v>780</v>
      </c>
      <c r="F2921" s="34">
        <v>51451</v>
      </c>
      <c r="G2921" s="34">
        <v>301451</v>
      </c>
      <c r="H2921" s="35" t="s">
        <v>4024</v>
      </c>
    </row>
    <row r="2922" spans="1:8" ht="27" customHeight="1" x14ac:dyDescent="0.2">
      <c r="A2922" s="31" t="s">
        <v>4018</v>
      </c>
      <c r="B2922" s="32" t="s">
        <v>4019</v>
      </c>
      <c r="C2922" s="32" t="s">
        <v>782</v>
      </c>
      <c r="D2922" s="32" t="s">
        <v>1735</v>
      </c>
      <c r="E2922" s="33" t="s">
        <v>784</v>
      </c>
      <c r="F2922" s="34">
        <v>1206587</v>
      </c>
      <c r="G2922" s="34">
        <v>1706587</v>
      </c>
      <c r="H2922" s="35" t="s">
        <v>4025</v>
      </c>
    </row>
    <row r="2923" spans="1:8" ht="27" customHeight="1" x14ac:dyDescent="0.2">
      <c r="A2923" s="31" t="s">
        <v>4026</v>
      </c>
      <c r="B2923" s="32" t="s">
        <v>208</v>
      </c>
      <c r="C2923" s="32" t="s">
        <v>763</v>
      </c>
      <c r="D2923" s="32" t="s">
        <v>816</v>
      </c>
      <c r="E2923" s="33" t="s">
        <v>764</v>
      </c>
      <c r="F2923" s="34">
        <v>6908225</v>
      </c>
      <c r="G2923" s="34">
        <v>0</v>
      </c>
      <c r="H2923" s="35" t="s">
        <v>4027</v>
      </c>
    </row>
    <row r="2924" spans="1:8" ht="27" customHeight="1" x14ac:dyDescent="0.2">
      <c r="A2924" s="31" t="s">
        <v>4026</v>
      </c>
      <c r="B2924" s="32" t="s">
        <v>208</v>
      </c>
      <c r="C2924" s="32" t="s">
        <v>763</v>
      </c>
      <c r="D2924" s="32" t="s">
        <v>4028</v>
      </c>
      <c r="E2924" s="33" t="s">
        <v>764</v>
      </c>
      <c r="F2924" s="34">
        <v>0</v>
      </c>
      <c r="G2924" s="34">
        <v>3000000</v>
      </c>
      <c r="H2924" s="35" t="s">
        <v>4029</v>
      </c>
    </row>
    <row r="2925" spans="1:8" ht="27" customHeight="1" x14ac:dyDescent="0.2">
      <c r="A2925" s="31" t="s">
        <v>4026</v>
      </c>
      <c r="B2925" s="32" t="s">
        <v>208</v>
      </c>
      <c r="C2925" s="32" t="s">
        <v>766</v>
      </c>
      <c r="D2925" s="32" t="s">
        <v>4030</v>
      </c>
      <c r="E2925" s="33" t="s">
        <v>768</v>
      </c>
      <c r="F2925" s="34">
        <v>2227832</v>
      </c>
      <c r="G2925" s="34">
        <v>2227832</v>
      </c>
      <c r="H2925" s="35" t="s">
        <v>4031</v>
      </c>
    </row>
    <row r="2926" spans="1:8" ht="27" customHeight="1" x14ac:dyDescent="0.2">
      <c r="A2926" s="31" t="s">
        <v>4026</v>
      </c>
      <c r="B2926" s="32" t="s">
        <v>208</v>
      </c>
      <c r="C2926" s="32" t="s">
        <v>770</v>
      </c>
      <c r="D2926" s="32" t="s">
        <v>1136</v>
      </c>
      <c r="E2926" s="33" t="s">
        <v>772</v>
      </c>
      <c r="F2926" s="34">
        <v>1718424</v>
      </c>
      <c r="G2926" s="34">
        <v>1718424</v>
      </c>
      <c r="H2926" s="35" t="s">
        <v>4031</v>
      </c>
    </row>
    <row r="2927" spans="1:8" ht="27" customHeight="1" x14ac:dyDescent="0.2">
      <c r="A2927" s="31" t="s">
        <v>4026</v>
      </c>
      <c r="B2927" s="32" t="s">
        <v>208</v>
      </c>
      <c r="C2927" s="32" t="s">
        <v>831</v>
      </c>
      <c r="D2927" s="32" t="s">
        <v>4032</v>
      </c>
      <c r="E2927" s="33"/>
      <c r="F2927" s="34">
        <v>9866464</v>
      </c>
      <c r="G2927" s="34">
        <v>12866464</v>
      </c>
      <c r="H2927" s="35" t="s">
        <v>4033</v>
      </c>
    </row>
    <row r="2928" spans="1:8" ht="27" customHeight="1" x14ac:dyDescent="0.2">
      <c r="A2928" s="31" t="s">
        <v>4026</v>
      </c>
      <c r="B2928" s="32" t="s">
        <v>208</v>
      </c>
      <c r="C2928" s="32" t="s">
        <v>796</v>
      </c>
      <c r="D2928" s="32" t="s">
        <v>1685</v>
      </c>
      <c r="E2928" s="33" t="s">
        <v>823</v>
      </c>
      <c r="F2928" s="34">
        <v>3503621</v>
      </c>
      <c r="G2928" s="34">
        <v>3503621</v>
      </c>
      <c r="H2928" s="35" t="s">
        <v>4031</v>
      </c>
    </row>
    <row r="2929" spans="1:8" ht="27" customHeight="1" x14ac:dyDescent="0.2">
      <c r="A2929" s="31" t="s">
        <v>4026</v>
      </c>
      <c r="B2929" s="32" t="s">
        <v>208</v>
      </c>
      <c r="C2929" s="32" t="s">
        <v>782</v>
      </c>
      <c r="D2929" s="32" t="s">
        <v>802</v>
      </c>
      <c r="E2929" s="33" t="s">
        <v>784</v>
      </c>
      <c r="F2929" s="34">
        <v>512771</v>
      </c>
      <c r="G2929" s="34">
        <v>512771</v>
      </c>
      <c r="H2929" s="35" t="s">
        <v>4031</v>
      </c>
    </row>
    <row r="2930" spans="1:8" ht="27" customHeight="1" x14ac:dyDescent="0.2">
      <c r="A2930" s="31" t="s">
        <v>4034</v>
      </c>
      <c r="B2930" s="32" t="s">
        <v>4035</v>
      </c>
      <c r="C2930" s="32" t="s">
        <v>766</v>
      </c>
      <c r="D2930" s="32" t="s">
        <v>832</v>
      </c>
      <c r="E2930" s="33" t="s">
        <v>768</v>
      </c>
      <c r="F2930" s="34">
        <v>789865</v>
      </c>
      <c r="G2930" s="34">
        <v>789865</v>
      </c>
      <c r="H2930" s="35" t="s">
        <v>859</v>
      </c>
    </row>
    <row r="2931" spans="1:8" ht="27" customHeight="1" x14ac:dyDescent="0.2">
      <c r="A2931" s="31" t="s">
        <v>4034</v>
      </c>
      <c r="B2931" s="32" t="s">
        <v>4035</v>
      </c>
      <c r="C2931" s="32" t="s">
        <v>860</v>
      </c>
      <c r="D2931" s="32" t="s">
        <v>911</v>
      </c>
      <c r="E2931" s="33" t="s">
        <v>861</v>
      </c>
      <c r="F2931" s="34">
        <v>187829</v>
      </c>
      <c r="G2931" s="34">
        <v>187829</v>
      </c>
      <c r="H2931" s="35" t="s">
        <v>4036</v>
      </c>
    </row>
    <row r="2932" spans="1:8" ht="27" customHeight="1" x14ac:dyDescent="0.2">
      <c r="A2932" s="31" t="s">
        <v>4034</v>
      </c>
      <c r="B2932" s="32" t="s">
        <v>4035</v>
      </c>
      <c r="C2932" s="32" t="s">
        <v>796</v>
      </c>
      <c r="D2932" s="32" t="s">
        <v>1149</v>
      </c>
      <c r="E2932" s="33" t="s">
        <v>772</v>
      </c>
      <c r="F2932" s="34">
        <v>3040214</v>
      </c>
      <c r="G2932" s="34">
        <v>3040214</v>
      </c>
      <c r="H2932" s="35" t="s">
        <v>859</v>
      </c>
    </row>
    <row r="2933" spans="1:8" ht="27" customHeight="1" x14ac:dyDescent="0.2">
      <c r="A2933" s="31" t="s">
        <v>4034</v>
      </c>
      <c r="B2933" s="32" t="s">
        <v>4035</v>
      </c>
      <c r="C2933" s="32" t="s">
        <v>776</v>
      </c>
      <c r="D2933" s="32" t="s">
        <v>812</v>
      </c>
      <c r="E2933" s="33" t="s">
        <v>777</v>
      </c>
      <c r="F2933" s="34">
        <v>4685315</v>
      </c>
      <c r="G2933" s="34">
        <v>4715126</v>
      </c>
      <c r="H2933" s="35" t="s">
        <v>4037</v>
      </c>
    </row>
    <row r="2934" spans="1:8" ht="27" customHeight="1" x14ac:dyDescent="0.2">
      <c r="A2934" s="31" t="s">
        <v>4038</v>
      </c>
      <c r="B2934" s="32" t="s">
        <v>4039</v>
      </c>
      <c r="C2934" s="32" t="s">
        <v>766</v>
      </c>
      <c r="D2934" s="32" t="s">
        <v>4040</v>
      </c>
      <c r="E2934" s="33" t="s">
        <v>768</v>
      </c>
      <c r="F2934" s="34">
        <v>2765114</v>
      </c>
      <c r="G2934" s="34">
        <v>2765114</v>
      </c>
      <c r="H2934" s="35" t="s">
        <v>4041</v>
      </c>
    </row>
    <row r="2935" spans="1:8" ht="27" customHeight="1" x14ac:dyDescent="0.2">
      <c r="A2935" s="31" t="s">
        <v>4038</v>
      </c>
      <c r="B2935" s="32" t="s">
        <v>4039</v>
      </c>
      <c r="C2935" s="32" t="s">
        <v>770</v>
      </c>
      <c r="D2935" s="32" t="s">
        <v>1011</v>
      </c>
      <c r="E2935" s="33" t="s">
        <v>772</v>
      </c>
      <c r="F2935" s="34">
        <v>2879025</v>
      </c>
      <c r="G2935" s="34">
        <v>2879025</v>
      </c>
      <c r="H2935" s="35" t="s">
        <v>4041</v>
      </c>
    </row>
    <row r="2936" spans="1:8" ht="27" customHeight="1" x14ac:dyDescent="0.2">
      <c r="A2936" s="31" t="s">
        <v>4038</v>
      </c>
      <c r="B2936" s="32" t="s">
        <v>4039</v>
      </c>
      <c r="C2936" s="32" t="s">
        <v>796</v>
      </c>
      <c r="D2936" s="32" t="s">
        <v>835</v>
      </c>
      <c r="E2936" s="33" t="s">
        <v>823</v>
      </c>
      <c r="F2936" s="34">
        <v>5932000</v>
      </c>
      <c r="G2936" s="34">
        <v>5932000</v>
      </c>
      <c r="H2936" s="35" t="s">
        <v>4041</v>
      </c>
    </row>
    <row r="2937" spans="1:8" ht="27" customHeight="1" x14ac:dyDescent="0.2">
      <c r="A2937" s="31" t="s">
        <v>4038</v>
      </c>
      <c r="B2937" s="32" t="s">
        <v>4039</v>
      </c>
      <c r="C2937" s="32" t="s">
        <v>776</v>
      </c>
      <c r="D2937" s="32" t="s">
        <v>776</v>
      </c>
      <c r="E2937" s="33" t="s">
        <v>777</v>
      </c>
      <c r="F2937" s="34">
        <v>18702400</v>
      </c>
      <c r="G2937" s="34">
        <v>18702400</v>
      </c>
      <c r="H2937" s="35" t="s">
        <v>4041</v>
      </c>
    </row>
    <row r="2938" spans="1:8" ht="27" customHeight="1" x14ac:dyDescent="0.2">
      <c r="A2938" s="31" t="s">
        <v>4038</v>
      </c>
      <c r="B2938" s="32" t="s">
        <v>4039</v>
      </c>
      <c r="C2938" s="32" t="s">
        <v>798</v>
      </c>
      <c r="D2938" s="32" t="s">
        <v>4042</v>
      </c>
      <c r="E2938" s="33" t="s">
        <v>800</v>
      </c>
      <c r="F2938" s="34">
        <v>1436356</v>
      </c>
      <c r="G2938" s="34">
        <v>1436356</v>
      </c>
      <c r="H2938" s="35" t="s">
        <v>4041</v>
      </c>
    </row>
    <row r="2939" spans="1:8" ht="27" customHeight="1" x14ac:dyDescent="0.2">
      <c r="A2939" s="31" t="s">
        <v>4038</v>
      </c>
      <c r="B2939" s="32" t="s">
        <v>4039</v>
      </c>
      <c r="C2939" s="32" t="s">
        <v>779</v>
      </c>
      <c r="D2939" s="32" t="s">
        <v>826</v>
      </c>
      <c r="E2939" s="33" t="s">
        <v>780</v>
      </c>
      <c r="F2939" s="34">
        <v>733958</v>
      </c>
      <c r="G2939" s="34">
        <v>733958</v>
      </c>
      <c r="H2939" s="35" t="s">
        <v>4041</v>
      </c>
    </row>
    <row r="2940" spans="1:8" ht="27" customHeight="1" x14ac:dyDescent="0.2">
      <c r="A2940" s="31" t="s">
        <v>4043</v>
      </c>
      <c r="B2940" s="32" t="s">
        <v>4044</v>
      </c>
      <c r="C2940" s="32" t="s">
        <v>763</v>
      </c>
      <c r="D2940" s="32" t="s">
        <v>816</v>
      </c>
      <c r="E2940" s="33" t="s">
        <v>764</v>
      </c>
      <c r="F2940" s="34">
        <v>5565981</v>
      </c>
      <c r="G2940" s="34">
        <v>8729199</v>
      </c>
      <c r="H2940" s="35" t="s">
        <v>4045</v>
      </c>
    </row>
    <row r="2941" spans="1:8" ht="27" customHeight="1" x14ac:dyDescent="0.2">
      <c r="A2941" s="31" t="s">
        <v>4043</v>
      </c>
      <c r="B2941" s="32" t="s">
        <v>4044</v>
      </c>
      <c r="C2941" s="32" t="s">
        <v>770</v>
      </c>
      <c r="D2941" s="32" t="s">
        <v>4046</v>
      </c>
      <c r="E2941" s="33" t="s">
        <v>772</v>
      </c>
      <c r="F2941" s="34">
        <v>1528672</v>
      </c>
      <c r="G2941" s="34">
        <v>1575896</v>
      </c>
      <c r="H2941" s="35" t="s">
        <v>4047</v>
      </c>
    </row>
    <row r="2942" spans="1:8" ht="27" customHeight="1" x14ac:dyDescent="0.2">
      <c r="A2942" s="31" t="s">
        <v>4043</v>
      </c>
      <c r="B2942" s="32" t="s">
        <v>4044</v>
      </c>
      <c r="C2942" s="32" t="s">
        <v>796</v>
      </c>
      <c r="D2942" s="32" t="s">
        <v>4048</v>
      </c>
      <c r="E2942" s="33" t="s">
        <v>772</v>
      </c>
      <c r="F2942" s="34">
        <v>1163341</v>
      </c>
      <c r="G2942" s="34">
        <v>1163341</v>
      </c>
      <c r="H2942" s="35" t="s">
        <v>4045</v>
      </c>
    </row>
    <row r="2943" spans="1:8" ht="27" customHeight="1" x14ac:dyDescent="0.2">
      <c r="A2943" s="31" t="s">
        <v>4043</v>
      </c>
      <c r="B2943" s="32" t="s">
        <v>4044</v>
      </c>
      <c r="C2943" s="32" t="s">
        <v>776</v>
      </c>
      <c r="D2943" s="32" t="s">
        <v>812</v>
      </c>
      <c r="E2943" s="33" t="s">
        <v>777</v>
      </c>
      <c r="F2943" s="34">
        <v>1493171</v>
      </c>
      <c r="G2943" s="34">
        <v>1862583</v>
      </c>
      <c r="H2943" s="35" t="s">
        <v>4049</v>
      </c>
    </row>
    <row r="2944" spans="1:8" ht="27" customHeight="1" x14ac:dyDescent="0.2">
      <c r="A2944" s="31" t="s">
        <v>4043</v>
      </c>
      <c r="B2944" s="32" t="s">
        <v>4044</v>
      </c>
      <c r="C2944" s="32" t="s">
        <v>779</v>
      </c>
      <c r="D2944" s="32" t="s">
        <v>4050</v>
      </c>
      <c r="E2944" s="33" t="s">
        <v>780</v>
      </c>
      <c r="F2944" s="34">
        <v>43527</v>
      </c>
      <c r="G2944" s="34">
        <v>50000</v>
      </c>
      <c r="H2944" s="35" t="s">
        <v>4051</v>
      </c>
    </row>
    <row r="2945" spans="1:8" ht="27" customHeight="1" x14ac:dyDescent="0.2">
      <c r="A2945" s="31" t="s">
        <v>4052</v>
      </c>
      <c r="B2945" s="32" t="s">
        <v>4053</v>
      </c>
      <c r="C2945" s="32" t="s">
        <v>763</v>
      </c>
      <c r="D2945" s="32" t="s">
        <v>931</v>
      </c>
      <c r="E2945" s="33" t="s">
        <v>764</v>
      </c>
      <c r="F2945" s="34">
        <v>1000000</v>
      </c>
      <c r="G2945" s="34">
        <v>2000000</v>
      </c>
      <c r="H2945" s="35" t="s">
        <v>4054</v>
      </c>
    </row>
    <row r="2946" spans="1:8" ht="27" customHeight="1" x14ac:dyDescent="0.2">
      <c r="A2946" s="31" t="s">
        <v>4052</v>
      </c>
      <c r="B2946" s="32" t="s">
        <v>4053</v>
      </c>
      <c r="C2946" s="32" t="s">
        <v>763</v>
      </c>
      <c r="D2946" s="32" t="s">
        <v>3023</v>
      </c>
      <c r="E2946" s="33" t="s">
        <v>764</v>
      </c>
      <c r="F2946" s="34">
        <v>7173421</v>
      </c>
      <c r="G2946" s="34">
        <v>9173421</v>
      </c>
      <c r="H2946" s="35" t="s">
        <v>4055</v>
      </c>
    </row>
    <row r="2947" spans="1:8" ht="27" customHeight="1" x14ac:dyDescent="0.2">
      <c r="A2947" s="31" t="s">
        <v>4052</v>
      </c>
      <c r="B2947" s="32" t="s">
        <v>4053</v>
      </c>
      <c r="C2947" s="32" t="s">
        <v>773</v>
      </c>
      <c r="D2947" s="32" t="s">
        <v>973</v>
      </c>
      <c r="E2947" s="33" t="s">
        <v>775</v>
      </c>
      <c r="F2947" s="34">
        <v>100000</v>
      </c>
      <c r="G2947" s="34">
        <v>100000</v>
      </c>
      <c r="H2947" s="35" t="s">
        <v>4056</v>
      </c>
    </row>
    <row r="2948" spans="1:8" ht="27" customHeight="1" x14ac:dyDescent="0.2">
      <c r="A2948" s="31" t="s">
        <v>4052</v>
      </c>
      <c r="B2948" s="32" t="s">
        <v>4053</v>
      </c>
      <c r="C2948" s="32" t="s">
        <v>796</v>
      </c>
      <c r="D2948" s="32" t="s">
        <v>1576</v>
      </c>
      <c r="E2948" s="33" t="s">
        <v>772</v>
      </c>
      <c r="F2948" s="34">
        <v>1800000</v>
      </c>
      <c r="G2948" s="34">
        <v>1800000</v>
      </c>
      <c r="H2948" s="35" t="s">
        <v>4057</v>
      </c>
    </row>
    <row r="2949" spans="1:8" ht="27" customHeight="1" x14ac:dyDescent="0.2">
      <c r="A2949" s="31" t="s">
        <v>4052</v>
      </c>
      <c r="B2949" s="32" t="s">
        <v>4053</v>
      </c>
      <c r="C2949" s="32" t="s">
        <v>776</v>
      </c>
      <c r="D2949" s="32" t="s">
        <v>812</v>
      </c>
      <c r="E2949" s="33" t="s">
        <v>777</v>
      </c>
      <c r="F2949" s="34">
        <v>4183763</v>
      </c>
      <c r="G2949" s="34">
        <v>4180000</v>
      </c>
      <c r="H2949" s="35" t="s">
        <v>4058</v>
      </c>
    </row>
    <row r="2950" spans="1:8" ht="27" customHeight="1" x14ac:dyDescent="0.2">
      <c r="A2950" s="31" t="s">
        <v>4052</v>
      </c>
      <c r="B2950" s="32" t="s">
        <v>4053</v>
      </c>
      <c r="C2950" s="32" t="s">
        <v>779</v>
      </c>
      <c r="D2950" s="32" t="s">
        <v>826</v>
      </c>
      <c r="E2950" s="33" t="s">
        <v>780</v>
      </c>
      <c r="F2950" s="34">
        <v>75000</v>
      </c>
      <c r="G2950" s="34">
        <v>75000</v>
      </c>
      <c r="H2950" s="35" t="s">
        <v>4059</v>
      </c>
    </row>
    <row r="2951" spans="1:8" ht="27" customHeight="1" x14ac:dyDescent="0.2">
      <c r="A2951" s="31" t="s">
        <v>4060</v>
      </c>
      <c r="B2951" s="32" t="s">
        <v>4061</v>
      </c>
      <c r="C2951" s="32" t="s">
        <v>763</v>
      </c>
      <c r="D2951" s="32" t="s">
        <v>816</v>
      </c>
      <c r="E2951" s="33" t="s">
        <v>764</v>
      </c>
      <c r="F2951" s="34">
        <v>2805214</v>
      </c>
      <c r="G2951" s="34">
        <v>1500000</v>
      </c>
      <c r="H2951" s="35" t="s">
        <v>2165</v>
      </c>
    </row>
    <row r="2952" spans="1:8" ht="27" customHeight="1" x14ac:dyDescent="0.2">
      <c r="A2952" s="31" t="s">
        <v>4060</v>
      </c>
      <c r="B2952" s="32" t="s">
        <v>4061</v>
      </c>
      <c r="C2952" s="32" t="s">
        <v>770</v>
      </c>
      <c r="D2952" s="32" t="s">
        <v>4062</v>
      </c>
      <c r="E2952" s="33" t="s">
        <v>772</v>
      </c>
      <c r="F2952" s="34">
        <v>789528</v>
      </c>
      <c r="G2952" s="34">
        <v>789528</v>
      </c>
      <c r="H2952" s="35" t="s">
        <v>4063</v>
      </c>
    </row>
    <row r="2953" spans="1:8" ht="27" customHeight="1" x14ac:dyDescent="0.2">
      <c r="A2953" s="31" t="s">
        <v>4060</v>
      </c>
      <c r="B2953" s="32" t="s">
        <v>4061</v>
      </c>
      <c r="C2953" s="32" t="s">
        <v>796</v>
      </c>
      <c r="D2953" s="32" t="s">
        <v>4064</v>
      </c>
      <c r="E2953" s="33" t="s">
        <v>823</v>
      </c>
      <c r="F2953" s="34">
        <v>1149245</v>
      </c>
      <c r="G2953" s="34">
        <v>1149245</v>
      </c>
      <c r="H2953" s="35" t="s">
        <v>4065</v>
      </c>
    </row>
    <row r="2954" spans="1:8" ht="27" customHeight="1" x14ac:dyDescent="0.2">
      <c r="A2954" s="31" t="s">
        <v>4060</v>
      </c>
      <c r="B2954" s="32" t="s">
        <v>4061</v>
      </c>
      <c r="C2954" s="32" t="s">
        <v>798</v>
      </c>
      <c r="D2954" s="32" t="s">
        <v>4066</v>
      </c>
      <c r="E2954" s="33" t="s">
        <v>800</v>
      </c>
      <c r="F2954" s="34">
        <v>1775126</v>
      </c>
      <c r="G2954" s="34">
        <v>1775126</v>
      </c>
      <c r="H2954" s="35" t="s">
        <v>4067</v>
      </c>
    </row>
    <row r="2955" spans="1:8" ht="27" customHeight="1" x14ac:dyDescent="0.2">
      <c r="A2955" s="31" t="s">
        <v>4068</v>
      </c>
      <c r="B2955" s="32" t="s">
        <v>4069</v>
      </c>
      <c r="C2955" s="32" t="s">
        <v>763</v>
      </c>
      <c r="D2955" s="32" t="s">
        <v>816</v>
      </c>
      <c r="E2955" s="33" t="s">
        <v>764</v>
      </c>
      <c r="F2955" s="34">
        <v>3371772</v>
      </c>
      <c r="G2955" s="34">
        <v>3500000</v>
      </c>
      <c r="H2955" s="35" t="s">
        <v>4070</v>
      </c>
    </row>
    <row r="2956" spans="1:8" ht="27" customHeight="1" x14ac:dyDescent="0.2">
      <c r="A2956" s="31" t="s">
        <v>4068</v>
      </c>
      <c r="B2956" s="32" t="s">
        <v>4069</v>
      </c>
      <c r="C2956" s="32" t="s">
        <v>770</v>
      </c>
      <c r="D2956" s="32" t="s">
        <v>4071</v>
      </c>
      <c r="E2956" s="33" t="s">
        <v>772</v>
      </c>
      <c r="F2956" s="34">
        <v>748148</v>
      </c>
      <c r="G2956" s="34">
        <v>750000</v>
      </c>
      <c r="H2956" s="35" t="s">
        <v>4072</v>
      </c>
    </row>
    <row r="2957" spans="1:8" ht="27" customHeight="1" x14ac:dyDescent="0.2">
      <c r="A2957" s="31" t="s">
        <v>4068</v>
      </c>
      <c r="B2957" s="32" t="s">
        <v>4069</v>
      </c>
      <c r="C2957" s="32" t="s">
        <v>844</v>
      </c>
      <c r="D2957" s="32" t="s">
        <v>972</v>
      </c>
      <c r="E2957" s="33" t="s">
        <v>846</v>
      </c>
      <c r="F2957" s="34">
        <v>709314</v>
      </c>
      <c r="G2957" s="34">
        <v>715000</v>
      </c>
      <c r="H2957" s="35" t="s">
        <v>4073</v>
      </c>
    </row>
    <row r="2958" spans="1:8" ht="27" customHeight="1" x14ac:dyDescent="0.2">
      <c r="A2958" s="31" t="s">
        <v>4068</v>
      </c>
      <c r="B2958" s="32" t="s">
        <v>4069</v>
      </c>
      <c r="C2958" s="32" t="s">
        <v>796</v>
      </c>
      <c r="D2958" s="32" t="s">
        <v>1444</v>
      </c>
      <c r="E2958" s="33" t="s">
        <v>772</v>
      </c>
      <c r="F2958" s="34">
        <v>1200000</v>
      </c>
      <c r="G2958" s="34">
        <v>1200000</v>
      </c>
      <c r="H2958" s="35" t="s">
        <v>4074</v>
      </c>
    </row>
    <row r="2959" spans="1:8" ht="27" customHeight="1" x14ac:dyDescent="0.2">
      <c r="A2959" s="31" t="s">
        <v>4068</v>
      </c>
      <c r="B2959" s="32" t="s">
        <v>4069</v>
      </c>
      <c r="C2959" s="32" t="s">
        <v>776</v>
      </c>
      <c r="D2959" s="32" t="s">
        <v>812</v>
      </c>
      <c r="E2959" s="33" t="s">
        <v>777</v>
      </c>
      <c r="F2959" s="34">
        <v>20316516</v>
      </c>
      <c r="G2959" s="34">
        <v>18000000</v>
      </c>
      <c r="H2959" s="35" t="s">
        <v>4075</v>
      </c>
    </row>
    <row r="2960" spans="1:8" ht="27" customHeight="1" x14ac:dyDescent="0.2">
      <c r="A2960" s="31" t="s">
        <v>4068</v>
      </c>
      <c r="B2960" s="32" t="s">
        <v>4069</v>
      </c>
      <c r="C2960" s="32" t="s">
        <v>779</v>
      </c>
      <c r="D2960" s="32" t="s">
        <v>826</v>
      </c>
      <c r="E2960" s="33" t="s">
        <v>780</v>
      </c>
      <c r="F2960" s="34">
        <v>336913</v>
      </c>
      <c r="G2960" s="34">
        <v>300000</v>
      </c>
      <c r="H2960" s="35" t="s">
        <v>4076</v>
      </c>
    </row>
    <row r="2961" spans="1:8" ht="27" customHeight="1" x14ac:dyDescent="0.2">
      <c r="A2961" s="31" t="s">
        <v>4077</v>
      </c>
      <c r="B2961" s="32" t="s">
        <v>4078</v>
      </c>
      <c r="C2961" s="32" t="s">
        <v>844</v>
      </c>
      <c r="D2961" s="32" t="s">
        <v>972</v>
      </c>
      <c r="E2961" s="33" t="s">
        <v>846</v>
      </c>
      <c r="F2961" s="34">
        <v>101938</v>
      </c>
      <c r="G2961" s="34">
        <v>102447</v>
      </c>
      <c r="H2961" s="35" t="s">
        <v>4079</v>
      </c>
    </row>
    <row r="2962" spans="1:8" ht="27" customHeight="1" x14ac:dyDescent="0.2">
      <c r="A2962" s="31" t="s">
        <v>4080</v>
      </c>
      <c r="B2962" s="32" t="s">
        <v>4081</v>
      </c>
      <c r="C2962" s="32" t="s">
        <v>763</v>
      </c>
      <c r="D2962" s="32" t="s">
        <v>816</v>
      </c>
      <c r="E2962" s="33" t="s">
        <v>764</v>
      </c>
      <c r="F2962" s="34">
        <v>250272</v>
      </c>
      <c r="G2962" s="34">
        <v>250378</v>
      </c>
      <c r="H2962" s="35" t="s">
        <v>4082</v>
      </c>
    </row>
    <row r="2963" spans="1:8" ht="27" customHeight="1" x14ac:dyDescent="0.2">
      <c r="A2963" s="31" t="s">
        <v>4080</v>
      </c>
      <c r="B2963" s="32" t="s">
        <v>4081</v>
      </c>
      <c r="C2963" s="32" t="s">
        <v>770</v>
      </c>
      <c r="D2963" s="32" t="s">
        <v>4083</v>
      </c>
      <c r="E2963" s="33" t="s">
        <v>772</v>
      </c>
      <c r="F2963" s="34">
        <v>170766</v>
      </c>
      <c r="G2963" s="34">
        <v>170818</v>
      </c>
      <c r="H2963" s="35" t="s">
        <v>4084</v>
      </c>
    </row>
    <row r="2964" spans="1:8" ht="27" customHeight="1" x14ac:dyDescent="0.2">
      <c r="A2964" s="31" t="s">
        <v>4080</v>
      </c>
      <c r="B2964" s="32" t="s">
        <v>4081</v>
      </c>
      <c r="C2964" s="32" t="s">
        <v>773</v>
      </c>
      <c r="D2964" s="32" t="s">
        <v>973</v>
      </c>
      <c r="E2964" s="33" t="s">
        <v>775</v>
      </c>
      <c r="F2964" s="34">
        <v>341818</v>
      </c>
      <c r="G2964" s="34">
        <v>361698</v>
      </c>
      <c r="H2964" s="35" t="s">
        <v>4085</v>
      </c>
    </row>
    <row r="2965" spans="1:8" ht="27" customHeight="1" x14ac:dyDescent="0.2">
      <c r="A2965" s="31" t="s">
        <v>4080</v>
      </c>
      <c r="B2965" s="32" t="s">
        <v>4081</v>
      </c>
      <c r="C2965" s="32" t="s">
        <v>886</v>
      </c>
      <c r="D2965" s="32" t="s">
        <v>1013</v>
      </c>
      <c r="E2965" s="33" t="s">
        <v>887</v>
      </c>
      <c r="F2965" s="34">
        <v>341819</v>
      </c>
      <c r="G2965" s="34">
        <v>361699</v>
      </c>
      <c r="H2965" s="35" t="s">
        <v>4086</v>
      </c>
    </row>
    <row r="2966" spans="1:8" ht="27" customHeight="1" x14ac:dyDescent="0.2">
      <c r="A2966" s="31" t="s">
        <v>4080</v>
      </c>
      <c r="B2966" s="32" t="s">
        <v>4081</v>
      </c>
      <c r="C2966" s="32" t="s">
        <v>796</v>
      </c>
      <c r="D2966" s="32" t="s">
        <v>811</v>
      </c>
      <c r="E2966" s="33" t="s">
        <v>823</v>
      </c>
      <c r="F2966" s="34">
        <v>2441368</v>
      </c>
      <c r="G2966" s="34">
        <v>2442107</v>
      </c>
      <c r="H2966" s="35" t="s">
        <v>4087</v>
      </c>
    </row>
    <row r="2967" spans="1:8" ht="27" customHeight="1" x14ac:dyDescent="0.2">
      <c r="A2967" s="31" t="s">
        <v>4080</v>
      </c>
      <c r="B2967" s="32" t="s">
        <v>4081</v>
      </c>
      <c r="C2967" s="32" t="s">
        <v>779</v>
      </c>
      <c r="D2967" s="32" t="s">
        <v>876</v>
      </c>
      <c r="E2967" s="33" t="s">
        <v>780</v>
      </c>
      <c r="F2967" s="34">
        <v>125071</v>
      </c>
      <c r="G2967" s="34">
        <v>125081</v>
      </c>
      <c r="H2967" s="35" t="s">
        <v>4088</v>
      </c>
    </row>
    <row r="2968" spans="1:8" ht="27" customHeight="1" x14ac:dyDescent="0.2">
      <c r="A2968" s="31" t="s">
        <v>4080</v>
      </c>
      <c r="B2968" s="32" t="s">
        <v>4081</v>
      </c>
      <c r="C2968" s="32" t="s">
        <v>782</v>
      </c>
      <c r="D2968" s="32" t="s">
        <v>4089</v>
      </c>
      <c r="E2968" s="33" t="s">
        <v>784</v>
      </c>
      <c r="F2968" s="34">
        <v>562595</v>
      </c>
      <c r="G2968" s="34">
        <v>562796</v>
      </c>
      <c r="H2968" s="35" t="s">
        <v>4090</v>
      </c>
    </row>
    <row r="2969" spans="1:8" ht="27" customHeight="1" x14ac:dyDescent="0.2">
      <c r="A2969" s="31" t="s">
        <v>4091</v>
      </c>
      <c r="B2969" s="32" t="s">
        <v>4092</v>
      </c>
      <c r="C2969" s="32" t="s">
        <v>766</v>
      </c>
      <c r="D2969" s="32" t="s">
        <v>767</v>
      </c>
      <c r="E2969" s="33" t="s">
        <v>768</v>
      </c>
      <c r="F2969" s="34">
        <v>685201</v>
      </c>
      <c r="G2969" s="34">
        <v>610201</v>
      </c>
      <c r="H2969" s="35" t="s">
        <v>4093</v>
      </c>
    </row>
    <row r="2970" spans="1:8" ht="27" customHeight="1" x14ac:dyDescent="0.2">
      <c r="A2970" s="31" t="s">
        <v>4091</v>
      </c>
      <c r="B2970" s="32" t="s">
        <v>4092</v>
      </c>
      <c r="C2970" s="32" t="s">
        <v>770</v>
      </c>
      <c r="D2970" s="32" t="s">
        <v>1136</v>
      </c>
      <c r="E2970" s="33" t="s">
        <v>772</v>
      </c>
      <c r="F2970" s="34">
        <v>585242</v>
      </c>
      <c r="G2970" s="34">
        <v>585242</v>
      </c>
      <c r="H2970" s="35" t="s">
        <v>4094</v>
      </c>
    </row>
    <row r="2971" spans="1:8" ht="27" customHeight="1" x14ac:dyDescent="0.2">
      <c r="A2971" s="31" t="s">
        <v>4091</v>
      </c>
      <c r="B2971" s="32" t="s">
        <v>4092</v>
      </c>
      <c r="C2971" s="32" t="s">
        <v>796</v>
      </c>
      <c r="D2971" s="32" t="s">
        <v>862</v>
      </c>
      <c r="E2971" s="33" t="s">
        <v>823</v>
      </c>
      <c r="F2971" s="34">
        <v>415000</v>
      </c>
      <c r="G2971" s="34">
        <v>415000</v>
      </c>
      <c r="H2971" s="35" t="s">
        <v>4095</v>
      </c>
    </row>
    <row r="2972" spans="1:8" ht="27" customHeight="1" x14ac:dyDescent="0.2">
      <c r="A2972" s="31" t="s">
        <v>4091</v>
      </c>
      <c r="B2972" s="32" t="s">
        <v>4092</v>
      </c>
      <c r="C2972" s="32" t="s">
        <v>779</v>
      </c>
      <c r="D2972" s="32" t="s">
        <v>802</v>
      </c>
      <c r="E2972" s="33" t="s">
        <v>780</v>
      </c>
      <c r="F2972" s="34">
        <v>79336</v>
      </c>
      <c r="G2972" s="34">
        <v>79336</v>
      </c>
      <c r="H2972" s="35" t="s">
        <v>4096</v>
      </c>
    </row>
    <row r="2973" spans="1:8" ht="27" customHeight="1" x14ac:dyDescent="0.2">
      <c r="A2973" s="31" t="s">
        <v>4091</v>
      </c>
      <c r="B2973" s="32" t="s">
        <v>4092</v>
      </c>
      <c r="C2973" s="32" t="s">
        <v>782</v>
      </c>
      <c r="D2973" s="32" t="s">
        <v>901</v>
      </c>
      <c r="E2973" s="33" t="s">
        <v>784</v>
      </c>
      <c r="F2973" s="34">
        <v>100000</v>
      </c>
      <c r="G2973" s="34">
        <v>100000</v>
      </c>
      <c r="H2973" s="35" t="s">
        <v>4094</v>
      </c>
    </row>
    <row r="2974" spans="1:8" ht="27" customHeight="1" x14ac:dyDescent="0.2">
      <c r="A2974" s="31" t="s">
        <v>4097</v>
      </c>
      <c r="B2974" s="32" t="s">
        <v>4098</v>
      </c>
      <c r="C2974" s="32" t="s">
        <v>763</v>
      </c>
      <c r="D2974" s="32" t="s">
        <v>816</v>
      </c>
      <c r="E2974" s="33" t="s">
        <v>764</v>
      </c>
      <c r="F2974" s="34">
        <v>0</v>
      </c>
      <c r="G2974" s="34">
        <v>1000000</v>
      </c>
      <c r="H2974" s="35" t="s">
        <v>4099</v>
      </c>
    </row>
    <row r="2975" spans="1:8" ht="27" customHeight="1" x14ac:dyDescent="0.2">
      <c r="A2975" s="31" t="s">
        <v>4097</v>
      </c>
      <c r="B2975" s="32" t="s">
        <v>4098</v>
      </c>
      <c r="C2975" s="32" t="s">
        <v>766</v>
      </c>
      <c r="D2975" s="32" t="s">
        <v>870</v>
      </c>
      <c r="E2975" s="33" t="s">
        <v>768</v>
      </c>
      <c r="F2975" s="34">
        <v>429700</v>
      </c>
      <c r="G2975" s="34">
        <v>429700</v>
      </c>
      <c r="H2975" s="35" t="s">
        <v>3674</v>
      </c>
    </row>
    <row r="2976" spans="1:8" ht="27" customHeight="1" x14ac:dyDescent="0.2">
      <c r="A2976" s="31" t="s">
        <v>4097</v>
      </c>
      <c r="B2976" s="32" t="s">
        <v>4098</v>
      </c>
      <c r="C2976" s="32" t="s">
        <v>770</v>
      </c>
      <c r="D2976" s="32" t="s">
        <v>970</v>
      </c>
      <c r="E2976" s="33" t="s">
        <v>772</v>
      </c>
      <c r="F2976" s="34">
        <v>167723</v>
      </c>
      <c r="G2976" s="34">
        <v>167723</v>
      </c>
      <c r="H2976" s="35" t="s">
        <v>3674</v>
      </c>
    </row>
    <row r="2977" spans="1:8" ht="27" customHeight="1" x14ac:dyDescent="0.2">
      <c r="A2977" s="31" t="s">
        <v>4097</v>
      </c>
      <c r="B2977" s="32" t="s">
        <v>4098</v>
      </c>
      <c r="C2977" s="32" t="s">
        <v>860</v>
      </c>
      <c r="D2977" s="32" t="s">
        <v>911</v>
      </c>
      <c r="E2977" s="33" t="s">
        <v>861</v>
      </c>
      <c r="F2977" s="34">
        <v>1013312</v>
      </c>
      <c r="G2977" s="34">
        <v>13312</v>
      </c>
      <c r="H2977" s="35" t="s">
        <v>4100</v>
      </c>
    </row>
    <row r="2978" spans="1:8" ht="27" customHeight="1" x14ac:dyDescent="0.2">
      <c r="A2978" s="31" t="s">
        <v>4097</v>
      </c>
      <c r="B2978" s="32" t="s">
        <v>4098</v>
      </c>
      <c r="C2978" s="32" t="s">
        <v>796</v>
      </c>
      <c r="D2978" s="32" t="s">
        <v>1050</v>
      </c>
      <c r="E2978" s="33" t="s">
        <v>772</v>
      </c>
      <c r="F2978" s="34">
        <v>1370857</v>
      </c>
      <c r="G2978" s="34">
        <v>1200857</v>
      </c>
      <c r="H2978" s="35" t="s">
        <v>4101</v>
      </c>
    </row>
    <row r="2979" spans="1:8" ht="27" customHeight="1" x14ac:dyDescent="0.2">
      <c r="A2979" s="31" t="s">
        <v>4097</v>
      </c>
      <c r="B2979" s="32" t="s">
        <v>4098</v>
      </c>
      <c r="C2979" s="32" t="s">
        <v>779</v>
      </c>
      <c r="D2979" s="32" t="s">
        <v>802</v>
      </c>
      <c r="E2979" s="33" t="s">
        <v>780</v>
      </c>
      <c r="F2979" s="34">
        <v>436205</v>
      </c>
      <c r="G2979" s="34">
        <v>411205</v>
      </c>
      <c r="H2979" s="35" t="s">
        <v>1227</v>
      </c>
    </row>
    <row r="2980" spans="1:8" ht="27" customHeight="1" x14ac:dyDescent="0.2">
      <c r="A2980" s="31" t="s">
        <v>4097</v>
      </c>
      <c r="B2980" s="32" t="s">
        <v>4098</v>
      </c>
      <c r="C2980" s="32" t="s">
        <v>782</v>
      </c>
      <c r="D2980" s="32" t="s">
        <v>4102</v>
      </c>
      <c r="E2980" s="33" t="s">
        <v>784</v>
      </c>
      <c r="F2980" s="34">
        <v>367231</v>
      </c>
      <c r="G2980" s="34">
        <v>298256</v>
      </c>
      <c r="H2980" s="35" t="s">
        <v>4103</v>
      </c>
    </row>
    <row r="2981" spans="1:8" ht="27" customHeight="1" x14ac:dyDescent="0.2">
      <c r="A2981" s="31" t="s">
        <v>4104</v>
      </c>
      <c r="B2981" s="32" t="s">
        <v>4105</v>
      </c>
      <c r="C2981" s="32" t="s">
        <v>763</v>
      </c>
      <c r="D2981" s="32" t="s">
        <v>763</v>
      </c>
      <c r="E2981" s="33" t="s">
        <v>764</v>
      </c>
      <c r="F2981" s="34">
        <v>950000</v>
      </c>
      <c r="G2981" s="34">
        <v>1200000</v>
      </c>
      <c r="H2981" s="35" t="s">
        <v>4106</v>
      </c>
    </row>
    <row r="2982" spans="1:8" ht="27" customHeight="1" x14ac:dyDescent="0.2">
      <c r="A2982" s="31" t="s">
        <v>4104</v>
      </c>
      <c r="B2982" s="32" t="s">
        <v>4105</v>
      </c>
      <c r="C2982" s="32" t="s">
        <v>766</v>
      </c>
      <c r="D2982" s="32" t="s">
        <v>767</v>
      </c>
      <c r="E2982" s="33" t="s">
        <v>768</v>
      </c>
      <c r="F2982" s="34">
        <v>321635</v>
      </c>
      <c r="G2982" s="34">
        <v>321635</v>
      </c>
      <c r="H2982" s="35" t="s">
        <v>4107</v>
      </c>
    </row>
    <row r="2983" spans="1:8" ht="27" customHeight="1" x14ac:dyDescent="0.2">
      <c r="A2983" s="31" t="s">
        <v>4104</v>
      </c>
      <c r="B2983" s="32" t="s">
        <v>4105</v>
      </c>
      <c r="C2983" s="32" t="s">
        <v>770</v>
      </c>
      <c r="D2983" s="32" t="s">
        <v>1011</v>
      </c>
      <c r="E2983" s="33" t="s">
        <v>772</v>
      </c>
      <c r="F2983" s="34">
        <v>328000</v>
      </c>
      <c r="G2983" s="34">
        <v>300000</v>
      </c>
      <c r="H2983" s="35" t="s">
        <v>4108</v>
      </c>
    </row>
    <row r="2984" spans="1:8" ht="27" customHeight="1" x14ac:dyDescent="0.2">
      <c r="A2984" s="31" t="s">
        <v>4104</v>
      </c>
      <c r="B2984" s="32" t="s">
        <v>4105</v>
      </c>
      <c r="C2984" s="32" t="s">
        <v>796</v>
      </c>
      <c r="D2984" s="32" t="s">
        <v>1050</v>
      </c>
      <c r="E2984" s="33" t="s">
        <v>823</v>
      </c>
      <c r="F2984" s="34">
        <v>300000</v>
      </c>
      <c r="G2984" s="34">
        <v>290000</v>
      </c>
      <c r="H2984" s="35" t="s">
        <v>4109</v>
      </c>
    </row>
    <row r="2985" spans="1:8" ht="27" customHeight="1" x14ac:dyDescent="0.2">
      <c r="A2985" s="31" t="s">
        <v>4104</v>
      </c>
      <c r="B2985" s="32" t="s">
        <v>4105</v>
      </c>
      <c r="C2985" s="32" t="s">
        <v>776</v>
      </c>
      <c r="D2985" s="32" t="s">
        <v>1755</v>
      </c>
      <c r="E2985" s="33" t="s">
        <v>777</v>
      </c>
      <c r="F2985" s="34">
        <v>291208</v>
      </c>
      <c r="G2985" s="34">
        <v>291208</v>
      </c>
      <c r="H2985" s="35" t="s">
        <v>4110</v>
      </c>
    </row>
    <row r="2986" spans="1:8" ht="27" customHeight="1" x14ac:dyDescent="0.2">
      <c r="A2986" s="31" t="s">
        <v>4104</v>
      </c>
      <c r="B2986" s="32" t="s">
        <v>4105</v>
      </c>
      <c r="C2986" s="32" t="s">
        <v>779</v>
      </c>
      <c r="D2986" s="32" t="s">
        <v>802</v>
      </c>
      <c r="E2986" s="33" t="s">
        <v>780</v>
      </c>
      <c r="F2986" s="34">
        <v>149970</v>
      </c>
      <c r="G2986" s="34">
        <v>149500</v>
      </c>
      <c r="H2986" s="35" t="s">
        <v>4111</v>
      </c>
    </row>
    <row r="2987" spans="1:8" ht="27" customHeight="1" x14ac:dyDescent="0.2">
      <c r="A2987" s="31" t="s">
        <v>4112</v>
      </c>
      <c r="B2987" s="32" t="s">
        <v>321</v>
      </c>
      <c r="C2987" s="32" t="s">
        <v>763</v>
      </c>
      <c r="D2987" s="32" t="s">
        <v>4113</v>
      </c>
      <c r="E2987" s="33" t="s">
        <v>764</v>
      </c>
      <c r="F2987" s="34">
        <v>1007003</v>
      </c>
      <c r="G2987" s="34">
        <v>1009305</v>
      </c>
      <c r="H2987" s="35" t="s">
        <v>4114</v>
      </c>
    </row>
    <row r="2988" spans="1:8" ht="27" customHeight="1" x14ac:dyDescent="0.2">
      <c r="A2988" s="31" t="s">
        <v>4112</v>
      </c>
      <c r="B2988" s="32" t="s">
        <v>321</v>
      </c>
      <c r="C2988" s="32" t="s">
        <v>763</v>
      </c>
      <c r="D2988" s="32" t="s">
        <v>4115</v>
      </c>
      <c r="E2988" s="33" t="s">
        <v>764</v>
      </c>
      <c r="F2988" s="34">
        <v>1248171</v>
      </c>
      <c r="G2988" s="34">
        <v>1252371</v>
      </c>
      <c r="H2988" s="35" t="s">
        <v>4116</v>
      </c>
    </row>
    <row r="2989" spans="1:8" ht="27" customHeight="1" x14ac:dyDescent="0.2">
      <c r="A2989" s="31" t="s">
        <v>4112</v>
      </c>
      <c r="B2989" s="32" t="s">
        <v>321</v>
      </c>
      <c r="C2989" s="32" t="s">
        <v>766</v>
      </c>
      <c r="D2989" s="32" t="s">
        <v>4117</v>
      </c>
      <c r="E2989" s="33" t="s">
        <v>768</v>
      </c>
      <c r="F2989" s="34">
        <v>182454</v>
      </c>
      <c r="G2989" s="34">
        <v>182873</v>
      </c>
      <c r="H2989" s="35" t="s">
        <v>4118</v>
      </c>
    </row>
    <row r="2990" spans="1:8" ht="27" customHeight="1" x14ac:dyDescent="0.2">
      <c r="A2990" s="31" t="s">
        <v>4112</v>
      </c>
      <c r="B2990" s="32" t="s">
        <v>321</v>
      </c>
      <c r="C2990" s="32" t="s">
        <v>770</v>
      </c>
      <c r="D2990" s="32" t="s">
        <v>1720</v>
      </c>
      <c r="E2990" s="33" t="s">
        <v>772</v>
      </c>
      <c r="F2990" s="34">
        <v>87971</v>
      </c>
      <c r="G2990" s="34">
        <v>113950</v>
      </c>
      <c r="H2990" s="35" t="s">
        <v>4119</v>
      </c>
    </row>
    <row r="2991" spans="1:8" ht="27" customHeight="1" x14ac:dyDescent="0.2">
      <c r="A2991" s="31" t="s">
        <v>4112</v>
      </c>
      <c r="B2991" s="32" t="s">
        <v>321</v>
      </c>
      <c r="C2991" s="32" t="s">
        <v>884</v>
      </c>
      <c r="D2991" s="32" t="s">
        <v>1049</v>
      </c>
      <c r="E2991" s="33" t="s">
        <v>885</v>
      </c>
      <c r="F2991" s="34">
        <v>0</v>
      </c>
      <c r="G2991" s="34">
        <v>0</v>
      </c>
      <c r="H2991" s="35" t="s">
        <v>1049</v>
      </c>
    </row>
    <row r="2992" spans="1:8" ht="27" customHeight="1" x14ac:dyDescent="0.2">
      <c r="A2992" s="31" t="s">
        <v>4112</v>
      </c>
      <c r="B2992" s="32" t="s">
        <v>321</v>
      </c>
      <c r="C2992" s="32" t="s">
        <v>844</v>
      </c>
      <c r="D2992" s="32" t="s">
        <v>844</v>
      </c>
      <c r="E2992" s="33" t="s">
        <v>846</v>
      </c>
      <c r="F2992" s="34">
        <v>74138</v>
      </c>
      <c r="G2992" s="34">
        <v>74313</v>
      </c>
      <c r="H2992" s="35" t="s">
        <v>4120</v>
      </c>
    </row>
    <row r="2993" spans="1:8" ht="27" customHeight="1" x14ac:dyDescent="0.2">
      <c r="A2993" s="31" t="s">
        <v>4112</v>
      </c>
      <c r="B2993" s="32" t="s">
        <v>321</v>
      </c>
      <c r="C2993" s="32" t="s">
        <v>773</v>
      </c>
      <c r="D2993" s="32" t="s">
        <v>773</v>
      </c>
      <c r="E2993" s="33" t="s">
        <v>775</v>
      </c>
      <c r="F2993" s="34">
        <v>508714</v>
      </c>
      <c r="G2993" s="34">
        <v>484884</v>
      </c>
      <c r="H2993" s="35" t="s">
        <v>4121</v>
      </c>
    </row>
    <row r="2994" spans="1:8" ht="27" customHeight="1" x14ac:dyDescent="0.2">
      <c r="A2994" s="31" t="s">
        <v>4112</v>
      </c>
      <c r="B2994" s="32" t="s">
        <v>321</v>
      </c>
      <c r="C2994" s="32" t="s">
        <v>831</v>
      </c>
      <c r="D2994" s="32" t="s">
        <v>1049</v>
      </c>
      <c r="E2994" s="33"/>
      <c r="F2994" s="34">
        <v>0</v>
      </c>
      <c r="G2994" s="34">
        <v>0</v>
      </c>
      <c r="H2994" s="35" t="s">
        <v>1049</v>
      </c>
    </row>
    <row r="2995" spans="1:8" ht="27" customHeight="1" x14ac:dyDescent="0.2">
      <c r="A2995" s="31" t="s">
        <v>4112</v>
      </c>
      <c r="B2995" s="32" t="s">
        <v>321</v>
      </c>
      <c r="C2995" s="32" t="s">
        <v>886</v>
      </c>
      <c r="D2995" s="32" t="s">
        <v>886</v>
      </c>
      <c r="E2995" s="33" t="s">
        <v>887</v>
      </c>
      <c r="F2995" s="34">
        <v>134046</v>
      </c>
      <c r="G2995" s="34">
        <v>134358</v>
      </c>
      <c r="H2995" s="35" t="s">
        <v>4122</v>
      </c>
    </row>
    <row r="2996" spans="1:8" ht="27" customHeight="1" x14ac:dyDescent="0.2">
      <c r="A2996" s="31" t="s">
        <v>4112</v>
      </c>
      <c r="B2996" s="32" t="s">
        <v>321</v>
      </c>
      <c r="C2996" s="32" t="s">
        <v>860</v>
      </c>
      <c r="D2996" s="32" t="s">
        <v>1049</v>
      </c>
      <c r="E2996" s="33" t="s">
        <v>861</v>
      </c>
      <c r="F2996" s="34">
        <v>0</v>
      </c>
      <c r="G2996" s="34">
        <v>0</v>
      </c>
      <c r="H2996" s="35" t="s">
        <v>1049</v>
      </c>
    </row>
    <row r="2997" spans="1:8" ht="27" customHeight="1" x14ac:dyDescent="0.2">
      <c r="A2997" s="31" t="s">
        <v>4112</v>
      </c>
      <c r="B2997" s="32" t="s">
        <v>321</v>
      </c>
      <c r="C2997" s="32" t="s">
        <v>796</v>
      </c>
      <c r="D2997" s="32" t="s">
        <v>1176</v>
      </c>
      <c r="E2997" s="33" t="s">
        <v>772</v>
      </c>
      <c r="F2997" s="34">
        <v>2369105</v>
      </c>
      <c r="G2997" s="34">
        <v>2625136</v>
      </c>
      <c r="H2997" s="35" t="s">
        <v>4123</v>
      </c>
    </row>
    <row r="2998" spans="1:8" ht="27" customHeight="1" x14ac:dyDescent="0.2">
      <c r="A2998" s="31" t="s">
        <v>4112</v>
      </c>
      <c r="B2998" s="32" t="s">
        <v>321</v>
      </c>
      <c r="C2998" s="32" t="s">
        <v>776</v>
      </c>
      <c r="D2998" s="32" t="s">
        <v>776</v>
      </c>
      <c r="E2998" s="33" t="s">
        <v>777</v>
      </c>
      <c r="F2998" s="34">
        <v>98807</v>
      </c>
      <c r="G2998" s="34">
        <v>119268</v>
      </c>
      <c r="H2998" s="35" t="s">
        <v>4124</v>
      </c>
    </row>
    <row r="2999" spans="1:8" ht="27" customHeight="1" x14ac:dyDescent="0.2">
      <c r="A2999" s="31" t="s">
        <v>4112</v>
      </c>
      <c r="B2999" s="32" t="s">
        <v>321</v>
      </c>
      <c r="C2999" s="32" t="s">
        <v>798</v>
      </c>
      <c r="D2999" s="32" t="s">
        <v>1049</v>
      </c>
      <c r="E2999" s="33" t="s">
        <v>800</v>
      </c>
      <c r="F2999" s="34">
        <v>0</v>
      </c>
      <c r="G2999" s="34">
        <v>0</v>
      </c>
      <c r="H2999" s="35" t="s">
        <v>1049</v>
      </c>
    </row>
    <row r="3000" spans="1:8" ht="27" customHeight="1" x14ac:dyDescent="0.2">
      <c r="A3000" s="31" t="s">
        <v>4112</v>
      </c>
      <c r="B3000" s="32" t="s">
        <v>321</v>
      </c>
      <c r="C3000" s="32" t="s">
        <v>892</v>
      </c>
      <c r="D3000" s="32" t="s">
        <v>1049</v>
      </c>
      <c r="E3000" s="33" t="s">
        <v>893</v>
      </c>
      <c r="F3000" s="34">
        <v>0</v>
      </c>
      <c r="G3000" s="34">
        <v>0</v>
      </c>
      <c r="H3000" s="35" t="s">
        <v>1049</v>
      </c>
    </row>
    <row r="3001" spans="1:8" ht="27" customHeight="1" x14ac:dyDescent="0.2">
      <c r="A3001" s="31" t="s">
        <v>4112</v>
      </c>
      <c r="B3001" s="32" t="s">
        <v>321</v>
      </c>
      <c r="C3001" s="32" t="s">
        <v>779</v>
      </c>
      <c r="D3001" s="32" t="s">
        <v>779</v>
      </c>
      <c r="E3001" s="33" t="s">
        <v>780</v>
      </c>
      <c r="F3001" s="34">
        <v>77235</v>
      </c>
      <c r="G3001" s="34">
        <v>68709</v>
      </c>
      <c r="H3001" s="35" t="s">
        <v>4125</v>
      </c>
    </row>
    <row r="3002" spans="1:8" ht="27" customHeight="1" x14ac:dyDescent="0.2">
      <c r="A3002" s="31" t="s">
        <v>4112</v>
      </c>
      <c r="B3002" s="32" t="s">
        <v>321</v>
      </c>
      <c r="C3002" s="32" t="s">
        <v>782</v>
      </c>
      <c r="D3002" s="32" t="s">
        <v>782</v>
      </c>
      <c r="E3002" s="33" t="s">
        <v>784</v>
      </c>
      <c r="F3002" s="34">
        <v>703067</v>
      </c>
      <c r="G3002" s="34">
        <v>896811</v>
      </c>
      <c r="H3002" s="35" t="s">
        <v>4126</v>
      </c>
    </row>
    <row r="3003" spans="1:8" ht="27" customHeight="1" x14ac:dyDescent="0.2">
      <c r="A3003" s="31" t="s">
        <v>4127</v>
      </c>
      <c r="B3003" s="32" t="s">
        <v>4128</v>
      </c>
      <c r="C3003" s="32" t="s">
        <v>763</v>
      </c>
      <c r="D3003" s="32" t="s">
        <v>816</v>
      </c>
      <c r="E3003" s="33" t="s">
        <v>764</v>
      </c>
      <c r="F3003" s="34">
        <v>69562</v>
      </c>
      <c r="G3003" s="34">
        <v>269562</v>
      </c>
      <c r="H3003" s="35" t="s">
        <v>4129</v>
      </c>
    </row>
    <row r="3004" spans="1:8" ht="27" customHeight="1" x14ac:dyDescent="0.2">
      <c r="A3004" s="31" t="s">
        <v>4127</v>
      </c>
      <c r="B3004" s="32" t="s">
        <v>4128</v>
      </c>
      <c r="C3004" s="32" t="s">
        <v>770</v>
      </c>
      <c r="D3004" s="32" t="s">
        <v>970</v>
      </c>
      <c r="E3004" s="33" t="s">
        <v>772</v>
      </c>
      <c r="F3004" s="34">
        <v>1302853</v>
      </c>
      <c r="G3004" s="34">
        <v>1302853</v>
      </c>
      <c r="H3004" s="35" t="s">
        <v>4130</v>
      </c>
    </row>
    <row r="3005" spans="1:8" ht="27" customHeight="1" x14ac:dyDescent="0.2">
      <c r="A3005" s="31" t="s">
        <v>4127</v>
      </c>
      <c r="B3005" s="32" t="s">
        <v>4128</v>
      </c>
      <c r="C3005" s="32" t="s">
        <v>844</v>
      </c>
      <c r="D3005" s="32" t="s">
        <v>972</v>
      </c>
      <c r="E3005" s="33" t="s">
        <v>846</v>
      </c>
      <c r="F3005" s="34">
        <v>129276</v>
      </c>
      <c r="G3005" s="34">
        <v>129276</v>
      </c>
      <c r="H3005" s="35" t="s">
        <v>4131</v>
      </c>
    </row>
    <row r="3006" spans="1:8" ht="27" customHeight="1" x14ac:dyDescent="0.2">
      <c r="A3006" s="31" t="s">
        <v>4127</v>
      </c>
      <c r="B3006" s="32" t="s">
        <v>4128</v>
      </c>
      <c r="C3006" s="32" t="s">
        <v>860</v>
      </c>
      <c r="D3006" s="32" t="s">
        <v>911</v>
      </c>
      <c r="E3006" s="33" t="s">
        <v>861</v>
      </c>
      <c r="F3006" s="34">
        <v>382789</v>
      </c>
      <c r="G3006" s="34">
        <v>372789</v>
      </c>
      <c r="H3006" s="35" t="s">
        <v>4132</v>
      </c>
    </row>
    <row r="3007" spans="1:8" ht="27" customHeight="1" x14ac:dyDescent="0.2">
      <c r="A3007" s="31" t="s">
        <v>4127</v>
      </c>
      <c r="B3007" s="32" t="s">
        <v>4128</v>
      </c>
      <c r="C3007" s="32" t="s">
        <v>779</v>
      </c>
      <c r="D3007" s="32" t="s">
        <v>826</v>
      </c>
      <c r="E3007" s="33" t="s">
        <v>780</v>
      </c>
      <c r="F3007" s="34">
        <v>339700</v>
      </c>
      <c r="G3007" s="34">
        <v>399700</v>
      </c>
      <c r="H3007" s="35" t="s">
        <v>4133</v>
      </c>
    </row>
    <row r="3008" spans="1:8" ht="27" customHeight="1" x14ac:dyDescent="0.2">
      <c r="A3008" s="31" t="s">
        <v>4127</v>
      </c>
      <c r="B3008" s="32" t="s">
        <v>4128</v>
      </c>
      <c r="C3008" s="32" t="s">
        <v>782</v>
      </c>
      <c r="D3008" s="32" t="s">
        <v>4134</v>
      </c>
      <c r="E3008" s="33" t="s">
        <v>784</v>
      </c>
      <c r="F3008" s="34">
        <v>31807</v>
      </c>
      <c r="G3008" s="34">
        <v>31807</v>
      </c>
      <c r="H3008" s="35" t="s">
        <v>4135</v>
      </c>
    </row>
    <row r="3009" spans="1:8" ht="27" customHeight="1" x14ac:dyDescent="0.2">
      <c r="A3009" s="31" t="s">
        <v>4136</v>
      </c>
      <c r="B3009" s="32" t="s">
        <v>4137</v>
      </c>
      <c r="C3009" s="32" t="s">
        <v>763</v>
      </c>
      <c r="D3009" s="32" t="s">
        <v>816</v>
      </c>
      <c r="E3009" s="33" t="s">
        <v>764</v>
      </c>
      <c r="F3009" s="34">
        <v>378131</v>
      </c>
      <c r="G3009" s="34">
        <v>550000</v>
      </c>
      <c r="H3009" s="35" t="s">
        <v>4138</v>
      </c>
    </row>
    <row r="3010" spans="1:8" ht="27" customHeight="1" x14ac:dyDescent="0.2">
      <c r="A3010" s="31" t="s">
        <v>4136</v>
      </c>
      <c r="B3010" s="32" t="s">
        <v>4137</v>
      </c>
      <c r="C3010" s="32" t="s">
        <v>770</v>
      </c>
      <c r="D3010" s="32" t="s">
        <v>1011</v>
      </c>
      <c r="E3010" s="33" t="s">
        <v>772</v>
      </c>
      <c r="F3010" s="34">
        <v>130845</v>
      </c>
      <c r="G3010" s="34">
        <v>115204</v>
      </c>
      <c r="H3010" s="35" t="s">
        <v>4139</v>
      </c>
    </row>
    <row r="3011" spans="1:8" ht="27" customHeight="1" x14ac:dyDescent="0.2">
      <c r="A3011" s="31" t="s">
        <v>4136</v>
      </c>
      <c r="B3011" s="32" t="s">
        <v>4137</v>
      </c>
      <c r="C3011" s="32" t="s">
        <v>844</v>
      </c>
      <c r="D3011" s="32" t="s">
        <v>972</v>
      </c>
      <c r="E3011" s="33" t="s">
        <v>846</v>
      </c>
      <c r="F3011" s="34">
        <v>27003</v>
      </c>
      <c r="G3011" s="34">
        <v>27003</v>
      </c>
      <c r="H3011" s="35" t="s">
        <v>1547</v>
      </c>
    </row>
    <row r="3012" spans="1:8" ht="27" customHeight="1" x14ac:dyDescent="0.2">
      <c r="A3012" s="31" t="s">
        <v>4136</v>
      </c>
      <c r="B3012" s="32" t="s">
        <v>4137</v>
      </c>
      <c r="C3012" s="32" t="s">
        <v>860</v>
      </c>
      <c r="D3012" s="32" t="s">
        <v>911</v>
      </c>
      <c r="E3012" s="33" t="s">
        <v>861</v>
      </c>
      <c r="F3012" s="34">
        <v>75896</v>
      </c>
      <c r="G3012" s="34">
        <v>75896</v>
      </c>
      <c r="H3012" s="35" t="s">
        <v>1547</v>
      </c>
    </row>
    <row r="3013" spans="1:8" ht="27" customHeight="1" x14ac:dyDescent="0.2">
      <c r="A3013" s="31" t="s">
        <v>4136</v>
      </c>
      <c r="B3013" s="32" t="s">
        <v>4137</v>
      </c>
      <c r="C3013" s="32" t="s">
        <v>796</v>
      </c>
      <c r="D3013" s="32" t="s">
        <v>1444</v>
      </c>
      <c r="E3013" s="33" t="s">
        <v>772</v>
      </c>
      <c r="F3013" s="34">
        <v>604982</v>
      </c>
      <c r="G3013" s="34">
        <v>604982</v>
      </c>
      <c r="H3013" s="35" t="s">
        <v>1547</v>
      </c>
    </row>
    <row r="3014" spans="1:8" ht="27" customHeight="1" x14ac:dyDescent="0.2">
      <c r="A3014" s="31" t="s">
        <v>4136</v>
      </c>
      <c r="B3014" s="32" t="s">
        <v>4137</v>
      </c>
      <c r="C3014" s="32" t="s">
        <v>779</v>
      </c>
      <c r="D3014" s="32" t="s">
        <v>826</v>
      </c>
      <c r="E3014" s="33" t="s">
        <v>780</v>
      </c>
      <c r="F3014" s="34">
        <v>86424</v>
      </c>
      <c r="G3014" s="34">
        <v>86424</v>
      </c>
      <c r="H3014" s="35" t="s">
        <v>1547</v>
      </c>
    </row>
    <row r="3015" spans="1:8" ht="27" customHeight="1" x14ac:dyDescent="0.2">
      <c r="A3015" s="31" t="s">
        <v>4140</v>
      </c>
      <c r="B3015" s="32" t="s">
        <v>4141</v>
      </c>
      <c r="C3015" s="32" t="s">
        <v>763</v>
      </c>
      <c r="D3015" s="32" t="s">
        <v>816</v>
      </c>
      <c r="E3015" s="33" t="s">
        <v>764</v>
      </c>
      <c r="F3015" s="34">
        <v>152842</v>
      </c>
      <c r="G3015" s="34">
        <v>153292</v>
      </c>
      <c r="H3015" s="35" t="s">
        <v>4142</v>
      </c>
    </row>
    <row r="3016" spans="1:8" ht="27" customHeight="1" x14ac:dyDescent="0.2">
      <c r="A3016" s="31" t="s">
        <v>4140</v>
      </c>
      <c r="B3016" s="32" t="s">
        <v>4141</v>
      </c>
      <c r="C3016" s="32" t="s">
        <v>766</v>
      </c>
      <c r="D3016" s="32" t="s">
        <v>818</v>
      </c>
      <c r="E3016" s="33" t="s">
        <v>768</v>
      </c>
      <c r="F3016" s="34">
        <v>1016820</v>
      </c>
      <c r="G3016" s="34">
        <v>944820</v>
      </c>
      <c r="H3016" s="35" t="s">
        <v>4143</v>
      </c>
    </row>
    <row r="3017" spans="1:8" ht="27" customHeight="1" x14ac:dyDescent="0.2">
      <c r="A3017" s="31" t="s">
        <v>4140</v>
      </c>
      <c r="B3017" s="32" t="s">
        <v>4141</v>
      </c>
      <c r="C3017" s="32" t="s">
        <v>770</v>
      </c>
      <c r="D3017" s="32" t="s">
        <v>1260</v>
      </c>
      <c r="E3017" s="33" t="s">
        <v>772</v>
      </c>
      <c r="F3017" s="34">
        <v>359956</v>
      </c>
      <c r="G3017" s="34">
        <v>349956</v>
      </c>
      <c r="H3017" s="35" t="s">
        <v>4144</v>
      </c>
    </row>
    <row r="3018" spans="1:8" ht="27" customHeight="1" x14ac:dyDescent="0.2">
      <c r="A3018" s="31" t="s">
        <v>4140</v>
      </c>
      <c r="B3018" s="32" t="s">
        <v>4141</v>
      </c>
      <c r="C3018" s="32" t="s">
        <v>796</v>
      </c>
      <c r="D3018" s="32" t="s">
        <v>4145</v>
      </c>
      <c r="E3018" s="33" t="s">
        <v>772</v>
      </c>
      <c r="F3018" s="34">
        <v>114362</v>
      </c>
      <c r="G3018" s="34">
        <v>115000</v>
      </c>
      <c r="H3018" s="35" t="s">
        <v>4146</v>
      </c>
    </row>
    <row r="3019" spans="1:8" ht="27" customHeight="1" x14ac:dyDescent="0.2">
      <c r="A3019" s="31" t="s">
        <v>4140</v>
      </c>
      <c r="B3019" s="32" t="s">
        <v>4141</v>
      </c>
      <c r="C3019" s="32" t="s">
        <v>779</v>
      </c>
      <c r="D3019" s="32" t="s">
        <v>876</v>
      </c>
      <c r="E3019" s="33" t="s">
        <v>780</v>
      </c>
      <c r="F3019" s="34">
        <v>357547</v>
      </c>
      <c r="G3019" s="34">
        <v>344747</v>
      </c>
      <c r="H3019" s="35" t="s">
        <v>4147</v>
      </c>
    </row>
    <row r="3020" spans="1:8" ht="27" customHeight="1" x14ac:dyDescent="0.2">
      <c r="A3020" s="31" t="s">
        <v>4148</v>
      </c>
      <c r="B3020" s="32" t="s">
        <v>4149</v>
      </c>
      <c r="C3020" s="32" t="s">
        <v>763</v>
      </c>
      <c r="D3020" s="32" t="s">
        <v>4150</v>
      </c>
      <c r="E3020" s="33" t="s">
        <v>764</v>
      </c>
      <c r="F3020" s="34">
        <v>605714</v>
      </c>
      <c r="G3020" s="34">
        <v>805950</v>
      </c>
      <c r="H3020" s="35" t="s">
        <v>4151</v>
      </c>
    </row>
    <row r="3021" spans="1:8" ht="27" customHeight="1" x14ac:dyDescent="0.2">
      <c r="A3021" s="31" t="s">
        <v>4148</v>
      </c>
      <c r="B3021" s="32" t="s">
        <v>4149</v>
      </c>
      <c r="C3021" s="32" t="s">
        <v>763</v>
      </c>
      <c r="D3021" s="32" t="s">
        <v>2605</v>
      </c>
      <c r="E3021" s="33" t="s">
        <v>764</v>
      </c>
      <c r="F3021" s="34">
        <v>1044366</v>
      </c>
      <c r="G3021" s="34">
        <v>1044550</v>
      </c>
      <c r="H3021" s="35" t="s">
        <v>4152</v>
      </c>
    </row>
    <row r="3022" spans="1:8" ht="27" customHeight="1" x14ac:dyDescent="0.2">
      <c r="A3022" s="31" t="s">
        <v>4148</v>
      </c>
      <c r="B3022" s="32" t="s">
        <v>4149</v>
      </c>
      <c r="C3022" s="32" t="s">
        <v>766</v>
      </c>
      <c r="D3022" s="32" t="s">
        <v>832</v>
      </c>
      <c r="E3022" s="33" t="s">
        <v>768</v>
      </c>
      <c r="F3022" s="34">
        <v>880203</v>
      </c>
      <c r="G3022" s="34">
        <v>880500</v>
      </c>
      <c r="H3022" s="35" t="s">
        <v>4153</v>
      </c>
    </row>
    <row r="3023" spans="1:8" ht="27" customHeight="1" x14ac:dyDescent="0.2">
      <c r="A3023" s="31" t="s">
        <v>4148</v>
      </c>
      <c r="B3023" s="32" t="s">
        <v>4149</v>
      </c>
      <c r="C3023" s="32" t="s">
        <v>770</v>
      </c>
      <c r="D3023" s="32" t="s">
        <v>1260</v>
      </c>
      <c r="E3023" s="33" t="s">
        <v>772</v>
      </c>
      <c r="F3023" s="34">
        <v>176298</v>
      </c>
      <c r="G3023" s="34">
        <v>176350</v>
      </c>
      <c r="H3023" s="35" t="s">
        <v>4154</v>
      </c>
    </row>
    <row r="3024" spans="1:8" ht="27" customHeight="1" x14ac:dyDescent="0.2">
      <c r="A3024" s="31" t="s">
        <v>4148</v>
      </c>
      <c r="B3024" s="32" t="s">
        <v>4149</v>
      </c>
      <c r="C3024" s="32" t="s">
        <v>779</v>
      </c>
      <c r="D3024" s="32" t="s">
        <v>826</v>
      </c>
      <c r="E3024" s="33" t="s">
        <v>780</v>
      </c>
      <c r="F3024" s="34">
        <v>40367</v>
      </c>
      <c r="G3024" s="34">
        <v>40375</v>
      </c>
      <c r="H3024" s="35" t="s">
        <v>1261</v>
      </c>
    </row>
    <row r="3025" spans="1:8" ht="27" customHeight="1" x14ac:dyDescent="0.2">
      <c r="A3025" s="31" t="s">
        <v>4155</v>
      </c>
      <c r="B3025" s="32" t="s">
        <v>4156</v>
      </c>
      <c r="C3025" s="32" t="s">
        <v>763</v>
      </c>
      <c r="D3025" s="32" t="s">
        <v>816</v>
      </c>
      <c r="E3025" s="33" t="s">
        <v>764</v>
      </c>
      <c r="F3025" s="34">
        <v>2758914</v>
      </c>
      <c r="G3025" s="34">
        <v>3058914</v>
      </c>
      <c r="H3025" s="35" t="s">
        <v>4157</v>
      </c>
    </row>
    <row r="3026" spans="1:8" ht="27" customHeight="1" x14ac:dyDescent="0.2">
      <c r="A3026" s="31" t="s">
        <v>4155</v>
      </c>
      <c r="B3026" s="32" t="s">
        <v>4156</v>
      </c>
      <c r="C3026" s="32" t="s">
        <v>770</v>
      </c>
      <c r="D3026" s="32" t="s">
        <v>919</v>
      </c>
      <c r="E3026" s="33" t="s">
        <v>772</v>
      </c>
      <c r="F3026" s="34">
        <v>8495485</v>
      </c>
      <c r="G3026" s="34">
        <v>8405485</v>
      </c>
      <c r="H3026" s="35" t="s">
        <v>4158</v>
      </c>
    </row>
    <row r="3027" spans="1:8" ht="27" customHeight="1" x14ac:dyDescent="0.2">
      <c r="A3027" s="31" t="s">
        <v>4155</v>
      </c>
      <c r="B3027" s="32" t="s">
        <v>4156</v>
      </c>
      <c r="C3027" s="32" t="s">
        <v>796</v>
      </c>
      <c r="D3027" s="32" t="s">
        <v>4159</v>
      </c>
      <c r="E3027" s="33" t="s">
        <v>823</v>
      </c>
      <c r="F3027" s="34">
        <v>4006465</v>
      </c>
      <c r="G3027" s="34">
        <v>4006465</v>
      </c>
      <c r="H3027" s="35" t="s">
        <v>4160</v>
      </c>
    </row>
    <row r="3028" spans="1:8" ht="27" customHeight="1" x14ac:dyDescent="0.2">
      <c r="A3028" s="31" t="s">
        <v>4155</v>
      </c>
      <c r="B3028" s="32" t="s">
        <v>4156</v>
      </c>
      <c r="C3028" s="32" t="s">
        <v>776</v>
      </c>
      <c r="D3028" s="32" t="s">
        <v>812</v>
      </c>
      <c r="E3028" s="33" t="s">
        <v>777</v>
      </c>
      <c r="F3028" s="34">
        <v>1000000</v>
      </c>
      <c r="G3028" s="34">
        <v>1000000</v>
      </c>
      <c r="H3028" s="35" t="s">
        <v>4161</v>
      </c>
    </row>
    <row r="3029" spans="1:8" ht="27" customHeight="1" x14ac:dyDescent="0.2">
      <c r="A3029" s="31" t="s">
        <v>4155</v>
      </c>
      <c r="B3029" s="32" t="s">
        <v>4156</v>
      </c>
      <c r="C3029" s="32" t="s">
        <v>779</v>
      </c>
      <c r="D3029" s="32" t="s">
        <v>826</v>
      </c>
      <c r="E3029" s="33" t="s">
        <v>780</v>
      </c>
      <c r="F3029" s="34">
        <v>377180</v>
      </c>
      <c r="G3029" s="34">
        <v>377180</v>
      </c>
      <c r="H3029" s="35" t="s">
        <v>4162</v>
      </c>
    </row>
    <row r="3030" spans="1:8" ht="27" customHeight="1" x14ac:dyDescent="0.2">
      <c r="A3030" s="31" t="s">
        <v>4155</v>
      </c>
      <c r="B3030" s="32" t="s">
        <v>4156</v>
      </c>
      <c r="C3030" s="32" t="s">
        <v>782</v>
      </c>
      <c r="D3030" s="32" t="s">
        <v>964</v>
      </c>
      <c r="E3030" s="33" t="s">
        <v>784</v>
      </c>
      <c r="F3030" s="34">
        <v>1289705</v>
      </c>
      <c r="G3030" s="34">
        <v>1289705</v>
      </c>
      <c r="H3030" s="35" t="s">
        <v>4163</v>
      </c>
    </row>
    <row r="3031" spans="1:8" ht="27" customHeight="1" x14ac:dyDescent="0.2">
      <c r="A3031" s="31" t="s">
        <v>4164</v>
      </c>
      <c r="B3031" s="32" t="s">
        <v>479</v>
      </c>
      <c r="C3031" s="32" t="s">
        <v>770</v>
      </c>
      <c r="D3031" s="32" t="s">
        <v>810</v>
      </c>
      <c r="E3031" s="33" t="s">
        <v>772</v>
      </c>
      <c r="F3031" s="34">
        <v>69373</v>
      </c>
      <c r="G3031" s="34">
        <v>145067</v>
      </c>
      <c r="H3031" s="35" t="s">
        <v>4165</v>
      </c>
    </row>
    <row r="3032" spans="1:8" ht="27" customHeight="1" x14ac:dyDescent="0.2">
      <c r="A3032" s="31" t="s">
        <v>4164</v>
      </c>
      <c r="B3032" s="32" t="s">
        <v>479</v>
      </c>
      <c r="C3032" s="32" t="s">
        <v>773</v>
      </c>
      <c r="D3032" s="32" t="s">
        <v>973</v>
      </c>
      <c r="E3032" s="33" t="s">
        <v>775</v>
      </c>
      <c r="F3032" s="34">
        <v>0</v>
      </c>
      <c r="G3032" s="34">
        <v>15000</v>
      </c>
      <c r="H3032" s="35" t="s">
        <v>4166</v>
      </c>
    </row>
    <row r="3033" spans="1:8" ht="27" customHeight="1" x14ac:dyDescent="0.2">
      <c r="A3033" s="31" t="s">
        <v>4164</v>
      </c>
      <c r="B3033" s="32" t="s">
        <v>479</v>
      </c>
      <c r="C3033" s="32" t="s">
        <v>886</v>
      </c>
      <c r="D3033" s="32" t="s">
        <v>1013</v>
      </c>
      <c r="E3033" s="33" t="s">
        <v>887</v>
      </c>
      <c r="F3033" s="34">
        <v>0</v>
      </c>
      <c r="G3033" s="34">
        <v>15000</v>
      </c>
      <c r="H3033" s="35" t="s">
        <v>4167</v>
      </c>
    </row>
    <row r="3034" spans="1:8" ht="27" customHeight="1" x14ac:dyDescent="0.2">
      <c r="A3034" s="31" t="s">
        <v>4164</v>
      </c>
      <c r="B3034" s="32" t="s">
        <v>479</v>
      </c>
      <c r="C3034" s="32" t="s">
        <v>796</v>
      </c>
      <c r="D3034" s="32" t="s">
        <v>796</v>
      </c>
      <c r="E3034" s="33" t="s">
        <v>823</v>
      </c>
      <c r="F3034" s="34">
        <v>723099</v>
      </c>
      <c r="G3034" s="34">
        <v>730330</v>
      </c>
      <c r="H3034" s="35" t="s">
        <v>4168</v>
      </c>
    </row>
    <row r="3035" spans="1:8" ht="27" customHeight="1" x14ac:dyDescent="0.2">
      <c r="A3035" s="31" t="s">
        <v>4164</v>
      </c>
      <c r="B3035" s="32" t="s">
        <v>479</v>
      </c>
      <c r="C3035" s="32" t="s">
        <v>779</v>
      </c>
      <c r="D3035" s="32" t="s">
        <v>4169</v>
      </c>
      <c r="E3035" s="33" t="s">
        <v>780</v>
      </c>
      <c r="F3035" s="34">
        <v>921349</v>
      </c>
      <c r="G3035" s="34">
        <v>930562</v>
      </c>
      <c r="H3035" s="35" t="s">
        <v>4170</v>
      </c>
    </row>
    <row r="3036" spans="1:8" ht="27" customHeight="1" x14ac:dyDescent="0.2">
      <c r="A3036" s="31" t="s">
        <v>4164</v>
      </c>
      <c r="B3036" s="32" t="s">
        <v>479</v>
      </c>
      <c r="C3036" s="32" t="s">
        <v>782</v>
      </c>
      <c r="D3036" s="32" t="s">
        <v>813</v>
      </c>
      <c r="E3036" s="33" t="s">
        <v>784</v>
      </c>
      <c r="F3036" s="34">
        <v>128820</v>
      </c>
      <c r="G3036" s="34">
        <v>130108</v>
      </c>
      <c r="H3036" s="35" t="s">
        <v>4171</v>
      </c>
    </row>
    <row r="3037" spans="1:8" ht="27" customHeight="1" x14ac:dyDescent="0.2">
      <c r="A3037" s="31" t="s">
        <v>4172</v>
      </c>
      <c r="B3037" s="32" t="s">
        <v>4173</v>
      </c>
      <c r="C3037" s="32" t="s">
        <v>763</v>
      </c>
      <c r="D3037" s="32" t="s">
        <v>816</v>
      </c>
      <c r="E3037" s="33" t="s">
        <v>764</v>
      </c>
      <c r="F3037" s="34">
        <v>1008822</v>
      </c>
      <c r="G3037" s="34">
        <v>1011000</v>
      </c>
      <c r="H3037" s="35" t="s">
        <v>1261</v>
      </c>
    </row>
    <row r="3038" spans="1:8" ht="27" customHeight="1" x14ac:dyDescent="0.2">
      <c r="A3038" s="31" t="s">
        <v>4172</v>
      </c>
      <c r="B3038" s="32" t="s">
        <v>4173</v>
      </c>
      <c r="C3038" s="32" t="s">
        <v>766</v>
      </c>
      <c r="D3038" s="32" t="s">
        <v>832</v>
      </c>
      <c r="E3038" s="33" t="s">
        <v>768</v>
      </c>
      <c r="F3038" s="34">
        <v>542402</v>
      </c>
      <c r="G3038" s="34">
        <v>834500</v>
      </c>
      <c r="H3038" s="35" t="s">
        <v>4174</v>
      </c>
    </row>
    <row r="3039" spans="1:8" ht="27" customHeight="1" x14ac:dyDescent="0.2">
      <c r="A3039" s="31" t="s">
        <v>4172</v>
      </c>
      <c r="B3039" s="32" t="s">
        <v>4173</v>
      </c>
      <c r="C3039" s="32" t="s">
        <v>770</v>
      </c>
      <c r="D3039" s="32" t="s">
        <v>770</v>
      </c>
      <c r="E3039" s="33" t="s">
        <v>772</v>
      </c>
      <c r="F3039" s="34">
        <v>251556</v>
      </c>
      <c r="G3039" s="34">
        <v>252090</v>
      </c>
      <c r="H3039" s="35" t="s">
        <v>4175</v>
      </c>
    </row>
    <row r="3040" spans="1:8" ht="27" customHeight="1" x14ac:dyDescent="0.2">
      <c r="A3040" s="31" t="s">
        <v>4172</v>
      </c>
      <c r="B3040" s="32" t="s">
        <v>4173</v>
      </c>
      <c r="C3040" s="32" t="s">
        <v>773</v>
      </c>
      <c r="D3040" s="32" t="s">
        <v>973</v>
      </c>
      <c r="E3040" s="33" t="s">
        <v>775</v>
      </c>
      <c r="F3040" s="34">
        <v>101814</v>
      </c>
      <c r="G3040" s="34">
        <v>102930</v>
      </c>
      <c r="H3040" s="35" t="s">
        <v>1261</v>
      </c>
    </row>
    <row r="3041" spans="1:8" ht="27" customHeight="1" x14ac:dyDescent="0.2">
      <c r="A3041" s="31" t="s">
        <v>4172</v>
      </c>
      <c r="B3041" s="32" t="s">
        <v>4173</v>
      </c>
      <c r="C3041" s="32" t="s">
        <v>886</v>
      </c>
      <c r="D3041" s="32" t="s">
        <v>1013</v>
      </c>
      <c r="E3041" s="33" t="s">
        <v>887</v>
      </c>
      <c r="F3041" s="34">
        <v>203628</v>
      </c>
      <c r="G3041" s="34">
        <v>205860</v>
      </c>
      <c r="H3041" s="35" t="s">
        <v>1261</v>
      </c>
    </row>
    <row r="3042" spans="1:8" ht="27" customHeight="1" x14ac:dyDescent="0.2">
      <c r="A3042" s="31" t="s">
        <v>4172</v>
      </c>
      <c r="B3042" s="32" t="s">
        <v>4173</v>
      </c>
      <c r="C3042" s="32" t="s">
        <v>796</v>
      </c>
      <c r="D3042" s="32" t="s">
        <v>796</v>
      </c>
      <c r="E3042" s="33" t="s">
        <v>772</v>
      </c>
      <c r="F3042" s="34">
        <v>1944988</v>
      </c>
      <c r="G3042" s="34">
        <v>1948300</v>
      </c>
      <c r="H3042" s="35" t="s">
        <v>4176</v>
      </c>
    </row>
    <row r="3043" spans="1:8" ht="27" customHeight="1" x14ac:dyDescent="0.2">
      <c r="A3043" s="31" t="s">
        <v>4172</v>
      </c>
      <c r="B3043" s="32" t="s">
        <v>4173</v>
      </c>
      <c r="C3043" s="32" t="s">
        <v>776</v>
      </c>
      <c r="D3043" s="32" t="s">
        <v>914</v>
      </c>
      <c r="E3043" s="33" t="s">
        <v>777</v>
      </c>
      <c r="F3043" s="34">
        <v>12226</v>
      </c>
      <c r="G3043" s="34">
        <v>12360</v>
      </c>
      <c r="H3043" s="35" t="s">
        <v>4177</v>
      </c>
    </row>
    <row r="3044" spans="1:8" ht="27" customHeight="1" x14ac:dyDescent="0.2">
      <c r="A3044" s="31" t="s">
        <v>4172</v>
      </c>
      <c r="B3044" s="32" t="s">
        <v>4173</v>
      </c>
      <c r="C3044" s="32" t="s">
        <v>779</v>
      </c>
      <c r="D3044" s="32" t="s">
        <v>876</v>
      </c>
      <c r="E3044" s="33" t="s">
        <v>780</v>
      </c>
      <c r="F3044" s="34">
        <v>160140</v>
      </c>
      <c r="G3044" s="34">
        <v>81700</v>
      </c>
      <c r="H3044" s="35" t="s">
        <v>4178</v>
      </c>
    </row>
    <row r="3045" spans="1:8" ht="27" customHeight="1" x14ac:dyDescent="0.2">
      <c r="A3045" s="31" t="s">
        <v>4172</v>
      </c>
      <c r="B3045" s="32" t="s">
        <v>4173</v>
      </c>
      <c r="C3045" s="32" t="s">
        <v>782</v>
      </c>
      <c r="D3045" s="32" t="s">
        <v>813</v>
      </c>
      <c r="E3045" s="33" t="s">
        <v>784</v>
      </c>
      <c r="F3045" s="34">
        <v>270492</v>
      </c>
      <c r="G3045" s="34">
        <v>271000</v>
      </c>
      <c r="H3045" s="35" t="s">
        <v>4179</v>
      </c>
    </row>
    <row r="3046" spans="1:8" ht="27" customHeight="1" x14ac:dyDescent="0.2">
      <c r="A3046" s="31" t="s">
        <v>4180</v>
      </c>
      <c r="B3046" s="32" t="s">
        <v>4181</v>
      </c>
      <c r="C3046" s="32" t="s">
        <v>770</v>
      </c>
      <c r="D3046" s="32" t="s">
        <v>4182</v>
      </c>
      <c r="E3046" s="33" t="s">
        <v>772</v>
      </c>
      <c r="F3046" s="34">
        <v>137885</v>
      </c>
      <c r="G3046" s="34">
        <v>138092</v>
      </c>
      <c r="H3046" s="35" t="s">
        <v>4183</v>
      </c>
    </row>
    <row r="3047" spans="1:8" ht="27" customHeight="1" x14ac:dyDescent="0.2">
      <c r="A3047" s="31" t="s">
        <v>4180</v>
      </c>
      <c r="B3047" s="32" t="s">
        <v>4181</v>
      </c>
      <c r="C3047" s="32" t="s">
        <v>831</v>
      </c>
      <c r="D3047" s="32" t="s">
        <v>4184</v>
      </c>
      <c r="E3047" s="33" t="s">
        <v>4185</v>
      </c>
      <c r="F3047" s="34">
        <v>24538</v>
      </c>
      <c r="G3047" s="34">
        <v>24538</v>
      </c>
      <c r="H3047" s="35" t="s">
        <v>4186</v>
      </c>
    </row>
    <row r="3048" spans="1:8" ht="27" customHeight="1" x14ac:dyDescent="0.2">
      <c r="A3048" s="31" t="s">
        <v>4180</v>
      </c>
      <c r="B3048" s="32" t="s">
        <v>4181</v>
      </c>
      <c r="C3048" s="32" t="s">
        <v>796</v>
      </c>
      <c r="D3048" s="32" t="s">
        <v>4187</v>
      </c>
      <c r="E3048" s="33" t="s">
        <v>772</v>
      </c>
      <c r="F3048" s="34">
        <v>277537</v>
      </c>
      <c r="G3048" s="34">
        <v>662063</v>
      </c>
      <c r="H3048" s="35" t="s">
        <v>4188</v>
      </c>
    </row>
    <row r="3049" spans="1:8" ht="27" customHeight="1" x14ac:dyDescent="0.2">
      <c r="A3049" s="31" t="s">
        <v>4180</v>
      </c>
      <c r="B3049" s="32" t="s">
        <v>4181</v>
      </c>
      <c r="C3049" s="32" t="s">
        <v>776</v>
      </c>
      <c r="D3049" s="32" t="s">
        <v>4189</v>
      </c>
      <c r="E3049" s="33" t="s">
        <v>777</v>
      </c>
      <c r="F3049" s="34">
        <v>339829</v>
      </c>
      <c r="G3049" s="34">
        <v>327415</v>
      </c>
      <c r="H3049" s="35" t="s">
        <v>4190</v>
      </c>
    </row>
    <row r="3050" spans="1:8" ht="27" customHeight="1" x14ac:dyDescent="0.2">
      <c r="A3050" s="31" t="s">
        <v>4180</v>
      </c>
      <c r="B3050" s="32" t="s">
        <v>4181</v>
      </c>
      <c r="C3050" s="32" t="s">
        <v>779</v>
      </c>
      <c r="D3050" s="32" t="s">
        <v>876</v>
      </c>
      <c r="E3050" s="33" t="s">
        <v>780</v>
      </c>
      <c r="F3050" s="34">
        <v>83784</v>
      </c>
      <c r="G3050" s="34">
        <v>100000</v>
      </c>
      <c r="H3050" s="35" t="s">
        <v>4191</v>
      </c>
    </row>
    <row r="3051" spans="1:8" ht="27" customHeight="1" x14ac:dyDescent="0.2">
      <c r="A3051" s="31" t="s">
        <v>4192</v>
      </c>
      <c r="B3051" s="32" t="s">
        <v>4193</v>
      </c>
      <c r="C3051" s="32" t="s">
        <v>770</v>
      </c>
      <c r="D3051" s="32" t="s">
        <v>2421</v>
      </c>
      <c r="E3051" s="33" t="s">
        <v>772</v>
      </c>
      <c r="F3051" s="34">
        <v>305383</v>
      </c>
      <c r="G3051" s="34">
        <v>305383</v>
      </c>
      <c r="H3051" s="35" t="s">
        <v>4194</v>
      </c>
    </row>
    <row r="3052" spans="1:8" ht="27" customHeight="1" x14ac:dyDescent="0.2">
      <c r="A3052" s="31" t="s">
        <v>4192</v>
      </c>
      <c r="B3052" s="32" t="s">
        <v>4193</v>
      </c>
      <c r="C3052" s="32" t="s">
        <v>796</v>
      </c>
      <c r="D3052" s="32" t="s">
        <v>1116</v>
      </c>
      <c r="E3052" s="33" t="s">
        <v>772</v>
      </c>
      <c r="F3052" s="34">
        <v>1062591</v>
      </c>
      <c r="G3052" s="34">
        <v>1062591</v>
      </c>
      <c r="H3052" s="35" t="s">
        <v>4195</v>
      </c>
    </row>
    <row r="3053" spans="1:8" ht="27" customHeight="1" x14ac:dyDescent="0.2">
      <c r="A3053" s="31" t="s">
        <v>4192</v>
      </c>
      <c r="B3053" s="32" t="s">
        <v>4193</v>
      </c>
      <c r="C3053" s="32" t="s">
        <v>779</v>
      </c>
      <c r="D3053" s="32" t="s">
        <v>876</v>
      </c>
      <c r="E3053" s="33" t="s">
        <v>780</v>
      </c>
      <c r="F3053" s="34">
        <v>940156</v>
      </c>
      <c r="G3053" s="34">
        <v>940156</v>
      </c>
      <c r="H3053" s="35" t="s">
        <v>4196</v>
      </c>
    </row>
    <row r="3054" spans="1:8" ht="27" customHeight="1" x14ac:dyDescent="0.2">
      <c r="A3054" s="31" t="s">
        <v>4192</v>
      </c>
      <c r="B3054" s="32" t="s">
        <v>4193</v>
      </c>
      <c r="C3054" s="32" t="s">
        <v>782</v>
      </c>
      <c r="D3054" s="32" t="s">
        <v>839</v>
      </c>
      <c r="E3054" s="33" t="s">
        <v>784</v>
      </c>
      <c r="F3054" s="34">
        <v>314508</v>
      </c>
      <c r="G3054" s="34">
        <v>314508</v>
      </c>
      <c r="H3054" s="35" t="s">
        <v>4197</v>
      </c>
    </row>
    <row r="3055" spans="1:8" ht="27" customHeight="1" x14ac:dyDescent="0.2">
      <c r="A3055" s="31" t="s">
        <v>4198</v>
      </c>
      <c r="B3055" s="32" t="s">
        <v>4199</v>
      </c>
      <c r="C3055" s="32" t="s">
        <v>763</v>
      </c>
      <c r="D3055" s="32" t="s">
        <v>816</v>
      </c>
      <c r="E3055" s="33" t="s">
        <v>764</v>
      </c>
      <c r="F3055" s="34">
        <v>525629</v>
      </c>
      <c r="G3055" s="34">
        <v>629</v>
      </c>
      <c r="H3055" s="35" t="s">
        <v>4200</v>
      </c>
    </row>
    <row r="3056" spans="1:8" ht="27" customHeight="1" x14ac:dyDescent="0.2">
      <c r="A3056" s="31" t="s">
        <v>4198</v>
      </c>
      <c r="B3056" s="32" t="s">
        <v>4199</v>
      </c>
      <c r="C3056" s="32" t="s">
        <v>770</v>
      </c>
      <c r="D3056" s="32" t="s">
        <v>4201</v>
      </c>
      <c r="E3056" s="33" t="s">
        <v>772</v>
      </c>
      <c r="F3056" s="34">
        <v>557505</v>
      </c>
      <c r="G3056" s="34">
        <v>557525</v>
      </c>
      <c r="H3056" s="35" t="s">
        <v>4202</v>
      </c>
    </row>
    <row r="3057" spans="1:8" ht="27" customHeight="1" x14ac:dyDescent="0.2">
      <c r="A3057" s="31" t="s">
        <v>4198</v>
      </c>
      <c r="B3057" s="32" t="s">
        <v>4199</v>
      </c>
      <c r="C3057" s="32" t="s">
        <v>844</v>
      </c>
      <c r="D3057" s="32" t="s">
        <v>972</v>
      </c>
      <c r="E3057" s="33" t="s">
        <v>846</v>
      </c>
      <c r="F3057" s="34">
        <v>83737</v>
      </c>
      <c r="G3057" s="34">
        <v>83750</v>
      </c>
      <c r="H3057" s="35" t="s">
        <v>4203</v>
      </c>
    </row>
    <row r="3058" spans="1:8" ht="27" customHeight="1" x14ac:dyDescent="0.2">
      <c r="A3058" s="31" t="s">
        <v>4198</v>
      </c>
      <c r="B3058" s="32" t="s">
        <v>4199</v>
      </c>
      <c r="C3058" s="32" t="s">
        <v>886</v>
      </c>
      <c r="D3058" s="32" t="s">
        <v>1013</v>
      </c>
      <c r="E3058" s="33" t="s">
        <v>887</v>
      </c>
      <c r="F3058" s="34">
        <v>45026</v>
      </c>
      <c r="G3058" s="34">
        <v>45030</v>
      </c>
      <c r="H3058" s="35" t="s">
        <v>4204</v>
      </c>
    </row>
    <row r="3059" spans="1:8" ht="27" customHeight="1" x14ac:dyDescent="0.2">
      <c r="A3059" s="31" t="s">
        <v>4198</v>
      </c>
      <c r="B3059" s="32" t="s">
        <v>4199</v>
      </c>
      <c r="C3059" s="32" t="s">
        <v>796</v>
      </c>
      <c r="D3059" s="32" t="s">
        <v>4205</v>
      </c>
      <c r="E3059" s="33" t="s">
        <v>772</v>
      </c>
      <c r="F3059" s="34">
        <v>816693</v>
      </c>
      <c r="G3059" s="34">
        <v>691693</v>
      </c>
      <c r="H3059" s="35" t="s">
        <v>4206</v>
      </c>
    </row>
    <row r="3060" spans="1:8" ht="27" customHeight="1" x14ac:dyDescent="0.2">
      <c r="A3060" s="31" t="s">
        <v>4198</v>
      </c>
      <c r="B3060" s="32" t="s">
        <v>4199</v>
      </c>
      <c r="C3060" s="32" t="s">
        <v>779</v>
      </c>
      <c r="D3060" s="32" t="s">
        <v>876</v>
      </c>
      <c r="E3060" s="33" t="s">
        <v>780</v>
      </c>
      <c r="F3060" s="34">
        <v>143392</v>
      </c>
      <c r="G3060" s="34">
        <v>143400</v>
      </c>
      <c r="H3060" s="35" t="s">
        <v>4207</v>
      </c>
    </row>
    <row r="3061" spans="1:8" ht="27" customHeight="1" x14ac:dyDescent="0.2">
      <c r="A3061" s="31" t="s">
        <v>4208</v>
      </c>
      <c r="B3061" s="32" t="s">
        <v>4209</v>
      </c>
      <c r="C3061" s="32" t="s">
        <v>763</v>
      </c>
      <c r="D3061" s="32" t="s">
        <v>816</v>
      </c>
      <c r="E3061" s="33" t="s">
        <v>764</v>
      </c>
      <c r="F3061" s="34">
        <v>1086382</v>
      </c>
      <c r="G3061" s="34">
        <v>1090732</v>
      </c>
      <c r="H3061" s="35" t="s">
        <v>1135</v>
      </c>
    </row>
    <row r="3062" spans="1:8" ht="27" customHeight="1" x14ac:dyDescent="0.2">
      <c r="A3062" s="31" t="s">
        <v>4208</v>
      </c>
      <c r="B3062" s="32" t="s">
        <v>4209</v>
      </c>
      <c r="C3062" s="32" t="s">
        <v>770</v>
      </c>
      <c r="D3062" s="32" t="s">
        <v>810</v>
      </c>
      <c r="E3062" s="33" t="s">
        <v>772</v>
      </c>
      <c r="F3062" s="34">
        <v>618225</v>
      </c>
      <c r="G3062" s="34">
        <v>630925</v>
      </c>
      <c r="H3062" s="35" t="s">
        <v>1135</v>
      </c>
    </row>
    <row r="3063" spans="1:8" ht="27" customHeight="1" x14ac:dyDescent="0.2">
      <c r="A3063" s="31" t="s">
        <v>4208</v>
      </c>
      <c r="B3063" s="32" t="s">
        <v>4209</v>
      </c>
      <c r="C3063" s="32" t="s">
        <v>796</v>
      </c>
      <c r="D3063" s="32" t="s">
        <v>1095</v>
      </c>
      <c r="E3063" s="33" t="s">
        <v>823</v>
      </c>
      <c r="F3063" s="34">
        <v>1245707</v>
      </c>
      <c r="G3063" s="34">
        <v>1050807</v>
      </c>
      <c r="H3063" s="35" t="s">
        <v>4210</v>
      </c>
    </row>
    <row r="3064" spans="1:8" ht="27" customHeight="1" x14ac:dyDescent="0.2">
      <c r="A3064" s="31" t="s">
        <v>4208</v>
      </c>
      <c r="B3064" s="32" t="s">
        <v>4209</v>
      </c>
      <c r="C3064" s="32" t="s">
        <v>776</v>
      </c>
      <c r="D3064" s="32" t="s">
        <v>812</v>
      </c>
      <c r="E3064" s="33" t="s">
        <v>777</v>
      </c>
      <c r="F3064" s="34">
        <v>539529</v>
      </c>
      <c r="G3064" s="34">
        <v>541929</v>
      </c>
      <c r="H3064" s="35" t="s">
        <v>4211</v>
      </c>
    </row>
    <row r="3065" spans="1:8" ht="27" customHeight="1" x14ac:dyDescent="0.2">
      <c r="A3065" s="31" t="s">
        <v>4208</v>
      </c>
      <c r="B3065" s="32" t="s">
        <v>4209</v>
      </c>
      <c r="C3065" s="32" t="s">
        <v>779</v>
      </c>
      <c r="D3065" s="32" t="s">
        <v>826</v>
      </c>
      <c r="E3065" s="33" t="s">
        <v>780</v>
      </c>
      <c r="F3065" s="34">
        <v>216917</v>
      </c>
      <c r="G3065" s="34">
        <v>217247</v>
      </c>
      <c r="H3065" s="35" t="s">
        <v>1135</v>
      </c>
    </row>
    <row r="3066" spans="1:8" ht="27" customHeight="1" x14ac:dyDescent="0.2">
      <c r="A3066" s="31" t="s">
        <v>4212</v>
      </c>
      <c r="B3066" s="32" t="s">
        <v>4213</v>
      </c>
      <c r="C3066" s="32" t="s">
        <v>770</v>
      </c>
      <c r="D3066" s="32" t="s">
        <v>820</v>
      </c>
      <c r="E3066" s="33" t="s">
        <v>772</v>
      </c>
      <c r="F3066" s="34">
        <v>592734</v>
      </c>
      <c r="G3066" s="34">
        <v>594625</v>
      </c>
      <c r="H3066" s="35" t="s">
        <v>4214</v>
      </c>
    </row>
    <row r="3067" spans="1:8" ht="27" customHeight="1" x14ac:dyDescent="0.2">
      <c r="A3067" s="31" t="s">
        <v>4212</v>
      </c>
      <c r="B3067" s="32" t="s">
        <v>4213</v>
      </c>
      <c r="C3067" s="32" t="s">
        <v>844</v>
      </c>
      <c r="D3067" s="32" t="s">
        <v>3228</v>
      </c>
      <c r="E3067" s="33" t="s">
        <v>846</v>
      </c>
      <c r="F3067" s="34">
        <v>37734</v>
      </c>
      <c r="G3067" s="34">
        <v>37855</v>
      </c>
      <c r="H3067" s="35" t="s">
        <v>4215</v>
      </c>
    </row>
    <row r="3068" spans="1:8" ht="27" customHeight="1" x14ac:dyDescent="0.2">
      <c r="A3068" s="31" t="s">
        <v>4212</v>
      </c>
      <c r="B3068" s="32" t="s">
        <v>4213</v>
      </c>
      <c r="C3068" s="32" t="s">
        <v>796</v>
      </c>
      <c r="D3068" s="32" t="s">
        <v>1095</v>
      </c>
      <c r="E3068" s="33" t="s">
        <v>823</v>
      </c>
      <c r="F3068" s="34">
        <v>1189472</v>
      </c>
      <c r="G3068" s="34">
        <v>1193266</v>
      </c>
      <c r="H3068" s="35" t="s">
        <v>4216</v>
      </c>
    </row>
    <row r="3069" spans="1:8" ht="27" customHeight="1" x14ac:dyDescent="0.2">
      <c r="A3069" s="31" t="s">
        <v>4212</v>
      </c>
      <c r="B3069" s="32" t="s">
        <v>4213</v>
      </c>
      <c r="C3069" s="32" t="s">
        <v>779</v>
      </c>
      <c r="D3069" s="32" t="s">
        <v>826</v>
      </c>
      <c r="E3069" s="33" t="s">
        <v>780</v>
      </c>
      <c r="F3069" s="34">
        <v>288644</v>
      </c>
      <c r="G3069" s="34">
        <v>289565</v>
      </c>
      <c r="H3069" s="35" t="s">
        <v>4217</v>
      </c>
    </row>
    <row r="3070" spans="1:8" ht="27" customHeight="1" x14ac:dyDescent="0.2">
      <c r="A3070" s="31" t="s">
        <v>4212</v>
      </c>
      <c r="B3070" s="32" t="s">
        <v>4213</v>
      </c>
      <c r="C3070" s="32" t="s">
        <v>782</v>
      </c>
      <c r="D3070" s="32" t="s">
        <v>1391</v>
      </c>
      <c r="E3070" s="33" t="s">
        <v>784</v>
      </c>
      <c r="F3070" s="34">
        <v>399540</v>
      </c>
      <c r="G3070" s="34">
        <v>400815</v>
      </c>
      <c r="H3070" s="35" t="s">
        <v>4218</v>
      </c>
    </row>
    <row r="3071" spans="1:8" ht="27" customHeight="1" x14ac:dyDescent="0.2">
      <c r="A3071" s="31" t="s">
        <v>4219</v>
      </c>
      <c r="B3071" s="32" t="s">
        <v>4220</v>
      </c>
      <c r="C3071" s="32" t="s">
        <v>770</v>
      </c>
      <c r="D3071" s="32" t="s">
        <v>1011</v>
      </c>
      <c r="E3071" s="33" t="s">
        <v>772</v>
      </c>
      <c r="F3071" s="34">
        <v>3030303</v>
      </c>
      <c r="G3071" s="34">
        <v>3030000</v>
      </c>
      <c r="H3071" s="35" t="s">
        <v>4221</v>
      </c>
    </row>
    <row r="3072" spans="1:8" ht="27" customHeight="1" x14ac:dyDescent="0.2">
      <c r="A3072" s="31" t="s">
        <v>4219</v>
      </c>
      <c r="B3072" s="32" t="s">
        <v>4220</v>
      </c>
      <c r="C3072" s="32" t="s">
        <v>796</v>
      </c>
      <c r="D3072" s="32" t="s">
        <v>4222</v>
      </c>
      <c r="E3072" s="33" t="s">
        <v>772</v>
      </c>
      <c r="F3072" s="34">
        <v>1805506</v>
      </c>
      <c r="G3072" s="34">
        <v>1800000</v>
      </c>
      <c r="H3072" s="35" t="s">
        <v>4223</v>
      </c>
    </row>
    <row r="3073" spans="1:8" ht="27" customHeight="1" x14ac:dyDescent="0.2">
      <c r="A3073" s="31" t="s">
        <v>4219</v>
      </c>
      <c r="B3073" s="32" t="s">
        <v>4220</v>
      </c>
      <c r="C3073" s="32" t="s">
        <v>776</v>
      </c>
      <c r="D3073" s="32" t="s">
        <v>914</v>
      </c>
      <c r="E3073" s="33" t="s">
        <v>777</v>
      </c>
      <c r="F3073" s="34">
        <v>526077</v>
      </c>
      <c r="G3073" s="34">
        <v>520000</v>
      </c>
      <c r="H3073" s="35" t="s">
        <v>4224</v>
      </c>
    </row>
    <row r="3074" spans="1:8" ht="27" customHeight="1" x14ac:dyDescent="0.2">
      <c r="A3074" s="31" t="s">
        <v>4219</v>
      </c>
      <c r="B3074" s="32" t="s">
        <v>4220</v>
      </c>
      <c r="C3074" s="32" t="s">
        <v>779</v>
      </c>
      <c r="D3074" s="32" t="s">
        <v>779</v>
      </c>
      <c r="E3074" s="33" t="s">
        <v>780</v>
      </c>
      <c r="F3074" s="34">
        <v>200460</v>
      </c>
      <c r="G3074" s="34">
        <v>200000</v>
      </c>
      <c r="H3074" s="35" t="s">
        <v>4225</v>
      </c>
    </row>
    <row r="3075" spans="1:8" ht="27" customHeight="1" x14ac:dyDescent="0.2">
      <c r="A3075" s="31" t="s">
        <v>4219</v>
      </c>
      <c r="B3075" s="32" t="s">
        <v>4220</v>
      </c>
      <c r="C3075" s="32" t="s">
        <v>782</v>
      </c>
      <c r="D3075" s="32" t="s">
        <v>4226</v>
      </c>
      <c r="E3075" s="33" t="s">
        <v>784</v>
      </c>
      <c r="F3075" s="34">
        <v>500131</v>
      </c>
      <c r="G3075" s="34">
        <v>500000</v>
      </c>
      <c r="H3075" s="35" t="s">
        <v>4227</v>
      </c>
    </row>
    <row r="3076" spans="1:8" ht="27" customHeight="1" x14ac:dyDescent="0.2">
      <c r="A3076" s="31" t="s">
        <v>4228</v>
      </c>
      <c r="B3076" s="32" t="s">
        <v>4229</v>
      </c>
      <c r="C3076" s="32" t="s">
        <v>763</v>
      </c>
      <c r="D3076" s="32" t="s">
        <v>816</v>
      </c>
      <c r="E3076" s="33" t="s">
        <v>764</v>
      </c>
      <c r="F3076" s="34">
        <v>3000000</v>
      </c>
      <c r="G3076" s="34">
        <v>4500000</v>
      </c>
      <c r="H3076" s="35" t="s">
        <v>4230</v>
      </c>
    </row>
    <row r="3077" spans="1:8" ht="27" customHeight="1" x14ac:dyDescent="0.2">
      <c r="A3077" s="31" t="s">
        <v>4228</v>
      </c>
      <c r="B3077" s="32" t="s">
        <v>4229</v>
      </c>
      <c r="C3077" s="32" t="s">
        <v>770</v>
      </c>
      <c r="D3077" s="32" t="s">
        <v>1136</v>
      </c>
      <c r="E3077" s="33" t="s">
        <v>772</v>
      </c>
      <c r="F3077" s="34">
        <v>11000000</v>
      </c>
      <c r="G3077" s="34">
        <v>11000000</v>
      </c>
      <c r="H3077" s="35" t="s">
        <v>4231</v>
      </c>
    </row>
    <row r="3078" spans="1:8" ht="27" customHeight="1" x14ac:dyDescent="0.2">
      <c r="A3078" s="31" t="s">
        <v>4228</v>
      </c>
      <c r="B3078" s="32" t="s">
        <v>4229</v>
      </c>
      <c r="C3078" s="32" t="s">
        <v>796</v>
      </c>
      <c r="D3078" s="32" t="s">
        <v>1095</v>
      </c>
      <c r="E3078" s="33" t="s">
        <v>772</v>
      </c>
      <c r="F3078" s="34">
        <v>4092256</v>
      </c>
      <c r="G3078" s="34">
        <v>4092256</v>
      </c>
      <c r="H3078" s="35" t="s">
        <v>4232</v>
      </c>
    </row>
    <row r="3079" spans="1:8" ht="27" customHeight="1" x14ac:dyDescent="0.2">
      <c r="A3079" s="31" t="s">
        <v>4228</v>
      </c>
      <c r="B3079" s="32" t="s">
        <v>4229</v>
      </c>
      <c r="C3079" s="32" t="s">
        <v>776</v>
      </c>
      <c r="D3079" s="32" t="s">
        <v>812</v>
      </c>
      <c r="E3079" s="33" t="s">
        <v>777</v>
      </c>
      <c r="F3079" s="34">
        <v>3044047</v>
      </c>
      <c r="G3079" s="34">
        <v>3006847</v>
      </c>
      <c r="H3079" s="35" t="s">
        <v>4233</v>
      </c>
    </row>
    <row r="3080" spans="1:8" ht="27" customHeight="1" x14ac:dyDescent="0.2">
      <c r="A3080" s="31" t="s">
        <v>4228</v>
      </c>
      <c r="B3080" s="32" t="s">
        <v>4229</v>
      </c>
      <c r="C3080" s="32" t="s">
        <v>782</v>
      </c>
      <c r="D3080" s="32" t="s">
        <v>813</v>
      </c>
      <c r="E3080" s="33" t="s">
        <v>784</v>
      </c>
      <c r="F3080" s="34">
        <v>1038777</v>
      </c>
      <c r="G3080" s="34">
        <v>1038777</v>
      </c>
      <c r="H3080" s="35" t="s">
        <v>4234</v>
      </c>
    </row>
    <row r="3081" spans="1:8" ht="27" customHeight="1" x14ac:dyDescent="0.2">
      <c r="A3081" s="31" t="s">
        <v>4235</v>
      </c>
      <c r="B3081" s="32" t="s">
        <v>4236</v>
      </c>
      <c r="C3081" s="32" t="s">
        <v>763</v>
      </c>
      <c r="D3081" s="32" t="s">
        <v>2165</v>
      </c>
      <c r="E3081" s="33" t="s">
        <v>764</v>
      </c>
      <c r="F3081" s="34">
        <v>420000</v>
      </c>
      <c r="G3081" s="34">
        <v>470000</v>
      </c>
      <c r="H3081" s="35" t="s">
        <v>4237</v>
      </c>
    </row>
    <row r="3082" spans="1:8" ht="27" customHeight="1" x14ac:dyDescent="0.2">
      <c r="A3082" s="31" t="s">
        <v>4235</v>
      </c>
      <c r="B3082" s="32" t="s">
        <v>4236</v>
      </c>
      <c r="C3082" s="32" t="s">
        <v>763</v>
      </c>
      <c r="D3082" s="32" t="s">
        <v>1665</v>
      </c>
      <c r="E3082" s="33" t="s">
        <v>764</v>
      </c>
      <c r="F3082" s="34">
        <v>0</v>
      </c>
      <c r="G3082" s="34">
        <v>200000</v>
      </c>
      <c r="H3082" s="35" t="s">
        <v>4238</v>
      </c>
    </row>
    <row r="3083" spans="1:8" ht="27" customHeight="1" x14ac:dyDescent="0.2">
      <c r="A3083" s="31" t="s">
        <v>4235</v>
      </c>
      <c r="B3083" s="32" t="s">
        <v>4236</v>
      </c>
      <c r="C3083" s="32" t="s">
        <v>770</v>
      </c>
      <c r="D3083" s="32" t="s">
        <v>1751</v>
      </c>
      <c r="E3083" s="33" t="s">
        <v>772</v>
      </c>
      <c r="F3083" s="34">
        <v>125000</v>
      </c>
      <c r="G3083" s="34">
        <v>125000</v>
      </c>
      <c r="H3083" s="35" t="s">
        <v>4237</v>
      </c>
    </row>
    <row r="3084" spans="1:8" ht="27" customHeight="1" x14ac:dyDescent="0.2">
      <c r="A3084" s="31" t="s">
        <v>4235</v>
      </c>
      <c r="B3084" s="32" t="s">
        <v>4236</v>
      </c>
      <c r="C3084" s="32" t="s">
        <v>844</v>
      </c>
      <c r="D3084" s="32" t="s">
        <v>844</v>
      </c>
      <c r="E3084" s="33" t="s">
        <v>846</v>
      </c>
      <c r="F3084" s="34">
        <v>10000</v>
      </c>
      <c r="G3084" s="34">
        <v>10000</v>
      </c>
      <c r="H3084" s="35" t="s">
        <v>4237</v>
      </c>
    </row>
    <row r="3085" spans="1:8" ht="27" customHeight="1" x14ac:dyDescent="0.2">
      <c r="A3085" s="31" t="s">
        <v>4235</v>
      </c>
      <c r="B3085" s="32" t="s">
        <v>4236</v>
      </c>
      <c r="C3085" s="32" t="s">
        <v>831</v>
      </c>
      <c r="D3085" s="32" t="s">
        <v>1301</v>
      </c>
      <c r="E3085" s="33"/>
      <c r="F3085" s="34">
        <v>375782</v>
      </c>
      <c r="G3085" s="34">
        <v>375782</v>
      </c>
      <c r="H3085" s="35" t="s">
        <v>4237</v>
      </c>
    </row>
    <row r="3086" spans="1:8" ht="27" customHeight="1" x14ac:dyDescent="0.2">
      <c r="A3086" s="31" t="s">
        <v>4235</v>
      </c>
      <c r="B3086" s="32" t="s">
        <v>4236</v>
      </c>
      <c r="C3086" s="32" t="s">
        <v>796</v>
      </c>
      <c r="D3086" s="32" t="s">
        <v>1050</v>
      </c>
      <c r="E3086" s="33" t="s">
        <v>772</v>
      </c>
      <c r="F3086" s="34">
        <v>100000</v>
      </c>
      <c r="G3086" s="34">
        <v>50000</v>
      </c>
      <c r="H3086" s="35" t="s">
        <v>4239</v>
      </c>
    </row>
    <row r="3087" spans="1:8" ht="27" customHeight="1" x14ac:dyDescent="0.2">
      <c r="A3087" s="31" t="s">
        <v>4235</v>
      </c>
      <c r="B3087" s="32" t="s">
        <v>4236</v>
      </c>
      <c r="C3087" s="32" t="s">
        <v>776</v>
      </c>
      <c r="D3087" s="32" t="s">
        <v>776</v>
      </c>
      <c r="E3087" s="33" t="s">
        <v>777</v>
      </c>
      <c r="F3087" s="34">
        <v>872585</v>
      </c>
      <c r="G3087" s="34">
        <v>920000</v>
      </c>
      <c r="H3087" s="35" t="s">
        <v>4240</v>
      </c>
    </row>
    <row r="3088" spans="1:8" ht="27" customHeight="1" x14ac:dyDescent="0.2">
      <c r="A3088" s="31" t="s">
        <v>4235</v>
      </c>
      <c r="B3088" s="32" t="s">
        <v>4236</v>
      </c>
      <c r="C3088" s="32" t="s">
        <v>779</v>
      </c>
      <c r="D3088" s="32" t="s">
        <v>802</v>
      </c>
      <c r="E3088" s="33" t="s">
        <v>780</v>
      </c>
      <c r="F3088" s="34">
        <v>77856</v>
      </c>
      <c r="G3088" s="34">
        <v>24218</v>
      </c>
      <c r="H3088" s="35" t="s">
        <v>4239</v>
      </c>
    </row>
    <row r="3089" spans="1:8" ht="27" customHeight="1" x14ac:dyDescent="0.2">
      <c r="A3089" s="31" t="s">
        <v>4241</v>
      </c>
      <c r="B3089" s="32" t="s">
        <v>4242</v>
      </c>
      <c r="C3089" s="32" t="s">
        <v>770</v>
      </c>
      <c r="D3089" s="32" t="s">
        <v>4243</v>
      </c>
      <c r="E3089" s="33" t="s">
        <v>772</v>
      </c>
      <c r="F3089" s="34">
        <v>141500</v>
      </c>
      <c r="G3089" s="34">
        <v>141526</v>
      </c>
      <c r="H3089" s="35" t="s">
        <v>4244</v>
      </c>
    </row>
    <row r="3090" spans="1:8" ht="27" customHeight="1" x14ac:dyDescent="0.2">
      <c r="A3090" s="31" t="s">
        <v>4241</v>
      </c>
      <c r="B3090" s="32" t="s">
        <v>4242</v>
      </c>
      <c r="C3090" s="32" t="s">
        <v>831</v>
      </c>
      <c r="D3090" s="32" t="s">
        <v>3733</v>
      </c>
      <c r="E3090" s="33" t="s">
        <v>4245</v>
      </c>
      <c r="F3090" s="34">
        <v>120073</v>
      </c>
      <c r="G3090" s="34">
        <v>145088</v>
      </c>
      <c r="H3090" s="35" t="s">
        <v>4244</v>
      </c>
    </row>
    <row r="3091" spans="1:8" ht="27" customHeight="1" x14ac:dyDescent="0.2">
      <c r="A3091" s="31" t="s">
        <v>4241</v>
      </c>
      <c r="B3091" s="32" t="s">
        <v>4242</v>
      </c>
      <c r="C3091" s="32" t="s">
        <v>860</v>
      </c>
      <c r="D3091" s="32" t="s">
        <v>1174</v>
      </c>
      <c r="E3091" s="33" t="s">
        <v>861</v>
      </c>
      <c r="F3091" s="34">
        <v>736149</v>
      </c>
      <c r="G3091" s="34">
        <v>736269</v>
      </c>
      <c r="H3091" s="35" t="s">
        <v>4246</v>
      </c>
    </row>
    <row r="3092" spans="1:8" ht="27" customHeight="1" x14ac:dyDescent="0.2">
      <c r="A3092" s="31" t="s">
        <v>4241</v>
      </c>
      <c r="B3092" s="32" t="s">
        <v>4242</v>
      </c>
      <c r="C3092" s="32" t="s">
        <v>796</v>
      </c>
      <c r="D3092" s="32" t="s">
        <v>1095</v>
      </c>
      <c r="E3092" s="33" t="s">
        <v>823</v>
      </c>
      <c r="F3092" s="34">
        <v>251279</v>
      </c>
      <c r="G3092" s="34">
        <v>251324</v>
      </c>
      <c r="H3092" s="35" t="s">
        <v>4244</v>
      </c>
    </row>
    <row r="3093" spans="1:8" ht="27" customHeight="1" x14ac:dyDescent="0.2">
      <c r="A3093" s="31" t="s">
        <v>4241</v>
      </c>
      <c r="B3093" s="32" t="s">
        <v>4242</v>
      </c>
      <c r="C3093" s="32" t="s">
        <v>776</v>
      </c>
      <c r="D3093" s="32" t="s">
        <v>4247</v>
      </c>
      <c r="E3093" s="33" t="s">
        <v>777</v>
      </c>
      <c r="F3093" s="34">
        <v>207221</v>
      </c>
      <c r="G3093" s="34">
        <v>207257</v>
      </c>
      <c r="H3093" s="35" t="s">
        <v>4244</v>
      </c>
    </row>
    <row r="3094" spans="1:8" ht="27" customHeight="1" x14ac:dyDescent="0.2">
      <c r="A3094" s="31" t="s">
        <v>4241</v>
      </c>
      <c r="B3094" s="32" t="s">
        <v>4242</v>
      </c>
      <c r="C3094" s="32" t="s">
        <v>779</v>
      </c>
      <c r="D3094" s="32" t="s">
        <v>826</v>
      </c>
      <c r="E3094" s="33" t="s">
        <v>780</v>
      </c>
      <c r="F3094" s="34">
        <v>17175</v>
      </c>
      <c r="G3094" s="34">
        <v>17178</v>
      </c>
      <c r="H3094" s="35" t="s">
        <v>4244</v>
      </c>
    </row>
    <row r="3095" spans="1:8" ht="27" customHeight="1" x14ac:dyDescent="0.2">
      <c r="A3095" s="31" t="s">
        <v>4241</v>
      </c>
      <c r="B3095" s="32" t="s">
        <v>4242</v>
      </c>
      <c r="C3095" s="32" t="s">
        <v>782</v>
      </c>
      <c r="D3095" s="32" t="s">
        <v>3673</v>
      </c>
      <c r="E3095" s="33" t="s">
        <v>784</v>
      </c>
      <c r="F3095" s="34">
        <v>7605</v>
      </c>
      <c r="G3095" s="34">
        <v>7606</v>
      </c>
      <c r="H3095" s="35" t="s">
        <v>4244</v>
      </c>
    </row>
    <row r="3096" spans="1:8" ht="27" customHeight="1" x14ac:dyDescent="0.2">
      <c r="A3096" s="31" t="s">
        <v>4248</v>
      </c>
      <c r="B3096" s="32" t="s">
        <v>4249</v>
      </c>
      <c r="C3096" s="32" t="s">
        <v>766</v>
      </c>
      <c r="D3096" s="32" t="s">
        <v>767</v>
      </c>
      <c r="E3096" s="33" t="s">
        <v>768</v>
      </c>
      <c r="F3096" s="34">
        <v>415971</v>
      </c>
      <c r="G3096" s="34">
        <v>415971</v>
      </c>
      <c r="H3096" s="35" t="s">
        <v>829</v>
      </c>
    </row>
    <row r="3097" spans="1:8" ht="27" customHeight="1" x14ac:dyDescent="0.2">
      <c r="A3097" s="31" t="s">
        <v>4248</v>
      </c>
      <c r="B3097" s="32" t="s">
        <v>4249</v>
      </c>
      <c r="C3097" s="32" t="s">
        <v>770</v>
      </c>
      <c r="D3097" s="32" t="s">
        <v>794</v>
      </c>
      <c r="E3097" s="33" t="s">
        <v>772</v>
      </c>
      <c r="F3097" s="34">
        <v>211752</v>
      </c>
      <c r="G3097" s="34">
        <v>211752</v>
      </c>
      <c r="H3097" s="35" t="s">
        <v>829</v>
      </c>
    </row>
    <row r="3098" spans="1:8" ht="27" customHeight="1" x14ac:dyDescent="0.2">
      <c r="A3098" s="31" t="s">
        <v>4248</v>
      </c>
      <c r="B3098" s="32" t="s">
        <v>4249</v>
      </c>
      <c r="C3098" s="32" t="s">
        <v>796</v>
      </c>
      <c r="D3098" s="32" t="s">
        <v>1050</v>
      </c>
      <c r="E3098" s="33" t="s">
        <v>823</v>
      </c>
      <c r="F3098" s="34">
        <v>185070</v>
      </c>
      <c r="G3098" s="34">
        <v>185070</v>
      </c>
      <c r="H3098" s="35" t="s">
        <v>829</v>
      </c>
    </row>
    <row r="3099" spans="1:8" ht="27" customHeight="1" x14ac:dyDescent="0.2">
      <c r="A3099" s="31" t="s">
        <v>4250</v>
      </c>
      <c r="B3099" s="32" t="s">
        <v>4251</v>
      </c>
      <c r="C3099" s="32" t="s">
        <v>763</v>
      </c>
      <c r="D3099" s="32" t="s">
        <v>763</v>
      </c>
      <c r="E3099" s="33" t="s">
        <v>764</v>
      </c>
      <c r="F3099" s="34">
        <v>6325000</v>
      </c>
      <c r="G3099" s="34">
        <v>7325000</v>
      </c>
      <c r="H3099" s="35" t="s">
        <v>4252</v>
      </c>
    </row>
    <row r="3100" spans="1:8" ht="27" customHeight="1" x14ac:dyDescent="0.2">
      <c r="A3100" s="31" t="s">
        <v>4250</v>
      </c>
      <c r="B3100" s="32" t="s">
        <v>4251</v>
      </c>
      <c r="C3100" s="32" t="s">
        <v>766</v>
      </c>
      <c r="D3100" s="32" t="s">
        <v>767</v>
      </c>
      <c r="E3100" s="33" t="s">
        <v>768</v>
      </c>
      <c r="F3100" s="34">
        <v>2145552</v>
      </c>
      <c r="G3100" s="34">
        <v>2145552</v>
      </c>
      <c r="H3100" s="35" t="s">
        <v>4253</v>
      </c>
    </row>
    <row r="3101" spans="1:8" ht="27" customHeight="1" x14ac:dyDescent="0.2">
      <c r="A3101" s="31" t="s">
        <v>4250</v>
      </c>
      <c r="B3101" s="32" t="s">
        <v>4251</v>
      </c>
      <c r="C3101" s="32" t="s">
        <v>770</v>
      </c>
      <c r="D3101" s="32" t="s">
        <v>1011</v>
      </c>
      <c r="E3101" s="33" t="s">
        <v>772</v>
      </c>
      <c r="F3101" s="34">
        <v>100000</v>
      </c>
      <c r="G3101" s="34">
        <v>100000</v>
      </c>
      <c r="H3101" s="35" t="s">
        <v>859</v>
      </c>
    </row>
    <row r="3102" spans="1:8" ht="27" customHeight="1" x14ac:dyDescent="0.2">
      <c r="A3102" s="31" t="s">
        <v>4250</v>
      </c>
      <c r="B3102" s="32" t="s">
        <v>4251</v>
      </c>
      <c r="C3102" s="32" t="s">
        <v>796</v>
      </c>
      <c r="D3102" s="32" t="s">
        <v>822</v>
      </c>
      <c r="E3102" s="33" t="s">
        <v>823</v>
      </c>
      <c r="F3102" s="34">
        <v>2700000</v>
      </c>
      <c r="G3102" s="34">
        <v>2700000</v>
      </c>
      <c r="H3102" s="35" t="s">
        <v>859</v>
      </c>
    </row>
    <row r="3103" spans="1:8" ht="27" customHeight="1" x14ac:dyDescent="0.2">
      <c r="A3103" s="31" t="s">
        <v>4250</v>
      </c>
      <c r="B3103" s="32" t="s">
        <v>4251</v>
      </c>
      <c r="C3103" s="32" t="s">
        <v>776</v>
      </c>
      <c r="D3103" s="32" t="s">
        <v>776</v>
      </c>
      <c r="E3103" s="33" t="s">
        <v>777</v>
      </c>
      <c r="F3103" s="34">
        <v>485000</v>
      </c>
      <c r="G3103" s="34">
        <v>485000</v>
      </c>
      <c r="H3103" s="35" t="s">
        <v>859</v>
      </c>
    </row>
    <row r="3104" spans="1:8" ht="27" customHeight="1" x14ac:dyDescent="0.2">
      <c r="A3104" s="31" t="s">
        <v>4250</v>
      </c>
      <c r="B3104" s="32" t="s">
        <v>4251</v>
      </c>
      <c r="C3104" s="32" t="s">
        <v>779</v>
      </c>
      <c r="D3104" s="32" t="s">
        <v>826</v>
      </c>
      <c r="E3104" s="33" t="s">
        <v>780</v>
      </c>
      <c r="F3104" s="34">
        <v>190000</v>
      </c>
      <c r="G3104" s="34">
        <v>190000</v>
      </c>
      <c r="H3104" s="35" t="s">
        <v>859</v>
      </c>
    </row>
    <row r="3105" spans="1:8" ht="27" customHeight="1" x14ac:dyDescent="0.2">
      <c r="A3105" s="31" t="s">
        <v>4250</v>
      </c>
      <c r="B3105" s="32" t="s">
        <v>4251</v>
      </c>
      <c r="C3105" s="32" t="s">
        <v>782</v>
      </c>
      <c r="D3105" s="32" t="s">
        <v>782</v>
      </c>
      <c r="E3105" s="33" t="s">
        <v>784</v>
      </c>
      <c r="F3105" s="34">
        <v>1350000</v>
      </c>
      <c r="G3105" s="34">
        <v>1350000</v>
      </c>
      <c r="H3105" s="35" t="s">
        <v>859</v>
      </c>
    </row>
    <row r="3106" spans="1:8" ht="27" customHeight="1" x14ac:dyDescent="0.2">
      <c r="A3106" s="31" t="s">
        <v>4254</v>
      </c>
      <c r="B3106" s="32" t="s">
        <v>4255</v>
      </c>
      <c r="C3106" s="32" t="s">
        <v>763</v>
      </c>
      <c r="D3106" s="32" t="s">
        <v>763</v>
      </c>
      <c r="E3106" s="33" t="s">
        <v>764</v>
      </c>
      <c r="F3106" s="34">
        <v>907746</v>
      </c>
      <c r="G3106" s="34">
        <v>2100000</v>
      </c>
      <c r="H3106" s="35" t="s">
        <v>4256</v>
      </c>
    </row>
    <row r="3107" spans="1:8" ht="27" customHeight="1" x14ac:dyDescent="0.2">
      <c r="A3107" s="31" t="s">
        <v>4254</v>
      </c>
      <c r="B3107" s="32" t="s">
        <v>4255</v>
      </c>
      <c r="C3107" s="32" t="s">
        <v>766</v>
      </c>
      <c r="D3107" s="32" t="s">
        <v>767</v>
      </c>
      <c r="E3107" s="33" t="s">
        <v>768</v>
      </c>
      <c r="F3107" s="34">
        <v>344423</v>
      </c>
      <c r="G3107" s="34">
        <v>351000</v>
      </c>
      <c r="H3107" s="35" t="s">
        <v>4257</v>
      </c>
    </row>
    <row r="3108" spans="1:8" ht="27" customHeight="1" x14ac:dyDescent="0.2">
      <c r="A3108" s="31" t="s">
        <v>4254</v>
      </c>
      <c r="B3108" s="32" t="s">
        <v>4255</v>
      </c>
      <c r="C3108" s="32" t="s">
        <v>770</v>
      </c>
      <c r="D3108" s="32" t="s">
        <v>1980</v>
      </c>
      <c r="E3108" s="33" t="s">
        <v>772</v>
      </c>
      <c r="F3108" s="34">
        <v>682017</v>
      </c>
      <c r="G3108" s="34">
        <v>685000</v>
      </c>
      <c r="H3108" s="35" t="s">
        <v>859</v>
      </c>
    </row>
    <row r="3109" spans="1:8" ht="27" customHeight="1" x14ac:dyDescent="0.2">
      <c r="A3109" s="31" t="s">
        <v>4254</v>
      </c>
      <c r="B3109" s="32" t="s">
        <v>4255</v>
      </c>
      <c r="C3109" s="32" t="s">
        <v>796</v>
      </c>
      <c r="D3109" s="32" t="s">
        <v>4258</v>
      </c>
      <c r="E3109" s="33" t="s">
        <v>772</v>
      </c>
      <c r="F3109" s="34">
        <v>3432220</v>
      </c>
      <c r="G3109" s="34">
        <v>3450000</v>
      </c>
      <c r="H3109" s="35" t="s">
        <v>859</v>
      </c>
    </row>
    <row r="3110" spans="1:8" ht="27" customHeight="1" x14ac:dyDescent="0.2">
      <c r="A3110" s="31" t="s">
        <v>4254</v>
      </c>
      <c r="B3110" s="32" t="s">
        <v>4255</v>
      </c>
      <c r="C3110" s="32" t="s">
        <v>776</v>
      </c>
      <c r="D3110" s="32" t="s">
        <v>776</v>
      </c>
      <c r="E3110" s="33" t="s">
        <v>777</v>
      </c>
      <c r="F3110" s="34">
        <v>2606321</v>
      </c>
      <c r="G3110" s="34">
        <v>4200000</v>
      </c>
      <c r="H3110" s="35" t="s">
        <v>4259</v>
      </c>
    </row>
    <row r="3111" spans="1:8" ht="27" customHeight="1" x14ac:dyDescent="0.2">
      <c r="A3111" s="31" t="s">
        <v>4254</v>
      </c>
      <c r="B3111" s="32" t="s">
        <v>4255</v>
      </c>
      <c r="C3111" s="32" t="s">
        <v>779</v>
      </c>
      <c r="D3111" s="32" t="s">
        <v>779</v>
      </c>
      <c r="E3111" s="33" t="s">
        <v>780</v>
      </c>
      <c r="F3111" s="34">
        <v>1170810</v>
      </c>
      <c r="G3111" s="34">
        <v>750000</v>
      </c>
      <c r="H3111" s="35" t="s">
        <v>4259</v>
      </c>
    </row>
    <row r="3112" spans="1:8" ht="27" customHeight="1" x14ac:dyDescent="0.2">
      <c r="A3112" s="31" t="s">
        <v>4254</v>
      </c>
      <c r="B3112" s="32" t="s">
        <v>4255</v>
      </c>
      <c r="C3112" s="32" t="s">
        <v>782</v>
      </c>
      <c r="D3112" s="32" t="s">
        <v>782</v>
      </c>
      <c r="E3112" s="33" t="s">
        <v>784</v>
      </c>
      <c r="F3112" s="34">
        <v>251521</v>
      </c>
      <c r="G3112" s="34">
        <v>252500</v>
      </c>
      <c r="H3112" s="35" t="s">
        <v>4259</v>
      </c>
    </row>
    <row r="3113" spans="1:8" ht="27" customHeight="1" x14ac:dyDescent="0.2">
      <c r="A3113" s="31" t="s">
        <v>4260</v>
      </c>
      <c r="B3113" s="32" t="s">
        <v>4261</v>
      </c>
      <c r="C3113" s="32" t="s">
        <v>770</v>
      </c>
      <c r="D3113" s="32" t="s">
        <v>770</v>
      </c>
      <c r="E3113" s="33" t="s">
        <v>772</v>
      </c>
      <c r="F3113" s="34">
        <v>1388187</v>
      </c>
      <c r="G3113" s="34">
        <v>1308187</v>
      </c>
      <c r="H3113" s="35" t="s">
        <v>4262</v>
      </c>
    </row>
    <row r="3114" spans="1:8" ht="27" customHeight="1" x14ac:dyDescent="0.2">
      <c r="A3114" s="31" t="s">
        <v>4260</v>
      </c>
      <c r="B3114" s="32" t="s">
        <v>4261</v>
      </c>
      <c r="C3114" s="32" t="s">
        <v>773</v>
      </c>
      <c r="D3114" s="32" t="s">
        <v>1025</v>
      </c>
      <c r="E3114" s="33" t="s">
        <v>775</v>
      </c>
      <c r="F3114" s="34">
        <v>750396</v>
      </c>
      <c r="G3114" s="34">
        <v>750396</v>
      </c>
      <c r="H3114" s="35" t="s">
        <v>4263</v>
      </c>
    </row>
    <row r="3115" spans="1:8" ht="27" customHeight="1" x14ac:dyDescent="0.2">
      <c r="A3115" s="31" t="s">
        <v>4260</v>
      </c>
      <c r="B3115" s="32" t="s">
        <v>4261</v>
      </c>
      <c r="C3115" s="32" t="s">
        <v>831</v>
      </c>
      <c r="D3115" s="32" t="s">
        <v>4264</v>
      </c>
      <c r="E3115" s="33" t="s">
        <v>4265</v>
      </c>
      <c r="F3115" s="34">
        <v>13464</v>
      </c>
      <c r="G3115" s="34">
        <v>14964</v>
      </c>
      <c r="H3115" s="35" t="s">
        <v>4266</v>
      </c>
    </row>
    <row r="3116" spans="1:8" ht="27" customHeight="1" x14ac:dyDescent="0.2">
      <c r="A3116" s="31" t="s">
        <v>4260</v>
      </c>
      <c r="B3116" s="32" t="s">
        <v>4261</v>
      </c>
      <c r="C3116" s="32" t="s">
        <v>796</v>
      </c>
      <c r="D3116" s="32" t="s">
        <v>811</v>
      </c>
      <c r="E3116" s="33" t="s">
        <v>772</v>
      </c>
      <c r="F3116" s="34">
        <v>1675884</v>
      </c>
      <c r="G3116" s="34">
        <v>1675884</v>
      </c>
      <c r="H3116" s="35" t="s">
        <v>4267</v>
      </c>
    </row>
    <row r="3117" spans="1:8" ht="27" customHeight="1" x14ac:dyDescent="0.2">
      <c r="A3117" s="31" t="s">
        <v>4260</v>
      </c>
      <c r="B3117" s="32" t="s">
        <v>4261</v>
      </c>
      <c r="C3117" s="32" t="s">
        <v>776</v>
      </c>
      <c r="D3117" s="32" t="s">
        <v>914</v>
      </c>
      <c r="E3117" s="33" t="s">
        <v>777</v>
      </c>
      <c r="F3117" s="34">
        <v>211215</v>
      </c>
      <c r="G3117" s="34">
        <v>11215</v>
      </c>
      <c r="H3117" s="35" t="s">
        <v>4268</v>
      </c>
    </row>
    <row r="3118" spans="1:8" ht="27" customHeight="1" x14ac:dyDescent="0.2">
      <c r="A3118" s="31" t="s">
        <v>4260</v>
      </c>
      <c r="B3118" s="32" t="s">
        <v>4261</v>
      </c>
      <c r="C3118" s="32" t="s">
        <v>779</v>
      </c>
      <c r="D3118" s="32" t="s">
        <v>826</v>
      </c>
      <c r="E3118" s="33" t="s">
        <v>780</v>
      </c>
      <c r="F3118" s="34">
        <v>122872</v>
      </c>
      <c r="G3118" s="34">
        <v>122872</v>
      </c>
      <c r="H3118" s="35" t="s">
        <v>2275</v>
      </c>
    </row>
    <row r="3119" spans="1:8" ht="27" customHeight="1" x14ac:dyDescent="0.2">
      <c r="A3119" s="31" t="s">
        <v>4260</v>
      </c>
      <c r="B3119" s="32" t="s">
        <v>4261</v>
      </c>
      <c r="C3119" s="32" t="s">
        <v>782</v>
      </c>
      <c r="D3119" s="32" t="s">
        <v>1887</v>
      </c>
      <c r="E3119" s="33" t="s">
        <v>784</v>
      </c>
      <c r="F3119" s="34">
        <v>245129</v>
      </c>
      <c r="G3119" s="34">
        <v>245129</v>
      </c>
      <c r="H3119" s="35" t="s">
        <v>4269</v>
      </c>
    </row>
    <row r="3120" spans="1:8" ht="27" customHeight="1" x14ac:dyDescent="0.2">
      <c r="A3120" s="31" t="s">
        <v>4270</v>
      </c>
      <c r="B3120" s="32" t="s">
        <v>4271</v>
      </c>
      <c r="C3120" s="32" t="s">
        <v>763</v>
      </c>
      <c r="D3120" s="32" t="s">
        <v>2976</v>
      </c>
      <c r="E3120" s="33" t="s">
        <v>764</v>
      </c>
      <c r="F3120" s="34">
        <v>10000000</v>
      </c>
      <c r="G3120" s="34">
        <v>10000000</v>
      </c>
      <c r="H3120" s="35" t="s">
        <v>1232</v>
      </c>
    </row>
    <row r="3121" spans="1:8" ht="27" customHeight="1" x14ac:dyDescent="0.2">
      <c r="A3121" s="31" t="s">
        <v>4270</v>
      </c>
      <c r="B3121" s="32" t="s">
        <v>4271</v>
      </c>
      <c r="C3121" s="32" t="s">
        <v>763</v>
      </c>
      <c r="D3121" s="32" t="s">
        <v>1041</v>
      </c>
      <c r="E3121" s="33" t="s">
        <v>764</v>
      </c>
      <c r="F3121" s="34">
        <v>5000000</v>
      </c>
      <c r="G3121" s="34">
        <v>5000000</v>
      </c>
      <c r="H3121" s="35" t="s">
        <v>1232</v>
      </c>
    </row>
    <row r="3122" spans="1:8" ht="27" customHeight="1" x14ac:dyDescent="0.2">
      <c r="A3122" s="31" t="s">
        <v>4270</v>
      </c>
      <c r="B3122" s="32" t="s">
        <v>4271</v>
      </c>
      <c r="C3122" s="32" t="s">
        <v>770</v>
      </c>
      <c r="D3122" s="32" t="s">
        <v>810</v>
      </c>
      <c r="E3122" s="33" t="s">
        <v>772</v>
      </c>
      <c r="F3122" s="34">
        <v>5379405</v>
      </c>
      <c r="G3122" s="34">
        <v>5379405</v>
      </c>
      <c r="H3122" s="35" t="s">
        <v>1232</v>
      </c>
    </row>
    <row r="3123" spans="1:8" ht="27" customHeight="1" x14ac:dyDescent="0.2">
      <c r="A3123" s="31" t="s">
        <v>4270</v>
      </c>
      <c r="B3123" s="32" t="s">
        <v>4271</v>
      </c>
      <c r="C3123" s="32" t="s">
        <v>844</v>
      </c>
      <c r="D3123" s="32" t="s">
        <v>972</v>
      </c>
      <c r="E3123" s="33" t="s">
        <v>846</v>
      </c>
      <c r="F3123" s="34">
        <v>100000</v>
      </c>
      <c r="G3123" s="34">
        <v>100000</v>
      </c>
      <c r="H3123" s="35" t="s">
        <v>4272</v>
      </c>
    </row>
    <row r="3124" spans="1:8" ht="27" customHeight="1" x14ac:dyDescent="0.2">
      <c r="A3124" s="31" t="s">
        <v>4270</v>
      </c>
      <c r="B3124" s="32" t="s">
        <v>4271</v>
      </c>
      <c r="C3124" s="32" t="s">
        <v>796</v>
      </c>
      <c r="D3124" s="32" t="s">
        <v>961</v>
      </c>
      <c r="E3124" s="33" t="s">
        <v>823</v>
      </c>
      <c r="F3124" s="34">
        <v>7988980</v>
      </c>
      <c r="G3124" s="34">
        <v>6988980</v>
      </c>
      <c r="H3124" s="35" t="s">
        <v>4273</v>
      </c>
    </row>
    <row r="3125" spans="1:8" ht="27" customHeight="1" x14ac:dyDescent="0.2">
      <c r="A3125" s="31" t="s">
        <v>4270</v>
      </c>
      <c r="B3125" s="32" t="s">
        <v>4271</v>
      </c>
      <c r="C3125" s="32" t="s">
        <v>776</v>
      </c>
      <c r="D3125" s="32" t="s">
        <v>4274</v>
      </c>
      <c r="E3125" s="33" t="s">
        <v>777</v>
      </c>
      <c r="F3125" s="34">
        <v>860650</v>
      </c>
      <c r="G3125" s="34">
        <v>860650</v>
      </c>
      <c r="H3125" s="35" t="s">
        <v>4275</v>
      </c>
    </row>
    <row r="3126" spans="1:8" ht="27" customHeight="1" x14ac:dyDescent="0.2">
      <c r="A3126" s="31" t="s">
        <v>4270</v>
      </c>
      <c r="B3126" s="32" t="s">
        <v>4271</v>
      </c>
      <c r="C3126" s="32" t="s">
        <v>782</v>
      </c>
      <c r="D3126" s="32" t="s">
        <v>813</v>
      </c>
      <c r="E3126" s="33" t="s">
        <v>784</v>
      </c>
      <c r="F3126" s="34">
        <v>1790142</v>
      </c>
      <c r="G3126" s="34">
        <v>1571987</v>
      </c>
      <c r="H3126" s="35" t="s">
        <v>4276</v>
      </c>
    </row>
    <row r="3127" spans="1:8" ht="27" customHeight="1" x14ac:dyDescent="0.2">
      <c r="A3127" s="31" t="s">
        <v>4277</v>
      </c>
      <c r="B3127" s="32" t="s">
        <v>666</v>
      </c>
      <c r="C3127" s="32" t="s">
        <v>763</v>
      </c>
      <c r="D3127" s="32" t="s">
        <v>816</v>
      </c>
      <c r="E3127" s="33" t="s">
        <v>764</v>
      </c>
      <c r="F3127" s="34">
        <v>100000</v>
      </c>
      <c r="G3127" s="34">
        <v>500000</v>
      </c>
      <c r="H3127" s="35" t="s">
        <v>4278</v>
      </c>
    </row>
    <row r="3128" spans="1:8" ht="27" customHeight="1" x14ac:dyDescent="0.2">
      <c r="A3128" s="31" t="s">
        <v>4277</v>
      </c>
      <c r="B3128" s="32" t="s">
        <v>666</v>
      </c>
      <c r="C3128" s="32" t="s">
        <v>770</v>
      </c>
      <c r="D3128" s="32" t="s">
        <v>970</v>
      </c>
      <c r="E3128" s="33" t="s">
        <v>772</v>
      </c>
      <c r="F3128" s="34">
        <v>120000</v>
      </c>
      <c r="G3128" s="34">
        <v>120000</v>
      </c>
      <c r="H3128" s="35" t="s">
        <v>4279</v>
      </c>
    </row>
    <row r="3129" spans="1:8" ht="27" customHeight="1" x14ac:dyDescent="0.2">
      <c r="A3129" s="31" t="s">
        <v>4277</v>
      </c>
      <c r="B3129" s="32" t="s">
        <v>666</v>
      </c>
      <c r="C3129" s="32" t="s">
        <v>796</v>
      </c>
      <c r="D3129" s="32" t="s">
        <v>1095</v>
      </c>
      <c r="E3129" s="33" t="s">
        <v>772</v>
      </c>
      <c r="F3129" s="34">
        <v>2100000</v>
      </c>
      <c r="G3129" s="34">
        <v>2100000</v>
      </c>
      <c r="H3129" s="35" t="s">
        <v>4279</v>
      </c>
    </row>
    <row r="3130" spans="1:8" ht="27" customHeight="1" x14ac:dyDescent="0.2">
      <c r="A3130" s="31" t="s">
        <v>4277</v>
      </c>
      <c r="B3130" s="32" t="s">
        <v>666</v>
      </c>
      <c r="C3130" s="32" t="s">
        <v>779</v>
      </c>
      <c r="D3130" s="32" t="s">
        <v>876</v>
      </c>
      <c r="E3130" s="33" t="s">
        <v>780</v>
      </c>
      <c r="F3130" s="34">
        <v>25628</v>
      </c>
      <c r="G3130" s="34">
        <v>25628</v>
      </c>
      <c r="H3130" s="35" t="s">
        <v>4279</v>
      </c>
    </row>
    <row r="3131" spans="1:8" ht="27" customHeight="1" x14ac:dyDescent="0.2">
      <c r="A3131" s="31" t="s">
        <v>4277</v>
      </c>
      <c r="B3131" s="32" t="s">
        <v>666</v>
      </c>
      <c r="C3131" s="32" t="s">
        <v>782</v>
      </c>
      <c r="D3131" s="32" t="s">
        <v>813</v>
      </c>
      <c r="E3131" s="33" t="s">
        <v>784</v>
      </c>
      <c r="F3131" s="34">
        <v>600000</v>
      </c>
      <c r="G3131" s="34">
        <v>600000</v>
      </c>
      <c r="H3131" s="35" t="s">
        <v>4279</v>
      </c>
    </row>
    <row r="3132" spans="1:8" ht="27" customHeight="1" x14ac:dyDescent="0.2">
      <c r="A3132" s="31" t="s">
        <v>4280</v>
      </c>
      <c r="B3132" s="32" t="s">
        <v>4281</v>
      </c>
      <c r="C3132" s="32" t="s">
        <v>770</v>
      </c>
      <c r="D3132" s="32" t="s">
        <v>1136</v>
      </c>
      <c r="E3132" s="33" t="s">
        <v>772</v>
      </c>
      <c r="F3132" s="34">
        <v>1160000</v>
      </c>
      <c r="G3132" s="34">
        <v>1160000</v>
      </c>
      <c r="H3132" s="35" t="s">
        <v>4282</v>
      </c>
    </row>
    <row r="3133" spans="1:8" ht="27" customHeight="1" x14ac:dyDescent="0.2">
      <c r="A3133" s="31" t="s">
        <v>4280</v>
      </c>
      <c r="B3133" s="32" t="s">
        <v>4281</v>
      </c>
      <c r="C3133" s="32" t="s">
        <v>796</v>
      </c>
      <c r="D3133" s="32" t="s">
        <v>1095</v>
      </c>
      <c r="E3133" s="33" t="s">
        <v>823</v>
      </c>
      <c r="F3133" s="34">
        <v>428672</v>
      </c>
      <c r="G3133" s="34">
        <v>428672</v>
      </c>
      <c r="H3133" s="35" t="s">
        <v>4283</v>
      </c>
    </row>
    <row r="3134" spans="1:8" ht="27" customHeight="1" x14ac:dyDescent="0.2">
      <c r="A3134" s="31" t="s">
        <v>4280</v>
      </c>
      <c r="B3134" s="32" t="s">
        <v>4281</v>
      </c>
      <c r="C3134" s="32" t="s">
        <v>776</v>
      </c>
      <c r="D3134" s="32" t="s">
        <v>776</v>
      </c>
      <c r="E3134" s="33" t="s">
        <v>777</v>
      </c>
      <c r="F3134" s="34">
        <v>1406637</v>
      </c>
      <c r="G3134" s="34">
        <v>1403637</v>
      </c>
      <c r="H3134" s="35" t="s">
        <v>4284</v>
      </c>
    </row>
    <row r="3135" spans="1:8" ht="27" customHeight="1" x14ac:dyDescent="0.2">
      <c r="A3135" s="31" t="s">
        <v>4285</v>
      </c>
      <c r="B3135" s="32" t="s">
        <v>243</v>
      </c>
      <c r="C3135" s="32" t="s">
        <v>770</v>
      </c>
      <c r="D3135" s="32" t="s">
        <v>4286</v>
      </c>
      <c r="E3135" s="33" t="s">
        <v>772</v>
      </c>
      <c r="F3135" s="34">
        <v>61822</v>
      </c>
      <c r="G3135" s="34">
        <v>61822</v>
      </c>
      <c r="H3135" s="35" t="s">
        <v>4287</v>
      </c>
    </row>
    <row r="3136" spans="1:8" ht="27" customHeight="1" x14ac:dyDescent="0.2">
      <c r="A3136" s="31" t="s">
        <v>4285</v>
      </c>
      <c r="B3136" s="32" t="s">
        <v>243</v>
      </c>
      <c r="C3136" s="32" t="s">
        <v>844</v>
      </c>
      <c r="D3136" s="32" t="s">
        <v>844</v>
      </c>
      <c r="E3136" s="33" t="s">
        <v>846</v>
      </c>
      <c r="F3136" s="34">
        <v>733000</v>
      </c>
      <c r="G3136" s="34">
        <v>733000</v>
      </c>
      <c r="H3136" s="35" t="s">
        <v>4288</v>
      </c>
    </row>
    <row r="3137" spans="1:8" ht="27" customHeight="1" x14ac:dyDescent="0.2">
      <c r="A3137" s="31" t="s">
        <v>4285</v>
      </c>
      <c r="B3137" s="32" t="s">
        <v>243</v>
      </c>
      <c r="C3137" s="32" t="s">
        <v>886</v>
      </c>
      <c r="D3137" s="32" t="s">
        <v>886</v>
      </c>
      <c r="E3137" s="33" t="s">
        <v>887</v>
      </c>
      <c r="F3137" s="34">
        <v>62158</v>
      </c>
      <c r="G3137" s="34">
        <v>62158</v>
      </c>
      <c r="H3137" s="35" t="s">
        <v>4289</v>
      </c>
    </row>
    <row r="3138" spans="1:8" ht="27" customHeight="1" x14ac:dyDescent="0.2">
      <c r="A3138" s="31" t="s">
        <v>4285</v>
      </c>
      <c r="B3138" s="32" t="s">
        <v>243</v>
      </c>
      <c r="C3138" s="32" t="s">
        <v>796</v>
      </c>
      <c r="D3138" s="32" t="s">
        <v>862</v>
      </c>
      <c r="E3138" s="33" t="s">
        <v>823</v>
      </c>
      <c r="F3138" s="34">
        <v>1125000</v>
      </c>
      <c r="G3138" s="34">
        <v>1125000</v>
      </c>
      <c r="H3138" s="35" t="s">
        <v>4290</v>
      </c>
    </row>
    <row r="3139" spans="1:8" ht="27" customHeight="1" x14ac:dyDescent="0.2">
      <c r="A3139" s="31" t="s">
        <v>4285</v>
      </c>
      <c r="B3139" s="32" t="s">
        <v>243</v>
      </c>
      <c r="C3139" s="32" t="s">
        <v>776</v>
      </c>
      <c r="D3139" s="32" t="s">
        <v>776</v>
      </c>
      <c r="E3139" s="33" t="s">
        <v>777</v>
      </c>
      <c r="F3139" s="34">
        <v>160000</v>
      </c>
      <c r="G3139" s="34">
        <v>160000</v>
      </c>
      <c r="H3139" s="35" t="s">
        <v>4291</v>
      </c>
    </row>
    <row r="3140" spans="1:8" ht="27" customHeight="1" x14ac:dyDescent="0.2">
      <c r="A3140" s="31" t="s">
        <v>4285</v>
      </c>
      <c r="B3140" s="32" t="s">
        <v>243</v>
      </c>
      <c r="C3140" s="32" t="s">
        <v>779</v>
      </c>
      <c r="D3140" s="32" t="s">
        <v>802</v>
      </c>
      <c r="E3140" s="33" t="s">
        <v>780</v>
      </c>
      <c r="F3140" s="34">
        <v>180000</v>
      </c>
      <c r="G3140" s="34">
        <v>180000</v>
      </c>
      <c r="H3140" s="35" t="s">
        <v>4292</v>
      </c>
    </row>
    <row r="3141" spans="1:8" ht="27" customHeight="1" x14ac:dyDescent="0.2">
      <c r="A3141" s="31" t="s">
        <v>4285</v>
      </c>
      <c r="B3141" s="32" t="s">
        <v>243</v>
      </c>
      <c r="C3141" s="32" t="s">
        <v>782</v>
      </c>
      <c r="D3141" s="32" t="s">
        <v>782</v>
      </c>
      <c r="E3141" s="33" t="s">
        <v>784</v>
      </c>
      <c r="F3141" s="34">
        <v>75000</v>
      </c>
      <c r="G3141" s="34">
        <v>75000</v>
      </c>
      <c r="H3141" s="35" t="s">
        <v>4293</v>
      </c>
    </row>
    <row r="3142" spans="1:8" ht="27" customHeight="1" x14ac:dyDescent="0.2">
      <c r="A3142" s="31" t="s">
        <v>4294</v>
      </c>
      <c r="B3142" s="32" t="s">
        <v>4295</v>
      </c>
      <c r="C3142" s="32" t="s">
        <v>766</v>
      </c>
      <c r="D3142" s="32" t="s">
        <v>767</v>
      </c>
      <c r="E3142" s="33" t="s">
        <v>768</v>
      </c>
      <c r="F3142" s="34">
        <v>1370161</v>
      </c>
      <c r="G3142" s="34">
        <v>1370161</v>
      </c>
      <c r="H3142" s="35" t="s">
        <v>4296</v>
      </c>
    </row>
    <row r="3143" spans="1:8" ht="27" customHeight="1" x14ac:dyDescent="0.2">
      <c r="A3143" s="31" t="s">
        <v>4294</v>
      </c>
      <c r="B3143" s="32" t="s">
        <v>4295</v>
      </c>
      <c r="C3143" s="32" t="s">
        <v>770</v>
      </c>
      <c r="D3143" s="32" t="s">
        <v>770</v>
      </c>
      <c r="E3143" s="33" t="s">
        <v>772</v>
      </c>
      <c r="F3143" s="34">
        <v>596494</v>
      </c>
      <c r="G3143" s="34">
        <v>596494</v>
      </c>
      <c r="H3143" s="35" t="s">
        <v>4297</v>
      </c>
    </row>
    <row r="3144" spans="1:8" ht="27" customHeight="1" x14ac:dyDescent="0.2">
      <c r="A3144" s="31" t="s">
        <v>4294</v>
      </c>
      <c r="B3144" s="32" t="s">
        <v>4295</v>
      </c>
      <c r="C3144" s="32" t="s">
        <v>796</v>
      </c>
      <c r="D3144" s="32" t="s">
        <v>796</v>
      </c>
      <c r="E3144" s="33" t="s">
        <v>823</v>
      </c>
      <c r="F3144" s="34">
        <v>1201040</v>
      </c>
      <c r="G3144" s="34">
        <v>1201040</v>
      </c>
      <c r="H3144" s="35" t="s">
        <v>4298</v>
      </c>
    </row>
    <row r="3145" spans="1:8" ht="27" customHeight="1" x14ac:dyDescent="0.2">
      <c r="A3145" s="31" t="s">
        <v>4294</v>
      </c>
      <c r="B3145" s="32" t="s">
        <v>4295</v>
      </c>
      <c r="C3145" s="32" t="s">
        <v>776</v>
      </c>
      <c r="D3145" s="32" t="s">
        <v>776</v>
      </c>
      <c r="E3145" s="33" t="s">
        <v>777</v>
      </c>
      <c r="F3145" s="34">
        <v>580172</v>
      </c>
      <c r="G3145" s="34">
        <v>580172</v>
      </c>
      <c r="H3145" s="35" t="s">
        <v>4299</v>
      </c>
    </row>
    <row r="3146" spans="1:8" ht="27" customHeight="1" x14ac:dyDescent="0.2">
      <c r="A3146" s="31" t="s">
        <v>4294</v>
      </c>
      <c r="B3146" s="32" t="s">
        <v>4295</v>
      </c>
      <c r="C3146" s="32" t="s">
        <v>779</v>
      </c>
      <c r="D3146" s="32" t="s">
        <v>779</v>
      </c>
      <c r="E3146" s="33" t="s">
        <v>780</v>
      </c>
      <c r="F3146" s="34">
        <v>148538</v>
      </c>
      <c r="G3146" s="34">
        <v>148538</v>
      </c>
      <c r="H3146" s="35" t="s">
        <v>4300</v>
      </c>
    </row>
    <row r="3147" spans="1:8" ht="27" customHeight="1" x14ac:dyDescent="0.2">
      <c r="A3147" s="31" t="s">
        <v>4294</v>
      </c>
      <c r="B3147" s="32" t="s">
        <v>4295</v>
      </c>
      <c r="C3147" s="32" t="s">
        <v>782</v>
      </c>
      <c r="D3147" s="32" t="s">
        <v>782</v>
      </c>
      <c r="E3147" s="33" t="s">
        <v>784</v>
      </c>
      <c r="F3147" s="34">
        <v>35311</v>
      </c>
      <c r="G3147" s="34">
        <v>35311</v>
      </c>
      <c r="H3147" s="35" t="s">
        <v>4301</v>
      </c>
    </row>
    <row r="3148" spans="1:8" ht="27" customHeight="1" x14ac:dyDescent="0.2">
      <c r="A3148" s="31" t="s">
        <v>4302</v>
      </c>
      <c r="B3148" s="32" t="s">
        <v>4303</v>
      </c>
      <c r="C3148" s="32" t="s">
        <v>763</v>
      </c>
      <c r="D3148" s="32" t="s">
        <v>1416</v>
      </c>
      <c r="E3148" s="33" t="s">
        <v>764</v>
      </c>
      <c r="F3148" s="34">
        <v>3948558</v>
      </c>
      <c r="G3148" s="34">
        <v>6160353</v>
      </c>
      <c r="H3148" s="35" t="s">
        <v>859</v>
      </c>
    </row>
    <row r="3149" spans="1:8" ht="27" customHeight="1" x14ac:dyDescent="0.2">
      <c r="A3149" s="31" t="s">
        <v>4302</v>
      </c>
      <c r="B3149" s="32" t="s">
        <v>4303</v>
      </c>
      <c r="C3149" s="32" t="s">
        <v>770</v>
      </c>
      <c r="D3149" s="32" t="s">
        <v>4304</v>
      </c>
      <c r="E3149" s="33" t="s">
        <v>772</v>
      </c>
      <c r="F3149" s="34">
        <v>335991</v>
      </c>
      <c r="G3149" s="34">
        <v>336273</v>
      </c>
      <c r="H3149" s="35" t="s">
        <v>859</v>
      </c>
    </row>
    <row r="3150" spans="1:8" ht="27" customHeight="1" x14ac:dyDescent="0.2">
      <c r="A3150" s="31" t="s">
        <v>4302</v>
      </c>
      <c r="B3150" s="32" t="s">
        <v>4303</v>
      </c>
      <c r="C3150" s="32" t="s">
        <v>844</v>
      </c>
      <c r="D3150" s="32" t="s">
        <v>972</v>
      </c>
      <c r="E3150" s="33" t="s">
        <v>846</v>
      </c>
      <c r="F3150" s="34">
        <v>250205</v>
      </c>
      <c r="G3150" s="34">
        <v>250415</v>
      </c>
      <c r="H3150" s="35" t="s">
        <v>859</v>
      </c>
    </row>
    <row r="3151" spans="1:8" ht="27" customHeight="1" x14ac:dyDescent="0.2">
      <c r="A3151" s="31" t="s">
        <v>4302</v>
      </c>
      <c r="B3151" s="32" t="s">
        <v>4303</v>
      </c>
      <c r="C3151" s="32" t="s">
        <v>796</v>
      </c>
      <c r="D3151" s="32" t="s">
        <v>811</v>
      </c>
      <c r="E3151" s="33" t="s">
        <v>772</v>
      </c>
      <c r="F3151" s="34">
        <v>300246</v>
      </c>
      <c r="G3151" s="34">
        <v>300498</v>
      </c>
      <c r="H3151" s="35" t="s">
        <v>859</v>
      </c>
    </row>
    <row r="3152" spans="1:8" ht="27" customHeight="1" x14ac:dyDescent="0.2">
      <c r="A3152" s="31" t="s">
        <v>4302</v>
      </c>
      <c r="B3152" s="32" t="s">
        <v>4303</v>
      </c>
      <c r="C3152" s="32" t="s">
        <v>776</v>
      </c>
      <c r="D3152" s="32" t="s">
        <v>812</v>
      </c>
      <c r="E3152" s="33" t="s">
        <v>777</v>
      </c>
      <c r="F3152" s="34">
        <v>1938463</v>
      </c>
      <c r="G3152" s="34">
        <v>1938714</v>
      </c>
      <c r="H3152" s="35" t="s">
        <v>4305</v>
      </c>
    </row>
    <row r="3153" spans="1:8" ht="27" customHeight="1" x14ac:dyDescent="0.2">
      <c r="A3153" s="31" t="s">
        <v>4302</v>
      </c>
      <c r="B3153" s="32" t="s">
        <v>4303</v>
      </c>
      <c r="C3153" s="32" t="s">
        <v>779</v>
      </c>
      <c r="D3153" s="32" t="s">
        <v>876</v>
      </c>
      <c r="E3153" s="33" t="s">
        <v>780</v>
      </c>
      <c r="F3153" s="34">
        <v>157991</v>
      </c>
      <c r="G3153" s="34">
        <v>158011</v>
      </c>
      <c r="H3153" s="35" t="s">
        <v>859</v>
      </c>
    </row>
    <row r="3154" spans="1:8" ht="27" customHeight="1" x14ac:dyDescent="0.2">
      <c r="A3154" s="31" t="s">
        <v>4302</v>
      </c>
      <c r="B3154" s="32" t="s">
        <v>4303</v>
      </c>
      <c r="C3154" s="32" t="s">
        <v>782</v>
      </c>
      <c r="D3154" s="32" t="s">
        <v>813</v>
      </c>
      <c r="E3154" s="33" t="s">
        <v>784</v>
      </c>
      <c r="F3154" s="34">
        <v>283542</v>
      </c>
      <c r="G3154" s="34">
        <v>283573</v>
      </c>
      <c r="H3154" s="35" t="s">
        <v>4306</v>
      </c>
    </row>
    <row r="3155" spans="1:8" ht="27" customHeight="1" x14ac:dyDescent="0.2">
      <c r="A3155" s="31" t="s">
        <v>4307</v>
      </c>
      <c r="B3155" s="32" t="s">
        <v>4308</v>
      </c>
      <c r="C3155" s="32" t="s">
        <v>766</v>
      </c>
      <c r="D3155" s="32" t="s">
        <v>818</v>
      </c>
      <c r="E3155" s="33" t="s">
        <v>768</v>
      </c>
      <c r="F3155" s="34">
        <v>1455027</v>
      </c>
      <c r="G3155" s="34">
        <v>1455027</v>
      </c>
      <c r="H3155" s="35" t="s">
        <v>4309</v>
      </c>
    </row>
    <row r="3156" spans="1:8" ht="27" customHeight="1" x14ac:dyDescent="0.2">
      <c r="A3156" s="31" t="s">
        <v>4307</v>
      </c>
      <c r="B3156" s="32" t="s">
        <v>4308</v>
      </c>
      <c r="C3156" s="32" t="s">
        <v>770</v>
      </c>
      <c r="D3156" s="32" t="s">
        <v>4310</v>
      </c>
      <c r="E3156" s="33" t="s">
        <v>772</v>
      </c>
      <c r="F3156" s="34">
        <v>1851257</v>
      </c>
      <c r="G3156" s="34">
        <v>1750000</v>
      </c>
      <c r="H3156" s="35" t="s">
        <v>4311</v>
      </c>
    </row>
    <row r="3157" spans="1:8" ht="27" customHeight="1" x14ac:dyDescent="0.2">
      <c r="A3157" s="31" t="s">
        <v>4307</v>
      </c>
      <c r="B3157" s="32" t="s">
        <v>4308</v>
      </c>
      <c r="C3157" s="32" t="s">
        <v>796</v>
      </c>
      <c r="D3157" s="32" t="s">
        <v>4312</v>
      </c>
      <c r="E3157" s="33" t="s">
        <v>823</v>
      </c>
      <c r="F3157" s="34">
        <v>2352058</v>
      </c>
      <c r="G3157" s="34">
        <v>2352058</v>
      </c>
      <c r="H3157" s="35" t="s">
        <v>4313</v>
      </c>
    </row>
    <row r="3158" spans="1:8" ht="27" customHeight="1" x14ac:dyDescent="0.2">
      <c r="A3158" s="31" t="s">
        <v>4307</v>
      </c>
      <c r="B3158" s="32" t="s">
        <v>4308</v>
      </c>
      <c r="C3158" s="32" t="s">
        <v>776</v>
      </c>
      <c r="D3158" s="32" t="s">
        <v>2074</v>
      </c>
      <c r="E3158" s="33" t="s">
        <v>777</v>
      </c>
      <c r="F3158" s="34">
        <v>283983</v>
      </c>
      <c r="G3158" s="34">
        <v>270000</v>
      </c>
      <c r="H3158" s="35" t="s">
        <v>4314</v>
      </c>
    </row>
    <row r="3159" spans="1:8" ht="27" customHeight="1" x14ac:dyDescent="0.2">
      <c r="A3159" s="31" t="s">
        <v>4307</v>
      </c>
      <c r="B3159" s="32" t="s">
        <v>4308</v>
      </c>
      <c r="C3159" s="32" t="s">
        <v>779</v>
      </c>
      <c r="D3159" s="32" t="s">
        <v>802</v>
      </c>
      <c r="E3159" s="33" t="s">
        <v>780</v>
      </c>
      <c r="F3159" s="34">
        <v>300000</v>
      </c>
      <c r="G3159" s="34">
        <v>300000</v>
      </c>
      <c r="H3159" s="35" t="s">
        <v>4315</v>
      </c>
    </row>
    <row r="3160" spans="1:8" ht="27" customHeight="1" x14ac:dyDescent="0.2">
      <c r="A3160" s="31" t="s">
        <v>4316</v>
      </c>
      <c r="B3160" s="32" t="s">
        <v>4317</v>
      </c>
      <c r="C3160" s="32" t="s">
        <v>770</v>
      </c>
      <c r="D3160" s="32" t="s">
        <v>4318</v>
      </c>
      <c r="E3160" s="33" t="s">
        <v>772</v>
      </c>
      <c r="F3160" s="34">
        <v>133867</v>
      </c>
      <c r="G3160" s="34">
        <v>90000</v>
      </c>
      <c r="H3160" s="35" t="s">
        <v>4319</v>
      </c>
    </row>
    <row r="3161" spans="1:8" ht="27" customHeight="1" x14ac:dyDescent="0.2">
      <c r="A3161" s="31" t="s">
        <v>4316</v>
      </c>
      <c r="B3161" s="32" t="s">
        <v>4317</v>
      </c>
      <c r="C3161" s="32" t="s">
        <v>831</v>
      </c>
      <c r="D3161" s="32" t="s">
        <v>4320</v>
      </c>
      <c r="E3161" s="33" t="s">
        <v>4321</v>
      </c>
      <c r="F3161" s="34">
        <v>127502</v>
      </c>
      <c r="G3161" s="34">
        <v>105000</v>
      </c>
      <c r="H3161" s="35" t="s">
        <v>4322</v>
      </c>
    </row>
    <row r="3162" spans="1:8" ht="27" customHeight="1" x14ac:dyDescent="0.2">
      <c r="A3162" s="31" t="s">
        <v>4316</v>
      </c>
      <c r="B3162" s="32" t="s">
        <v>4317</v>
      </c>
      <c r="C3162" s="32" t="s">
        <v>796</v>
      </c>
      <c r="D3162" s="32" t="s">
        <v>811</v>
      </c>
      <c r="E3162" s="33" t="s">
        <v>823</v>
      </c>
      <c r="F3162" s="34">
        <v>2588194</v>
      </c>
      <c r="G3162" s="34">
        <v>1138194</v>
      </c>
      <c r="H3162" s="35" t="s">
        <v>4323</v>
      </c>
    </row>
    <row r="3163" spans="1:8" ht="27" customHeight="1" x14ac:dyDescent="0.2">
      <c r="A3163" s="31" t="s">
        <v>4316</v>
      </c>
      <c r="B3163" s="32" t="s">
        <v>4317</v>
      </c>
      <c r="C3163" s="32" t="s">
        <v>776</v>
      </c>
      <c r="D3163" s="32" t="s">
        <v>776</v>
      </c>
      <c r="E3163" s="33" t="s">
        <v>777</v>
      </c>
      <c r="F3163" s="34">
        <v>552340</v>
      </c>
      <c r="G3163" s="34">
        <v>475000</v>
      </c>
      <c r="H3163" s="35" t="s">
        <v>4324</v>
      </c>
    </row>
    <row r="3164" spans="1:8" ht="27" customHeight="1" x14ac:dyDescent="0.2">
      <c r="A3164" s="31" t="s">
        <v>4316</v>
      </c>
      <c r="B3164" s="32" t="s">
        <v>4317</v>
      </c>
      <c r="C3164" s="32" t="s">
        <v>779</v>
      </c>
      <c r="D3164" s="32" t="s">
        <v>779</v>
      </c>
      <c r="E3164" s="33" t="s">
        <v>780</v>
      </c>
      <c r="F3164" s="34">
        <v>259867</v>
      </c>
      <c r="G3164" s="34">
        <v>240000</v>
      </c>
      <c r="H3164" s="35" t="s">
        <v>4325</v>
      </c>
    </row>
    <row r="3165" spans="1:8" ht="27" customHeight="1" x14ac:dyDescent="0.2">
      <c r="A3165" s="31" t="s">
        <v>4326</v>
      </c>
      <c r="B3165" s="32" t="s">
        <v>4327</v>
      </c>
      <c r="C3165" s="32" t="s">
        <v>763</v>
      </c>
      <c r="D3165" s="32" t="s">
        <v>763</v>
      </c>
      <c r="E3165" s="33" t="s">
        <v>764</v>
      </c>
      <c r="F3165" s="34">
        <v>500000</v>
      </c>
      <c r="G3165" s="34">
        <v>1000000</v>
      </c>
      <c r="H3165" s="35" t="s">
        <v>4328</v>
      </c>
    </row>
    <row r="3166" spans="1:8" ht="27" customHeight="1" x14ac:dyDescent="0.2">
      <c r="A3166" s="31" t="s">
        <v>4326</v>
      </c>
      <c r="B3166" s="32" t="s">
        <v>4327</v>
      </c>
      <c r="C3166" s="32" t="s">
        <v>770</v>
      </c>
      <c r="D3166" s="32" t="s">
        <v>771</v>
      </c>
      <c r="E3166" s="33" t="s">
        <v>772</v>
      </c>
      <c r="F3166" s="34">
        <v>2113650</v>
      </c>
      <c r="G3166" s="34">
        <v>2113650</v>
      </c>
      <c r="H3166" s="35" t="s">
        <v>4329</v>
      </c>
    </row>
    <row r="3167" spans="1:8" ht="27" customHeight="1" x14ac:dyDescent="0.2">
      <c r="A3167" s="31" t="s">
        <v>4326</v>
      </c>
      <c r="B3167" s="32" t="s">
        <v>4327</v>
      </c>
      <c r="C3167" s="32" t="s">
        <v>844</v>
      </c>
      <c r="D3167" s="32" t="s">
        <v>844</v>
      </c>
      <c r="E3167" s="33" t="s">
        <v>846</v>
      </c>
      <c r="F3167" s="34">
        <v>113550</v>
      </c>
      <c r="G3167" s="34">
        <v>113550</v>
      </c>
      <c r="H3167" s="35" t="s">
        <v>4330</v>
      </c>
    </row>
    <row r="3168" spans="1:8" ht="27" customHeight="1" x14ac:dyDescent="0.2">
      <c r="A3168" s="31" t="s">
        <v>4326</v>
      </c>
      <c r="B3168" s="32" t="s">
        <v>4327</v>
      </c>
      <c r="C3168" s="32" t="s">
        <v>860</v>
      </c>
      <c r="D3168" s="32" t="s">
        <v>860</v>
      </c>
      <c r="E3168" s="33" t="s">
        <v>861</v>
      </c>
      <c r="F3168" s="34">
        <v>137023</v>
      </c>
      <c r="G3168" s="34">
        <v>637023</v>
      </c>
      <c r="H3168" s="35" t="s">
        <v>4331</v>
      </c>
    </row>
    <row r="3169" spans="1:8" ht="27" customHeight="1" x14ac:dyDescent="0.2">
      <c r="A3169" s="31" t="s">
        <v>4326</v>
      </c>
      <c r="B3169" s="32" t="s">
        <v>4327</v>
      </c>
      <c r="C3169" s="32" t="s">
        <v>796</v>
      </c>
      <c r="D3169" s="32" t="s">
        <v>961</v>
      </c>
      <c r="E3169" s="33" t="s">
        <v>823</v>
      </c>
      <c r="F3169" s="34">
        <v>5000000</v>
      </c>
      <c r="G3169" s="34">
        <v>5000000</v>
      </c>
      <c r="H3169" s="35" t="s">
        <v>4332</v>
      </c>
    </row>
    <row r="3170" spans="1:8" ht="27" customHeight="1" x14ac:dyDescent="0.2">
      <c r="A3170" s="31" t="s">
        <v>4326</v>
      </c>
      <c r="B3170" s="32" t="s">
        <v>4327</v>
      </c>
      <c r="C3170" s="32" t="s">
        <v>776</v>
      </c>
      <c r="D3170" s="32" t="s">
        <v>776</v>
      </c>
      <c r="E3170" s="33" t="s">
        <v>777</v>
      </c>
      <c r="F3170" s="34">
        <v>4345388</v>
      </c>
      <c r="G3170" s="34">
        <v>4345388</v>
      </c>
      <c r="H3170" s="35" t="s">
        <v>4333</v>
      </c>
    </row>
    <row r="3171" spans="1:8" ht="27" customHeight="1" x14ac:dyDescent="0.2">
      <c r="A3171" s="31" t="s">
        <v>4326</v>
      </c>
      <c r="B3171" s="32" t="s">
        <v>4327</v>
      </c>
      <c r="C3171" s="32" t="s">
        <v>779</v>
      </c>
      <c r="D3171" s="32" t="s">
        <v>779</v>
      </c>
      <c r="E3171" s="33" t="s">
        <v>780</v>
      </c>
      <c r="F3171" s="34">
        <v>725000</v>
      </c>
      <c r="G3171" s="34">
        <v>725000</v>
      </c>
      <c r="H3171" s="35" t="s">
        <v>4334</v>
      </c>
    </row>
    <row r="3172" spans="1:8" ht="27" customHeight="1" x14ac:dyDescent="0.2">
      <c r="A3172" s="31" t="s">
        <v>4326</v>
      </c>
      <c r="B3172" s="32" t="s">
        <v>4327</v>
      </c>
      <c r="C3172" s="32" t="s">
        <v>782</v>
      </c>
      <c r="D3172" s="32" t="s">
        <v>901</v>
      </c>
      <c r="E3172" s="33" t="s">
        <v>784</v>
      </c>
      <c r="F3172" s="34">
        <v>2825000</v>
      </c>
      <c r="G3172" s="34">
        <v>2825000</v>
      </c>
      <c r="H3172" s="35" t="s">
        <v>4335</v>
      </c>
    </row>
    <row r="3173" spans="1:8" ht="27" customHeight="1" x14ac:dyDescent="0.2">
      <c r="A3173" s="31" t="s">
        <v>4336</v>
      </c>
      <c r="B3173" s="32" t="s">
        <v>4337</v>
      </c>
      <c r="C3173" s="32" t="s">
        <v>763</v>
      </c>
      <c r="D3173" s="32" t="s">
        <v>4338</v>
      </c>
      <c r="E3173" s="33" t="s">
        <v>764</v>
      </c>
      <c r="F3173" s="34">
        <v>500000</v>
      </c>
      <c r="G3173" s="34">
        <v>500000</v>
      </c>
      <c r="H3173" s="35" t="s">
        <v>4339</v>
      </c>
    </row>
    <row r="3174" spans="1:8" ht="27" customHeight="1" x14ac:dyDescent="0.2">
      <c r="A3174" s="31" t="s">
        <v>4336</v>
      </c>
      <c r="B3174" s="32" t="s">
        <v>4337</v>
      </c>
      <c r="C3174" s="32" t="s">
        <v>763</v>
      </c>
      <c r="D3174" s="32" t="s">
        <v>4340</v>
      </c>
      <c r="E3174" s="33" t="s">
        <v>764</v>
      </c>
      <c r="F3174" s="34">
        <v>164346</v>
      </c>
      <c r="G3174" s="34">
        <v>164346</v>
      </c>
      <c r="H3174" s="35" t="s">
        <v>4341</v>
      </c>
    </row>
    <row r="3175" spans="1:8" ht="27" customHeight="1" x14ac:dyDescent="0.2">
      <c r="A3175" s="31" t="s">
        <v>4336</v>
      </c>
      <c r="B3175" s="32" t="s">
        <v>4337</v>
      </c>
      <c r="C3175" s="32" t="s">
        <v>763</v>
      </c>
      <c r="D3175" s="32" t="s">
        <v>4342</v>
      </c>
      <c r="E3175" s="33" t="s">
        <v>764</v>
      </c>
      <c r="F3175" s="34">
        <v>38389</v>
      </c>
      <c r="G3175" s="34">
        <v>438389</v>
      </c>
      <c r="H3175" s="35" t="s">
        <v>4343</v>
      </c>
    </row>
    <row r="3176" spans="1:8" ht="27" customHeight="1" x14ac:dyDescent="0.2">
      <c r="A3176" s="31" t="s">
        <v>4336</v>
      </c>
      <c r="B3176" s="32" t="s">
        <v>4337</v>
      </c>
      <c r="C3176" s="32" t="s">
        <v>763</v>
      </c>
      <c r="D3176" s="32" t="s">
        <v>4344</v>
      </c>
      <c r="E3176" s="33" t="s">
        <v>764</v>
      </c>
      <c r="F3176" s="34">
        <v>130805</v>
      </c>
      <c r="G3176" s="34">
        <v>130805</v>
      </c>
      <c r="H3176" s="35" t="s">
        <v>4345</v>
      </c>
    </row>
    <row r="3177" spans="1:8" ht="27" customHeight="1" x14ac:dyDescent="0.2">
      <c r="A3177" s="31" t="s">
        <v>4336</v>
      </c>
      <c r="B3177" s="32" t="s">
        <v>4337</v>
      </c>
      <c r="C3177" s="32" t="s">
        <v>766</v>
      </c>
      <c r="D3177" s="32" t="s">
        <v>767</v>
      </c>
      <c r="E3177" s="33" t="s">
        <v>768</v>
      </c>
      <c r="F3177" s="34">
        <v>105610</v>
      </c>
      <c r="G3177" s="34">
        <v>106086</v>
      </c>
      <c r="H3177" s="35" t="s">
        <v>4346</v>
      </c>
    </row>
    <row r="3178" spans="1:8" ht="27" customHeight="1" x14ac:dyDescent="0.2">
      <c r="A3178" s="31" t="s">
        <v>4336</v>
      </c>
      <c r="B3178" s="32" t="s">
        <v>4337</v>
      </c>
      <c r="C3178" s="32" t="s">
        <v>770</v>
      </c>
      <c r="D3178" s="32" t="s">
        <v>771</v>
      </c>
      <c r="E3178" s="33" t="s">
        <v>772</v>
      </c>
      <c r="F3178" s="34">
        <v>358918</v>
      </c>
      <c r="G3178" s="34">
        <v>352168</v>
      </c>
      <c r="H3178" s="35" t="s">
        <v>4347</v>
      </c>
    </row>
    <row r="3179" spans="1:8" ht="27" customHeight="1" x14ac:dyDescent="0.2">
      <c r="A3179" s="31" t="s">
        <v>4336</v>
      </c>
      <c r="B3179" s="32" t="s">
        <v>4337</v>
      </c>
      <c r="C3179" s="32" t="s">
        <v>796</v>
      </c>
      <c r="D3179" s="32" t="s">
        <v>796</v>
      </c>
      <c r="E3179" s="33" t="s">
        <v>772</v>
      </c>
      <c r="F3179" s="34">
        <v>1189434</v>
      </c>
      <c r="G3179" s="34">
        <v>1189434</v>
      </c>
      <c r="H3179" s="35" t="s">
        <v>4215</v>
      </c>
    </row>
    <row r="3180" spans="1:8" ht="27" customHeight="1" x14ac:dyDescent="0.2">
      <c r="A3180" s="31" t="s">
        <v>4336</v>
      </c>
      <c r="B3180" s="32" t="s">
        <v>4337</v>
      </c>
      <c r="C3180" s="32" t="s">
        <v>779</v>
      </c>
      <c r="D3180" s="32" t="s">
        <v>802</v>
      </c>
      <c r="E3180" s="33" t="s">
        <v>780</v>
      </c>
      <c r="F3180" s="34">
        <v>258802</v>
      </c>
      <c r="G3180" s="34">
        <v>249807</v>
      </c>
      <c r="H3180" s="35" t="s">
        <v>4348</v>
      </c>
    </row>
    <row r="3181" spans="1:8" ht="27" customHeight="1" x14ac:dyDescent="0.2">
      <c r="A3181" s="31" t="s">
        <v>4336</v>
      </c>
      <c r="B3181" s="32" t="s">
        <v>4337</v>
      </c>
      <c r="C3181" s="32" t="s">
        <v>782</v>
      </c>
      <c r="D3181" s="32" t="s">
        <v>782</v>
      </c>
      <c r="E3181" s="33" t="s">
        <v>784</v>
      </c>
      <c r="F3181" s="34">
        <v>176119</v>
      </c>
      <c r="G3181" s="34">
        <v>176119</v>
      </c>
      <c r="H3181" s="35" t="s">
        <v>4215</v>
      </c>
    </row>
    <row r="3182" spans="1:8" ht="27" customHeight="1" x14ac:dyDescent="0.2">
      <c r="A3182" s="31" t="s">
        <v>4349</v>
      </c>
      <c r="B3182" s="32" t="s">
        <v>4350</v>
      </c>
      <c r="C3182" s="32" t="s">
        <v>763</v>
      </c>
      <c r="D3182" s="32" t="s">
        <v>763</v>
      </c>
      <c r="E3182" s="33" t="s">
        <v>764</v>
      </c>
      <c r="F3182" s="34">
        <v>2479</v>
      </c>
      <c r="G3182" s="34">
        <v>2503</v>
      </c>
      <c r="H3182" s="35" t="s">
        <v>859</v>
      </c>
    </row>
    <row r="3183" spans="1:8" ht="27" customHeight="1" x14ac:dyDescent="0.2">
      <c r="A3183" s="31" t="s">
        <v>4349</v>
      </c>
      <c r="B3183" s="32" t="s">
        <v>4350</v>
      </c>
      <c r="C3183" s="32" t="s">
        <v>770</v>
      </c>
      <c r="D3183" s="32" t="s">
        <v>1136</v>
      </c>
      <c r="E3183" s="33" t="s">
        <v>772</v>
      </c>
      <c r="F3183" s="34">
        <v>183217</v>
      </c>
      <c r="G3183" s="34">
        <v>185049</v>
      </c>
      <c r="H3183" s="35" t="s">
        <v>1645</v>
      </c>
    </row>
    <row r="3184" spans="1:8" ht="27" customHeight="1" x14ac:dyDescent="0.2">
      <c r="A3184" s="31" t="s">
        <v>4349</v>
      </c>
      <c r="B3184" s="32" t="s">
        <v>4350</v>
      </c>
      <c r="C3184" s="32" t="s">
        <v>844</v>
      </c>
      <c r="D3184" s="32" t="s">
        <v>844</v>
      </c>
      <c r="E3184" s="33" t="s">
        <v>846</v>
      </c>
      <c r="F3184" s="34">
        <v>30084</v>
      </c>
      <c r="G3184" s="34">
        <v>30485</v>
      </c>
      <c r="H3184" s="35" t="s">
        <v>4351</v>
      </c>
    </row>
    <row r="3185" spans="1:8" ht="27" customHeight="1" x14ac:dyDescent="0.2">
      <c r="A3185" s="31" t="s">
        <v>4349</v>
      </c>
      <c r="B3185" s="32" t="s">
        <v>4350</v>
      </c>
      <c r="C3185" s="32" t="s">
        <v>796</v>
      </c>
      <c r="D3185" s="32" t="s">
        <v>796</v>
      </c>
      <c r="E3185" s="33" t="s">
        <v>772</v>
      </c>
      <c r="F3185" s="34">
        <v>294236</v>
      </c>
      <c r="G3185" s="34">
        <v>297980</v>
      </c>
      <c r="H3185" s="35" t="s">
        <v>1611</v>
      </c>
    </row>
    <row r="3186" spans="1:8" ht="27" customHeight="1" x14ac:dyDescent="0.2">
      <c r="A3186" s="31" t="s">
        <v>4349</v>
      </c>
      <c r="B3186" s="32" t="s">
        <v>4350</v>
      </c>
      <c r="C3186" s="32" t="s">
        <v>776</v>
      </c>
      <c r="D3186" s="32" t="s">
        <v>776</v>
      </c>
      <c r="E3186" s="33" t="s">
        <v>777</v>
      </c>
      <c r="F3186" s="34">
        <v>37</v>
      </c>
      <c r="G3186" s="34">
        <v>38</v>
      </c>
      <c r="H3186" s="35" t="s">
        <v>4352</v>
      </c>
    </row>
    <row r="3187" spans="1:8" ht="27" customHeight="1" x14ac:dyDescent="0.2">
      <c r="A3187" s="31" t="s">
        <v>4349</v>
      </c>
      <c r="B3187" s="32" t="s">
        <v>4350</v>
      </c>
      <c r="C3187" s="32" t="s">
        <v>779</v>
      </c>
      <c r="D3187" s="32" t="s">
        <v>802</v>
      </c>
      <c r="E3187" s="33" t="s">
        <v>780</v>
      </c>
      <c r="F3187" s="34">
        <v>32868</v>
      </c>
      <c r="G3187" s="34">
        <v>33230</v>
      </c>
      <c r="H3187" s="35" t="s">
        <v>1612</v>
      </c>
    </row>
    <row r="3188" spans="1:8" ht="27" customHeight="1" x14ac:dyDescent="0.2">
      <c r="A3188" s="31" t="s">
        <v>4353</v>
      </c>
      <c r="B3188" s="32" t="s">
        <v>4354</v>
      </c>
      <c r="C3188" s="32" t="s">
        <v>763</v>
      </c>
      <c r="D3188" s="32" t="s">
        <v>763</v>
      </c>
      <c r="E3188" s="33" t="s">
        <v>764</v>
      </c>
      <c r="F3188" s="34">
        <v>0</v>
      </c>
      <c r="G3188" s="34">
        <v>200000</v>
      </c>
      <c r="H3188" s="35" t="s">
        <v>4355</v>
      </c>
    </row>
    <row r="3189" spans="1:8" ht="27" customHeight="1" x14ac:dyDescent="0.2">
      <c r="A3189" s="31" t="s">
        <v>4353</v>
      </c>
      <c r="B3189" s="32" t="s">
        <v>4354</v>
      </c>
      <c r="C3189" s="32" t="s">
        <v>770</v>
      </c>
      <c r="D3189" s="32" t="s">
        <v>771</v>
      </c>
      <c r="E3189" s="33" t="s">
        <v>772</v>
      </c>
      <c r="F3189" s="34">
        <v>411135</v>
      </c>
      <c r="G3189" s="34">
        <v>411135</v>
      </c>
      <c r="H3189" s="35" t="s">
        <v>4356</v>
      </c>
    </row>
    <row r="3190" spans="1:8" ht="27" customHeight="1" x14ac:dyDescent="0.2">
      <c r="A3190" s="31" t="s">
        <v>4353</v>
      </c>
      <c r="B3190" s="32" t="s">
        <v>4354</v>
      </c>
      <c r="C3190" s="32" t="s">
        <v>844</v>
      </c>
      <c r="D3190" s="32" t="s">
        <v>844</v>
      </c>
      <c r="E3190" s="33" t="s">
        <v>846</v>
      </c>
      <c r="F3190" s="34">
        <v>125348</v>
      </c>
      <c r="G3190" s="34">
        <v>125348</v>
      </c>
      <c r="H3190" s="35" t="s">
        <v>4357</v>
      </c>
    </row>
    <row r="3191" spans="1:8" ht="27" customHeight="1" x14ac:dyDescent="0.2">
      <c r="A3191" s="31" t="s">
        <v>4353</v>
      </c>
      <c r="B3191" s="32" t="s">
        <v>4354</v>
      </c>
      <c r="C3191" s="32" t="s">
        <v>886</v>
      </c>
      <c r="D3191" s="32" t="s">
        <v>886</v>
      </c>
      <c r="E3191" s="33" t="s">
        <v>887</v>
      </c>
      <c r="F3191" s="34">
        <v>16</v>
      </c>
      <c r="G3191" s="34">
        <v>0</v>
      </c>
      <c r="H3191" s="35" t="s">
        <v>4358</v>
      </c>
    </row>
    <row r="3192" spans="1:8" ht="27" customHeight="1" x14ac:dyDescent="0.2">
      <c r="A3192" s="31" t="s">
        <v>4353</v>
      </c>
      <c r="B3192" s="32" t="s">
        <v>4354</v>
      </c>
      <c r="C3192" s="32" t="s">
        <v>796</v>
      </c>
      <c r="D3192" s="32" t="s">
        <v>862</v>
      </c>
      <c r="E3192" s="33" t="s">
        <v>823</v>
      </c>
      <c r="F3192" s="34">
        <v>401107</v>
      </c>
      <c r="G3192" s="34">
        <v>401107</v>
      </c>
      <c r="H3192" s="35" t="s">
        <v>4359</v>
      </c>
    </row>
    <row r="3193" spans="1:8" ht="27" customHeight="1" x14ac:dyDescent="0.2">
      <c r="A3193" s="31" t="s">
        <v>4353</v>
      </c>
      <c r="B3193" s="32" t="s">
        <v>4354</v>
      </c>
      <c r="C3193" s="32" t="s">
        <v>779</v>
      </c>
      <c r="D3193" s="32" t="s">
        <v>802</v>
      </c>
      <c r="E3193" s="33" t="s">
        <v>780</v>
      </c>
      <c r="F3193" s="34">
        <v>145613</v>
      </c>
      <c r="G3193" s="34">
        <v>145613</v>
      </c>
      <c r="H3193" s="35" t="s">
        <v>4360</v>
      </c>
    </row>
    <row r="3194" spans="1:8" ht="27" customHeight="1" x14ac:dyDescent="0.2">
      <c r="A3194" s="31" t="s">
        <v>4361</v>
      </c>
      <c r="B3194" s="32" t="s">
        <v>4362</v>
      </c>
      <c r="C3194" s="32" t="s">
        <v>766</v>
      </c>
      <c r="D3194" s="32" t="s">
        <v>832</v>
      </c>
      <c r="E3194" s="33" t="s">
        <v>768</v>
      </c>
      <c r="F3194" s="34">
        <v>754532</v>
      </c>
      <c r="G3194" s="34">
        <v>754532</v>
      </c>
      <c r="H3194" s="35" t="s">
        <v>4363</v>
      </c>
    </row>
    <row r="3195" spans="1:8" ht="27" customHeight="1" x14ac:dyDescent="0.2">
      <c r="A3195" s="31" t="s">
        <v>4361</v>
      </c>
      <c r="B3195" s="32" t="s">
        <v>4362</v>
      </c>
      <c r="C3195" s="32" t="s">
        <v>770</v>
      </c>
      <c r="D3195" s="32" t="s">
        <v>810</v>
      </c>
      <c r="E3195" s="33" t="s">
        <v>772</v>
      </c>
      <c r="F3195" s="34">
        <v>1013817</v>
      </c>
      <c r="G3195" s="34">
        <v>1013817</v>
      </c>
      <c r="H3195" s="35" t="s">
        <v>4364</v>
      </c>
    </row>
    <row r="3196" spans="1:8" ht="27" customHeight="1" x14ac:dyDescent="0.2">
      <c r="A3196" s="31" t="s">
        <v>4361</v>
      </c>
      <c r="B3196" s="32" t="s">
        <v>4362</v>
      </c>
      <c r="C3196" s="32" t="s">
        <v>860</v>
      </c>
      <c r="D3196" s="32" t="s">
        <v>911</v>
      </c>
      <c r="E3196" s="33" t="s">
        <v>861</v>
      </c>
      <c r="F3196" s="34">
        <v>357875</v>
      </c>
      <c r="G3196" s="34">
        <v>357875</v>
      </c>
      <c r="H3196" s="35" t="s">
        <v>859</v>
      </c>
    </row>
    <row r="3197" spans="1:8" ht="27" customHeight="1" x14ac:dyDescent="0.2">
      <c r="A3197" s="31" t="s">
        <v>4361</v>
      </c>
      <c r="B3197" s="32" t="s">
        <v>4362</v>
      </c>
      <c r="C3197" s="32" t="s">
        <v>796</v>
      </c>
      <c r="D3197" s="32" t="s">
        <v>811</v>
      </c>
      <c r="E3197" s="33" t="s">
        <v>823</v>
      </c>
      <c r="F3197" s="34">
        <v>1200260</v>
      </c>
      <c r="G3197" s="34">
        <v>1200260</v>
      </c>
      <c r="H3197" s="35" t="s">
        <v>4365</v>
      </c>
    </row>
    <row r="3198" spans="1:8" ht="27" customHeight="1" x14ac:dyDescent="0.2">
      <c r="A3198" s="31" t="s">
        <v>4366</v>
      </c>
      <c r="B3198" s="32" t="s">
        <v>4367</v>
      </c>
      <c r="C3198" s="32" t="s">
        <v>763</v>
      </c>
      <c r="D3198" s="32" t="s">
        <v>2562</v>
      </c>
      <c r="E3198" s="33" t="s">
        <v>764</v>
      </c>
      <c r="F3198" s="34">
        <v>2500000</v>
      </c>
      <c r="G3198" s="34">
        <v>2870000</v>
      </c>
      <c r="H3198" s="35" t="s">
        <v>4368</v>
      </c>
    </row>
    <row r="3199" spans="1:8" ht="27" customHeight="1" x14ac:dyDescent="0.2">
      <c r="A3199" s="31" t="s">
        <v>4366</v>
      </c>
      <c r="B3199" s="32" t="s">
        <v>4367</v>
      </c>
      <c r="C3199" s="32" t="s">
        <v>770</v>
      </c>
      <c r="D3199" s="32" t="s">
        <v>4369</v>
      </c>
      <c r="E3199" s="33" t="s">
        <v>772</v>
      </c>
      <c r="F3199" s="34">
        <v>832440</v>
      </c>
      <c r="G3199" s="34">
        <v>846000</v>
      </c>
      <c r="H3199" s="35" t="s">
        <v>4370</v>
      </c>
    </row>
    <row r="3200" spans="1:8" ht="27" customHeight="1" x14ac:dyDescent="0.2">
      <c r="A3200" s="31" t="s">
        <v>4366</v>
      </c>
      <c r="B3200" s="32" t="s">
        <v>4367</v>
      </c>
      <c r="C3200" s="32" t="s">
        <v>844</v>
      </c>
      <c r="D3200" s="32" t="s">
        <v>4371</v>
      </c>
      <c r="E3200" s="33" t="s">
        <v>846</v>
      </c>
      <c r="F3200" s="34">
        <v>199000</v>
      </c>
      <c r="G3200" s="34">
        <v>232000</v>
      </c>
      <c r="H3200" s="35" t="s">
        <v>4372</v>
      </c>
    </row>
    <row r="3201" spans="1:8" ht="27" customHeight="1" x14ac:dyDescent="0.2">
      <c r="A3201" s="31" t="s">
        <v>4366</v>
      </c>
      <c r="B3201" s="32" t="s">
        <v>4367</v>
      </c>
      <c r="C3201" s="32" t="s">
        <v>796</v>
      </c>
      <c r="D3201" s="32" t="s">
        <v>4373</v>
      </c>
      <c r="E3201" s="33" t="s">
        <v>823</v>
      </c>
      <c r="F3201" s="34">
        <v>389690</v>
      </c>
      <c r="G3201" s="34">
        <v>440000</v>
      </c>
      <c r="H3201" s="35" t="s">
        <v>4374</v>
      </c>
    </row>
    <row r="3202" spans="1:8" ht="27" customHeight="1" x14ac:dyDescent="0.2">
      <c r="A3202" s="31" t="s">
        <v>4366</v>
      </c>
      <c r="B3202" s="32" t="s">
        <v>4367</v>
      </c>
      <c r="C3202" s="32" t="s">
        <v>779</v>
      </c>
      <c r="D3202" s="32" t="s">
        <v>876</v>
      </c>
      <c r="E3202" s="33" t="s">
        <v>780</v>
      </c>
      <c r="F3202" s="34">
        <v>33620</v>
      </c>
      <c r="G3202" s="34">
        <v>35000</v>
      </c>
      <c r="H3202" s="35" t="s">
        <v>4375</v>
      </c>
    </row>
    <row r="3203" spans="1:8" ht="27" customHeight="1" x14ac:dyDescent="0.2">
      <c r="A3203" s="31" t="s">
        <v>4366</v>
      </c>
      <c r="B3203" s="32" t="s">
        <v>4367</v>
      </c>
      <c r="C3203" s="32" t="s">
        <v>782</v>
      </c>
      <c r="D3203" s="32" t="s">
        <v>964</v>
      </c>
      <c r="E3203" s="33" t="s">
        <v>784</v>
      </c>
      <c r="F3203" s="34">
        <v>156144</v>
      </c>
      <c r="G3203" s="34">
        <v>165000</v>
      </c>
      <c r="H3203" s="35" t="s">
        <v>4376</v>
      </c>
    </row>
    <row r="3204" spans="1:8" ht="27" customHeight="1" x14ac:dyDescent="0.2">
      <c r="A3204" s="31" t="s">
        <v>4377</v>
      </c>
      <c r="B3204" s="32" t="s">
        <v>4378</v>
      </c>
      <c r="C3204" s="32" t="s">
        <v>766</v>
      </c>
      <c r="D3204" s="32" t="s">
        <v>767</v>
      </c>
      <c r="E3204" s="33" t="s">
        <v>768</v>
      </c>
      <c r="F3204" s="34">
        <v>8882</v>
      </c>
      <c r="G3204" s="34">
        <v>8882</v>
      </c>
      <c r="H3204" s="35" t="s">
        <v>4379</v>
      </c>
    </row>
    <row r="3205" spans="1:8" ht="27" customHeight="1" x14ac:dyDescent="0.2">
      <c r="A3205" s="31" t="s">
        <v>4377</v>
      </c>
      <c r="B3205" s="32" t="s">
        <v>4378</v>
      </c>
      <c r="C3205" s="32" t="s">
        <v>770</v>
      </c>
      <c r="D3205" s="32" t="s">
        <v>794</v>
      </c>
      <c r="E3205" s="33" t="s">
        <v>772</v>
      </c>
      <c r="F3205" s="34">
        <v>217565</v>
      </c>
      <c r="G3205" s="34">
        <v>217565</v>
      </c>
      <c r="H3205" s="35" t="s">
        <v>4379</v>
      </c>
    </row>
    <row r="3206" spans="1:8" ht="27" customHeight="1" x14ac:dyDescent="0.2">
      <c r="A3206" s="31" t="s">
        <v>4377</v>
      </c>
      <c r="B3206" s="32" t="s">
        <v>4378</v>
      </c>
      <c r="C3206" s="32" t="s">
        <v>844</v>
      </c>
      <c r="D3206" s="32" t="s">
        <v>844</v>
      </c>
      <c r="E3206" s="33" t="s">
        <v>846</v>
      </c>
      <c r="F3206" s="34">
        <v>252669</v>
      </c>
      <c r="G3206" s="34">
        <v>252669</v>
      </c>
      <c r="H3206" s="35" t="s">
        <v>4379</v>
      </c>
    </row>
    <row r="3207" spans="1:8" ht="27" customHeight="1" x14ac:dyDescent="0.2">
      <c r="A3207" s="31" t="s">
        <v>4377</v>
      </c>
      <c r="B3207" s="32" t="s">
        <v>4378</v>
      </c>
      <c r="C3207" s="32" t="s">
        <v>831</v>
      </c>
      <c r="D3207" s="32" t="s">
        <v>4380</v>
      </c>
      <c r="E3207" s="33" t="s">
        <v>4381</v>
      </c>
      <c r="F3207" s="34">
        <v>1431</v>
      </c>
      <c r="G3207" s="34">
        <v>1431</v>
      </c>
      <c r="H3207" s="35" t="s">
        <v>4379</v>
      </c>
    </row>
    <row r="3208" spans="1:8" ht="27" customHeight="1" x14ac:dyDescent="0.2">
      <c r="A3208" s="31" t="s">
        <v>4377</v>
      </c>
      <c r="B3208" s="32" t="s">
        <v>4378</v>
      </c>
      <c r="C3208" s="32" t="s">
        <v>831</v>
      </c>
      <c r="D3208" s="32" t="s">
        <v>4382</v>
      </c>
      <c r="E3208" s="33" t="s">
        <v>4383</v>
      </c>
      <c r="F3208" s="34">
        <v>89</v>
      </c>
      <c r="G3208" s="34">
        <v>89</v>
      </c>
      <c r="H3208" s="35" t="s">
        <v>4379</v>
      </c>
    </row>
    <row r="3209" spans="1:8" ht="27" customHeight="1" x14ac:dyDescent="0.2">
      <c r="A3209" s="31" t="s">
        <v>4377</v>
      </c>
      <c r="B3209" s="32" t="s">
        <v>4378</v>
      </c>
      <c r="C3209" s="32" t="s">
        <v>886</v>
      </c>
      <c r="D3209" s="32" t="s">
        <v>886</v>
      </c>
      <c r="E3209" s="33" t="s">
        <v>887</v>
      </c>
      <c r="F3209" s="34">
        <v>149846</v>
      </c>
      <c r="G3209" s="34">
        <v>149846</v>
      </c>
      <c r="H3209" s="35" t="s">
        <v>4379</v>
      </c>
    </row>
    <row r="3210" spans="1:8" ht="27" customHeight="1" x14ac:dyDescent="0.2">
      <c r="A3210" s="31" t="s">
        <v>4377</v>
      </c>
      <c r="B3210" s="32" t="s">
        <v>4378</v>
      </c>
      <c r="C3210" s="32" t="s">
        <v>860</v>
      </c>
      <c r="D3210" s="32" t="s">
        <v>860</v>
      </c>
      <c r="E3210" s="33" t="s">
        <v>861</v>
      </c>
      <c r="F3210" s="34">
        <v>49081</v>
      </c>
      <c r="G3210" s="34">
        <v>49081</v>
      </c>
      <c r="H3210" s="35" t="s">
        <v>4379</v>
      </c>
    </row>
    <row r="3211" spans="1:8" ht="27" customHeight="1" x14ac:dyDescent="0.2">
      <c r="A3211" s="31" t="s">
        <v>4377</v>
      </c>
      <c r="B3211" s="32" t="s">
        <v>4378</v>
      </c>
      <c r="C3211" s="32" t="s">
        <v>796</v>
      </c>
      <c r="D3211" s="32" t="s">
        <v>3830</v>
      </c>
      <c r="E3211" s="33" t="s">
        <v>772</v>
      </c>
      <c r="F3211" s="34">
        <v>423000</v>
      </c>
      <c r="G3211" s="34">
        <v>423000</v>
      </c>
      <c r="H3211" s="35" t="s">
        <v>4379</v>
      </c>
    </row>
    <row r="3212" spans="1:8" ht="27" customHeight="1" x14ac:dyDescent="0.2">
      <c r="A3212" s="31" t="s">
        <v>4377</v>
      </c>
      <c r="B3212" s="32" t="s">
        <v>4378</v>
      </c>
      <c r="C3212" s="32" t="s">
        <v>779</v>
      </c>
      <c r="D3212" s="32" t="s">
        <v>802</v>
      </c>
      <c r="E3212" s="33" t="s">
        <v>780</v>
      </c>
      <c r="F3212" s="34">
        <v>70317</v>
      </c>
      <c r="G3212" s="34">
        <v>70317</v>
      </c>
      <c r="H3212" s="35" t="s">
        <v>4379</v>
      </c>
    </row>
    <row r="3213" spans="1:8" ht="27" customHeight="1" x14ac:dyDescent="0.2">
      <c r="A3213" s="31" t="s">
        <v>4384</v>
      </c>
      <c r="B3213" s="32" t="s">
        <v>4385</v>
      </c>
      <c r="C3213" s="32" t="s">
        <v>763</v>
      </c>
      <c r="D3213" s="32" t="s">
        <v>4386</v>
      </c>
      <c r="E3213" s="33" t="s">
        <v>764</v>
      </c>
      <c r="F3213" s="34">
        <v>372639</v>
      </c>
      <c r="G3213" s="34">
        <v>0</v>
      </c>
      <c r="H3213" s="35" t="s">
        <v>859</v>
      </c>
    </row>
    <row r="3214" spans="1:8" ht="27" customHeight="1" x14ac:dyDescent="0.2">
      <c r="A3214" s="31" t="s">
        <v>4384</v>
      </c>
      <c r="B3214" s="32" t="s">
        <v>4385</v>
      </c>
      <c r="C3214" s="32" t="s">
        <v>763</v>
      </c>
      <c r="D3214" s="32" t="s">
        <v>4387</v>
      </c>
      <c r="E3214" s="33" t="s">
        <v>764</v>
      </c>
      <c r="F3214" s="34">
        <v>780184</v>
      </c>
      <c r="G3214" s="34">
        <v>780184</v>
      </c>
      <c r="H3214" s="35" t="s">
        <v>4388</v>
      </c>
    </row>
    <row r="3215" spans="1:8" ht="27" customHeight="1" x14ac:dyDescent="0.2">
      <c r="A3215" s="31" t="s">
        <v>4384</v>
      </c>
      <c r="B3215" s="32" t="s">
        <v>4385</v>
      </c>
      <c r="C3215" s="32" t="s">
        <v>763</v>
      </c>
      <c r="D3215" s="32" t="s">
        <v>4113</v>
      </c>
      <c r="E3215" s="33" t="s">
        <v>764</v>
      </c>
      <c r="F3215" s="34">
        <v>1983827</v>
      </c>
      <c r="G3215" s="34">
        <v>1983827</v>
      </c>
      <c r="H3215" s="35" t="s">
        <v>859</v>
      </c>
    </row>
    <row r="3216" spans="1:8" ht="27" customHeight="1" x14ac:dyDescent="0.2">
      <c r="A3216" s="31" t="s">
        <v>4384</v>
      </c>
      <c r="B3216" s="32" t="s">
        <v>4385</v>
      </c>
      <c r="C3216" s="32" t="s">
        <v>770</v>
      </c>
      <c r="D3216" s="32" t="s">
        <v>4389</v>
      </c>
      <c r="E3216" s="33" t="s">
        <v>772</v>
      </c>
      <c r="F3216" s="34">
        <v>141380</v>
      </c>
      <c r="G3216" s="34">
        <v>141380</v>
      </c>
      <c r="H3216" s="35" t="s">
        <v>4390</v>
      </c>
    </row>
    <row r="3217" spans="1:8" ht="27" customHeight="1" x14ac:dyDescent="0.2">
      <c r="A3217" s="31" t="s">
        <v>4384</v>
      </c>
      <c r="B3217" s="32" t="s">
        <v>4385</v>
      </c>
      <c r="C3217" s="32" t="s">
        <v>860</v>
      </c>
      <c r="D3217" s="32" t="s">
        <v>1027</v>
      </c>
      <c r="E3217" s="33" t="s">
        <v>861</v>
      </c>
      <c r="F3217" s="34">
        <v>105067</v>
      </c>
      <c r="G3217" s="34">
        <v>105067</v>
      </c>
      <c r="H3217" s="35" t="s">
        <v>859</v>
      </c>
    </row>
    <row r="3218" spans="1:8" ht="27" customHeight="1" x14ac:dyDescent="0.2">
      <c r="A3218" s="31" t="s">
        <v>4384</v>
      </c>
      <c r="B3218" s="32" t="s">
        <v>4385</v>
      </c>
      <c r="C3218" s="32" t="s">
        <v>796</v>
      </c>
      <c r="D3218" s="32" t="s">
        <v>1694</v>
      </c>
      <c r="E3218" s="33" t="s">
        <v>772</v>
      </c>
      <c r="F3218" s="34">
        <v>595368</v>
      </c>
      <c r="G3218" s="34">
        <v>595368</v>
      </c>
      <c r="H3218" s="35" t="s">
        <v>4391</v>
      </c>
    </row>
    <row r="3219" spans="1:8" ht="27" customHeight="1" x14ac:dyDescent="0.2">
      <c r="A3219" s="31" t="s">
        <v>4384</v>
      </c>
      <c r="B3219" s="32" t="s">
        <v>4385</v>
      </c>
      <c r="C3219" s="32" t="s">
        <v>779</v>
      </c>
      <c r="D3219" s="32" t="s">
        <v>876</v>
      </c>
      <c r="E3219" s="33" t="s">
        <v>780</v>
      </c>
      <c r="F3219" s="34">
        <v>145029</v>
      </c>
      <c r="G3219" s="34">
        <v>145029</v>
      </c>
      <c r="H3219" s="35" t="s">
        <v>4390</v>
      </c>
    </row>
    <row r="3220" spans="1:8" ht="27" customHeight="1" x14ac:dyDescent="0.2">
      <c r="A3220" s="31" t="s">
        <v>4392</v>
      </c>
      <c r="B3220" s="32" t="s">
        <v>4393</v>
      </c>
      <c r="C3220" s="32" t="s">
        <v>763</v>
      </c>
      <c r="D3220" s="32" t="s">
        <v>816</v>
      </c>
      <c r="E3220" s="33" t="s">
        <v>764</v>
      </c>
      <c r="F3220" s="34">
        <v>717086</v>
      </c>
      <c r="G3220" s="34">
        <v>1137556</v>
      </c>
      <c r="H3220" s="35" t="s">
        <v>4394</v>
      </c>
    </row>
    <row r="3221" spans="1:8" ht="27" customHeight="1" x14ac:dyDescent="0.2">
      <c r="A3221" s="31" t="s">
        <v>4392</v>
      </c>
      <c r="B3221" s="32" t="s">
        <v>4393</v>
      </c>
      <c r="C3221" s="32" t="s">
        <v>770</v>
      </c>
      <c r="D3221" s="32" t="s">
        <v>810</v>
      </c>
      <c r="E3221" s="33" t="s">
        <v>772</v>
      </c>
      <c r="F3221" s="34">
        <v>652264</v>
      </c>
      <c r="G3221" s="34">
        <v>652521</v>
      </c>
      <c r="H3221" s="35" t="s">
        <v>4395</v>
      </c>
    </row>
    <row r="3222" spans="1:8" ht="27" customHeight="1" x14ac:dyDescent="0.2">
      <c r="A3222" s="31" t="s">
        <v>4392</v>
      </c>
      <c r="B3222" s="32" t="s">
        <v>4393</v>
      </c>
      <c r="C3222" s="32" t="s">
        <v>884</v>
      </c>
      <c r="D3222" s="32" t="s">
        <v>972</v>
      </c>
      <c r="E3222" s="33" t="s">
        <v>885</v>
      </c>
      <c r="F3222" s="34">
        <v>447310</v>
      </c>
      <c r="G3222" s="34">
        <v>447428</v>
      </c>
      <c r="H3222" s="35" t="s">
        <v>4396</v>
      </c>
    </row>
    <row r="3223" spans="1:8" ht="27" customHeight="1" x14ac:dyDescent="0.2">
      <c r="A3223" s="31" t="s">
        <v>4392</v>
      </c>
      <c r="B3223" s="32" t="s">
        <v>4393</v>
      </c>
      <c r="C3223" s="32" t="s">
        <v>860</v>
      </c>
      <c r="D3223" s="32" t="s">
        <v>911</v>
      </c>
      <c r="E3223" s="33" t="s">
        <v>861</v>
      </c>
      <c r="F3223" s="34">
        <v>141146</v>
      </c>
      <c r="G3223" s="34">
        <v>141183</v>
      </c>
      <c r="H3223" s="35" t="s">
        <v>4397</v>
      </c>
    </row>
    <row r="3224" spans="1:8" ht="27" customHeight="1" x14ac:dyDescent="0.2">
      <c r="A3224" s="31" t="s">
        <v>4392</v>
      </c>
      <c r="B3224" s="32" t="s">
        <v>4393</v>
      </c>
      <c r="C3224" s="32" t="s">
        <v>796</v>
      </c>
      <c r="D3224" s="32" t="s">
        <v>811</v>
      </c>
      <c r="E3224" s="33" t="s">
        <v>772</v>
      </c>
      <c r="F3224" s="34">
        <v>532006</v>
      </c>
      <c r="G3224" s="34">
        <v>532217</v>
      </c>
      <c r="H3224" s="35" t="s">
        <v>4398</v>
      </c>
    </row>
    <row r="3225" spans="1:8" ht="27" customHeight="1" x14ac:dyDescent="0.2">
      <c r="A3225" s="31" t="s">
        <v>4392</v>
      </c>
      <c r="B3225" s="32" t="s">
        <v>4393</v>
      </c>
      <c r="C3225" s="32" t="s">
        <v>776</v>
      </c>
      <c r="D3225" s="32" t="s">
        <v>812</v>
      </c>
      <c r="E3225" s="33" t="s">
        <v>777</v>
      </c>
      <c r="F3225" s="34">
        <v>250629</v>
      </c>
      <c r="G3225" s="34">
        <v>250694</v>
      </c>
      <c r="H3225" s="35" t="s">
        <v>4399</v>
      </c>
    </row>
    <row r="3226" spans="1:8" ht="27" customHeight="1" x14ac:dyDescent="0.2">
      <c r="A3226" s="31" t="s">
        <v>4392</v>
      </c>
      <c r="B3226" s="32" t="s">
        <v>4393</v>
      </c>
      <c r="C3226" s="32" t="s">
        <v>782</v>
      </c>
      <c r="D3226" s="32" t="s">
        <v>813</v>
      </c>
      <c r="E3226" s="33" t="s">
        <v>784</v>
      </c>
      <c r="F3226" s="34">
        <v>48056</v>
      </c>
      <c r="G3226" s="34">
        <v>48062</v>
      </c>
      <c r="H3226" s="35" t="s">
        <v>4400</v>
      </c>
    </row>
    <row r="3227" spans="1:8" ht="27" customHeight="1" x14ac:dyDescent="0.2">
      <c r="A3227" s="31" t="s">
        <v>4401</v>
      </c>
      <c r="B3227" s="32" t="s">
        <v>4402</v>
      </c>
      <c r="C3227" s="32" t="s">
        <v>763</v>
      </c>
      <c r="D3227" s="32" t="s">
        <v>763</v>
      </c>
      <c r="E3227" s="33" t="s">
        <v>764</v>
      </c>
      <c r="F3227" s="34">
        <v>1656574</v>
      </c>
      <c r="G3227" s="34">
        <v>2156574</v>
      </c>
      <c r="H3227" s="35" t="s">
        <v>4403</v>
      </c>
    </row>
    <row r="3228" spans="1:8" ht="27" customHeight="1" x14ac:dyDescent="0.2">
      <c r="A3228" s="31" t="s">
        <v>4401</v>
      </c>
      <c r="B3228" s="32" t="s">
        <v>4402</v>
      </c>
      <c r="C3228" s="32" t="s">
        <v>770</v>
      </c>
      <c r="D3228" s="32" t="s">
        <v>794</v>
      </c>
      <c r="E3228" s="33" t="s">
        <v>772</v>
      </c>
      <c r="F3228" s="34">
        <v>501149</v>
      </c>
      <c r="G3228" s="34">
        <v>490000</v>
      </c>
      <c r="H3228" s="35" t="s">
        <v>4404</v>
      </c>
    </row>
    <row r="3229" spans="1:8" ht="27" customHeight="1" x14ac:dyDescent="0.2">
      <c r="A3229" s="31" t="s">
        <v>4401</v>
      </c>
      <c r="B3229" s="32" t="s">
        <v>4402</v>
      </c>
      <c r="C3229" s="32" t="s">
        <v>844</v>
      </c>
      <c r="D3229" s="32" t="s">
        <v>844</v>
      </c>
      <c r="E3229" s="33" t="s">
        <v>846</v>
      </c>
      <c r="F3229" s="34">
        <v>200266</v>
      </c>
      <c r="G3229" s="34">
        <v>200266</v>
      </c>
      <c r="H3229" s="35" t="s">
        <v>4405</v>
      </c>
    </row>
    <row r="3230" spans="1:8" ht="27" customHeight="1" x14ac:dyDescent="0.2">
      <c r="A3230" s="31" t="s">
        <v>4401</v>
      </c>
      <c r="B3230" s="32" t="s">
        <v>4402</v>
      </c>
      <c r="C3230" s="32" t="s">
        <v>773</v>
      </c>
      <c r="D3230" s="32" t="s">
        <v>773</v>
      </c>
      <c r="E3230" s="33" t="s">
        <v>775</v>
      </c>
      <c r="F3230" s="34">
        <v>857317</v>
      </c>
      <c r="G3230" s="34">
        <v>858000</v>
      </c>
      <c r="H3230" s="35" t="s">
        <v>4406</v>
      </c>
    </row>
    <row r="3231" spans="1:8" ht="27" customHeight="1" x14ac:dyDescent="0.2">
      <c r="A3231" s="31" t="s">
        <v>4401</v>
      </c>
      <c r="B3231" s="32" t="s">
        <v>4402</v>
      </c>
      <c r="C3231" s="32" t="s">
        <v>796</v>
      </c>
      <c r="D3231" s="32" t="s">
        <v>1050</v>
      </c>
      <c r="E3231" s="33" t="s">
        <v>772</v>
      </c>
      <c r="F3231" s="34">
        <v>2154025</v>
      </c>
      <c r="G3231" s="34">
        <v>2100000</v>
      </c>
      <c r="H3231" s="35" t="s">
        <v>4407</v>
      </c>
    </row>
    <row r="3232" spans="1:8" ht="27" customHeight="1" x14ac:dyDescent="0.2">
      <c r="A3232" s="31" t="s">
        <v>4401</v>
      </c>
      <c r="B3232" s="32" t="s">
        <v>4402</v>
      </c>
      <c r="C3232" s="32" t="s">
        <v>779</v>
      </c>
      <c r="D3232" s="32" t="s">
        <v>802</v>
      </c>
      <c r="E3232" s="33" t="s">
        <v>780</v>
      </c>
      <c r="F3232" s="34">
        <v>327881</v>
      </c>
      <c r="G3232" s="34">
        <v>320000</v>
      </c>
      <c r="H3232" s="35" t="s">
        <v>4408</v>
      </c>
    </row>
    <row r="3233" spans="1:8" ht="27" customHeight="1" x14ac:dyDescent="0.2">
      <c r="A3233" s="31" t="s">
        <v>4409</v>
      </c>
      <c r="B3233" s="32" t="s">
        <v>4410</v>
      </c>
      <c r="C3233" s="32" t="s">
        <v>763</v>
      </c>
      <c r="D3233" s="32" t="s">
        <v>3708</v>
      </c>
      <c r="E3233" s="33" t="s">
        <v>764</v>
      </c>
      <c r="F3233" s="34">
        <v>500099</v>
      </c>
      <c r="G3233" s="34">
        <v>600000</v>
      </c>
      <c r="H3233" s="35" t="s">
        <v>4411</v>
      </c>
    </row>
    <row r="3234" spans="1:8" ht="27" customHeight="1" x14ac:dyDescent="0.2">
      <c r="A3234" s="31" t="s">
        <v>4409</v>
      </c>
      <c r="B3234" s="32" t="s">
        <v>4410</v>
      </c>
      <c r="C3234" s="32" t="s">
        <v>763</v>
      </c>
      <c r="D3234" s="32" t="s">
        <v>816</v>
      </c>
      <c r="E3234" s="33" t="s">
        <v>764</v>
      </c>
      <c r="F3234" s="34">
        <v>563345</v>
      </c>
      <c r="G3234" s="34">
        <v>700000</v>
      </c>
      <c r="H3234" s="35" t="s">
        <v>4412</v>
      </c>
    </row>
    <row r="3235" spans="1:8" ht="27" customHeight="1" x14ac:dyDescent="0.2">
      <c r="A3235" s="31" t="s">
        <v>4409</v>
      </c>
      <c r="B3235" s="32" t="s">
        <v>4410</v>
      </c>
      <c r="C3235" s="32" t="s">
        <v>766</v>
      </c>
      <c r="D3235" s="32" t="s">
        <v>2034</v>
      </c>
      <c r="E3235" s="33" t="s">
        <v>768</v>
      </c>
      <c r="F3235" s="34">
        <v>912374</v>
      </c>
      <c r="G3235" s="34">
        <v>912374</v>
      </c>
      <c r="H3235" s="35" t="s">
        <v>4413</v>
      </c>
    </row>
    <row r="3236" spans="1:8" ht="27" customHeight="1" x14ac:dyDescent="0.2">
      <c r="A3236" s="31" t="s">
        <v>4409</v>
      </c>
      <c r="B3236" s="32" t="s">
        <v>4410</v>
      </c>
      <c r="C3236" s="32" t="s">
        <v>770</v>
      </c>
      <c r="D3236" s="32" t="s">
        <v>1196</v>
      </c>
      <c r="E3236" s="33" t="s">
        <v>772</v>
      </c>
      <c r="F3236" s="34">
        <v>176645</v>
      </c>
      <c r="G3236" s="34">
        <v>176645</v>
      </c>
      <c r="H3236" s="35" t="s">
        <v>4412</v>
      </c>
    </row>
    <row r="3237" spans="1:8" ht="27" customHeight="1" x14ac:dyDescent="0.2">
      <c r="A3237" s="31" t="s">
        <v>4409</v>
      </c>
      <c r="B3237" s="32" t="s">
        <v>4410</v>
      </c>
      <c r="C3237" s="32" t="s">
        <v>844</v>
      </c>
      <c r="D3237" s="32" t="s">
        <v>972</v>
      </c>
      <c r="E3237" s="33" t="s">
        <v>846</v>
      </c>
      <c r="F3237" s="34">
        <v>33080</v>
      </c>
      <c r="G3237" s="34">
        <v>33080</v>
      </c>
      <c r="H3237" s="35" t="s">
        <v>4414</v>
      </c>
    </row>
    <row r="3238" spans="1:8" ht="27" customHeight="1" x14ac:dyDescent="0.2">
      <c r="A3238" s="31" t="s">
        <v>4409</v>
      </c>
      <c r="B3238" s="32" t="s">
        <v>4410</v>
      </c>
      <c r="C3238" s="32" t="s">
        <v>796</v>
      </c>
      <c r="D3238" s="32" t="s">
        <v>1422</v>
      </c>
      <c r="E3238" s="33" t="s">
        <v>823</v>
      </c>
      <c r="F3238" s="34">
        <v>609127</v>
      </c>
      <c r="G3238" s="34">
        <v>501127</v>
      </c>
      <c r="H3238" s="35" t="s">
        <v>4415</v>
      </c>
    </row>
    <row r="3239" spans="1:8" ht="27" customHeight="1" x14ac:dyDescent="0.2">
      <c r="A3239" s="31" t="s">
        <v>4409</v>
      </c>
      <c r="B3239" s="32" t="s">
        <v>4410</v>
      </c>
      <c r="C3239" s="32" t="s">
        <v>779</v>
      </c>
      <c r="D3239" s="32" t="s">
        <v>4416</v>
      </c>
      <c r="E3239" s="33" t="s">
        <v>780</v>
      </c>
      <c r="F3239" s="34">
        <v>59662</v>
      </c>
      <c r="G3239" s="34">
        <v>59662</v>
      </c>
      <c r="H3239" s="35" t="s">
        <v>4417</v>
      </c>
    </row>
    <row r="3240" spans="1:8" ht="27" customHeight="1" x14ac:dyDescent="0.2">
      <c r="A3240" s="31" t="s">
        <v>4409</v>
      </c>
      <c r="B3240" s="32" t="s">
        <v>4410</v>
      </c>
      <c r="C3240" s="32" t="s">
        <v>782</v>
      </c>
      <c r="D3240" s="32" t="s">
        <v>813</v>
      </c>
      <c r="E3240" s="33" t="s">
        <v>784</v>
      </c>
      <c r="F3240" s="34">
        <v>203632</v>
      </c>
      <c r="G3240" s="34">
        <v>225000</v>
      </c>
      <c r="H3240" s="35" t="s">
        <v>4418</v>
      </c>
    </row>
    <row r="3241" spans="1:8" ht="27" customHeight="1" x14ac:dyDescent="0.2">
      <c r="A3241" s="31" t="s">
        <v>4419</v>
      </c>
      <c r="B3241" s="32" t="s">
        <v>4420</v>
      </c>
      <c r="C3241" s="32" t="s">
        <v>763</v>
      </c>
      <c r="D3241" s="32" t="s">
        <v>1322</v>
      </c>
      <c r="E3241" s="33" t="s">
        <v>764</v>
      </c>
      <c r="F3241" s="34">
        <v>2945573</v>
      </c>
      <c r="G3241" s="34">
        <v>899547</v>
      </c>
      <c r="H3241" s="35" t="s">
        <v>859</v>
      </c>
    </row>
    <row r="3242" spans="1:8" ht="27" customHeight="1" x14ac:dyDescent="0.2">
      <c r="A3242" s="31" t="s">
        <v>4419</v>
      </c>
      <c r="B3242" s="32" t="s">
        <v>4420</v>
      </c>
      <c r="C3242" s="32" t="s">
        <v>763</v>
      </c>
      <c r="D3242" s="32" t="s">
        <v>3708</v>
      </c>
      <c r="E3242" s="33" t="s">
        <v>764</v>
      </c>
      <c r="F3242" s="34">
        <v>640129</v>
      </c>
      <c r="G3242" s="34">
        <v>890129</v>
      </c>
      <c r="H3242" s="35" t="s">
        <v>4421</v>
      </c>
    </row>
    <row r="3243" spans="1:8" ht="27" customHeight="1" x14ac:dyDescent="0.2">
      <c r="A3243" s="31" t="s">
        <v>4419</v>
      </c>
      <c r="B3243" s="32" t="s">
        <v>4420</v>
      </c>
      <c r="C3243" s="32" t="s">
        <v>770</v>
      </c>
      <c r="D3243" s="32" t="s">
        <v>770</v>
      </c>
      <c r="E3243" s="33" t="s">
        <v>772</v>
      </c>
      <c r="F3243" s="34">
        <v>433933</v>
      </c>
      <c r="G3243" s="34">
        <v>433933</v>
      </c>
      <c r="H3243" s="35" t="s">
        <v>859</v>
      </c>
    </row>
    <row r="3244" spans="1:8" ht="27" customHeight="1" x14ac:dyDescent="0.2">
      <c r="A3244" s="31" t="s">
        <v>4419</v>
      </c>
      <c r="B3244" s="32" t="s">
        <v>4420</v>
      </c>
      <c r="C3244" s="32" t="s">
        <v>796</v>
      </c>
      <c r="D3244" s="32" t="s">
        <v>4422</v>
      </c>
      <c r="E3244" s="33" t="s">
        <v>823</v>
      </c>
      <c r="F3244" s="34">
        <v>200584</v>
      </c>
      <c r="G3244" s="34">
        <v>500584</v>
      </c>
      <c r="H3244" s="35" t="s">
        <v>4423</v>
      </c>
    </row>
    <row r="3245" spans="1:8" ht="27" customHeight="1" x14ac:dyDescent="0.2">
      <c r="A3245" s="31" t="s">
        <v>4419</v>
      </c>
      <c r="B3245" s="32" t="s">
        <v>4420</v>
      </c>
      <c r="C3245" s="32" t="s">
        <v>776</v>
      </c>
      <c r="D3245" s="32" t="s">
        <v>812</v>
      </c>
      <c r="E3245" s="33" t="s">
        <v>777</v>
      </c>
      <c r="F3245" s="34">
        <v>36754</v>
      </c>
      <c r="G3245" s="34">
        <v>36754</v>
      </c>
      <c r="H3245" s="35" t="s">
        <v>859</v>
      </c>
    </row>
    <row r="3246" spans="1:8" ht="27" customHeight="1" x14ac:dyDescent="0.2">
      <c r="A3246" s="31" t="s">
        <v>4419</v>
      </c>
      <c r="B3246" s="32" t="s">
        <v>4420</v>
      </c>
      <c r="C3246" s="32" t="s">
        <v>779</v>
      </c>
      <c r="D3246" s="32" t="s">
        <v>826</v>
      </c>
      <c r="E3246" s="33" t="s">
        <v>780</v>
      </c>
      <c r="F3246" s="34">
        <v>126762</v>
      </c>
      <c r="G3246" s="34">
        <v>126762</v>
      </c>
      <c r="H3246" s="35" t="s">
        <v>859</v>
      </c>
    </row>
    <row r="3247" spans="1:8" ht="27" customHeight="1" x14ac:dyDescent="0.2">
      <c r="A3247" s="31" t="s">
        <v>4419</v>
      </c>
      <c r="B3247" s="32" t="s">
        <v>4420</v>
      </c>
      <c r="C3247" s="32" t="s">
        <v>782</v>
      </c>
      <c r="D3247" s="32" t="s">
        <v>782</v>
      </c>
      <c r="E3247" s="33" t="s">
        <v>784</v>
      </c>
      <c r="F3247" s="34">
        <v>112999</v>
      </c>
      <c r="G3247" s="34">
        <v>112999</v>
      </c>
      <c r="H3247" s="35" t="s">
        <v>859</v>
      </c>
    </row>
    <row r="3248" spans="1:8" ht="27" customHeight="1" x14ac:dyDescent="0.2">
      <c r="A3248" s="31" t="s">
        <v>4424</v>
      </c>
      <c r="B3248" s="32" t="s">
        <v>4425</v>
      </c>
      <c r="C3248" s="32" t="s">
        <v>763</v>
      </c>
      <c r="D3248" s="32" t="s">
        <v>3708</v>
      </c>
      <c r="E3248" s="33" t="s">
        <v>764</v>
      </c>
      <c r="F3248" s="34">
        <v>1018964</v>
      </c>
      <c r="G3248" s="34">
        <v>1019213</v>
      </c>
      <c r="H3248" s="35" t="s">
        <v>4426</v>
      </c>
    </row>
    <row r="3249" spans="1:8" ht="27" customHeight="1" x14ac:dyDescent="0.2">
      <c r="A3249" s="31" t="s">
        <v>4424</v>
      </c>
      <c r="B3249" s="32" t="s">
        <v>4425</v>
      </c>
      <c r="C3249" s="32" t="s">
        <v>763</v>
      </c>
      <c r="D3249" s="32" t="s">
        <v>1322</v>
      </c>
      <c r="E3249" s="33" t="s">
        <v>764</v>
      </c>
      <c r="F3249" s="34">
        <v>6215116</v>
      </c>
      <c r="G3249" s="34">
        <v>6216616</v>
      </c>
      <c r="H3249" s="35" t="s">
        <v>4427</v>
      </c>
    </row>
    <row r="3250" spans="1:8" ht="27" customHeight="1" x14ac:dyDescent="0.2">
      <c r="A3250" s="31" t="s">
        <v>4424</v>
      </c>
      <c r="B3250" s="32" t="s">
        <v>4425</v>
      </c>
      <c r="C3250" s="32" t="s">
        <v>766</v>
      </c>
      <c r="D3250" s="32" t="s">
        <v>2034</v>
      </c>
      <c r="E3250" s="33" t="s">
        <v>768</v>
      </c>
      <c r="F3250" s="34">
        <v>4098885</v>
      </c>
      <c r="G3250" s="34">
        <v>4099635</v>
      </c>
      <c r="H3250" s="35" t="s">
        <v>4428</v>
      </c>
    </row>
    <row r="3251" spans="1:8" ht="27" customHeight="1" x14ac:dyDescent="0.2">
      <c r="A3251" s="31" t="s">
        <v>4424</v>
      </c>
      <c r="B3251" s="32" t="s">
        <v>4425</v>
      </c>
      <c r="C3251" s="32" t="s">
        <v>770</v>
      </c>
      <c r="D3251" s="32" t="s">
        <v>872</v>
      </c>
      <c r="E3251" s="33" t="s">
        <v>772</v>
      </c>
      <c r="F3251" s="34">
        <v>213895</v>
      </c>
      <c r="G3251" s="34">
        <v>213945</v>
      </c>
      <c r="H3251" s="35" t="s">
        <v>4427</v>
      </c>
    </row>
    <row r="3252" spans="1:8" ht="27" customHeight="1" x14ac:dyDescent="0.2">
      <c r="A3252" s="31" t="s">
        <v>4424</v>
      </c>
      <c r="B3252" s="32" t="s">
        <v>4425</v>
      </c>
      <c r="C3252" s="32" t="s">
        <v>844</v>
      </c>
      <c r="D3252" s="32" t="s">
        <v>1162</v>
      </c>
      <c r="E3252" s="33" t="s">
        <v>846</v>
      </c>
      <c r="F3252" s="34">
        <v>381342</v>
      </c>
      <c r="G3252" s="34">
        <v>381422</v>
      </c>
      <c r="H3252" s="35" t="s">
        <v>4427</v>
      </c>
    </row>
    <row r="3253" spans="1:8" ht="27" customHeight="1" x14ac:dyDescent="0.2">
      <c r="A3253" s="31" t="s">
        <v>4424</v>
      </c>
      <c r="B3253" s="32" t="s">
        <v>4425</v>
      </c>
      <c r="C3253" s="32" t="s">
        <v>773</v>
      </c>
      <c r="D3253" s="32" t="s">
        <v>973</v>
      </c>
      <c r="E3253" s="33" t="s">
        <v>775</v>
      </c>
      <c r="F3253" s="34">
        <v>345383</v>
      </c>
      <c r="G3253" s="34">
        <v>345458</v>
      </c>
      <c r="H3253" s="35" t="s">
        <v>4427</v>
      </c>
    </row>
    <row r="3254" spans="1:8" ht="27" customHeight="1" x14ac:dyDescent="0.2">
      <c r="A3254" s="31" t="s">
        <v>4424</v>
      </c>
      <c r="B3254" s="32" t="s">
        <v>4425</v>
      </c>
      <c r="C3254" s="32" t="s">
        <v>796</v>
      </c>
      <c r="D3254" s="32" t="s">
        <v>811</v>
      </c>
      <c r="E3254" s="33" t="s">
        <v>823</v>
      </c>
      <c r="F3254" s="34">
        <v>3978200</v>
      </c>
      <c r="G3254" s="34">
        <v>3979100</v>
      </c>
      <c r="H3254" s="35" t="s">
        <v>4429</v>
      </c>
    </row>
    <row r="3255" spans="1:8" ht="27" customHeight="1" x14ac:dyDescent="0.2">
      <c r="A3255" s="31" t="s">
        <v>4424</v>
      </c>
      <c r="B3255" s="32" t="s">
        <v>4425</v>
      </c>
      <c r="C3255" s="32" t="s">
        <v>776</v>
      </c>
      <c r="D3255" s="32" t="s">
        <v>914</v>
      </c>
      <c r="E3255" s="33" t="s">
        <v>777</v>
      </c>
      <c r="F3255" s="34">
        <v>415856</v>
      </c>
      <c r="G3255" s="34">
        <v>0</v>
      </c>
      <c r="H3255" s="35" t="s">
        <v>4430</v>
      </c>
    </row>
    <row r="3256" spans="1:8" ht="27" customHeight="1" x14ac:dyDescent="0.2">
      <c r="A3256" s="31" t="s">
        <v>4424</v>
      </c>
      <c r="B3256" s="32" t="s">
        <v>4425</v>
      </c>
      <c r="C3256" s="32" t="s">
        <v>779</v>
      </c>
      <c r="D3256" s="32" t="s">
        <v>927</v>
      </c>
      <c r="E3256" s="33" t="s">
        <v>780</v>
      </c>
      <c r="F3256" s="34">
        <v>393125</v>
      </c>
      <c r="G3256" s="34">
        <v>393200</v>
      </c>
      <c r="H3256" s="35" t="s">
        <v>4427</v>
      </c>
    </row>
    <row r="3257" spans="1:8" ht="27" customHeight="1" x14ac:dyDescent="0.2">
      <c r="A3257" s="31" t="s">
        <v>4424</v>
      </c>
      <c r="B3257" s="32" t="s">
        <v>4425</v>
      </c>
      <c r="C3257" s="32" t="s">
        <v>782</v>
      </c>
      <c r="D3257" s="32" t="s">
        <v>2662</v>
      </c>
      <c r="E3257" s="33" t="s">
        <v>784</v>
      </c>
      <c r="F3257" s="34">
        <v>432605</v>
      </c>
      <c r="G3257" s="34">
        <v>432695</v>
      </c>
      <c r="H3257" s="35" t="s">
        <v>4427</v>
      </c>
    </row>
    <row r="3258" spans="1:8" ht="27" customHeight="1" x14ac:dyDescent="0.2">
      <c r="A3258" s="31" t="s">
        <v>4431</v>
      </c>
      <c r="B3258" s="32" t="s">
        <v>4432</v>
      </c>
      <c r="C3258" s="32" t="s">
        <v>770</v>
      </c>
      <c r="D3258" s="32" t="s">
        <v>830</v>
      </c>
      <c r="E3258" s="33" t="s">
        <v>772</v>
      </c>
      <c r="F3258" s="34">
        <v>323664</v>
      </c>
      <c r="G3258" s="34">
        <v>323694</v>
      </c>
      <c r="H3258" s="35" t="s">
        <v>4433</v>
      </c>
    </row>
    <row r="3259" spans="1:8" ht="27" customHeight="1" x14ac:dyDescent="0.2">
      <c r="A3259" s="31" t="s">
        <v>4431</v>
      </c>
      <c r="B3259" s="32" t="s">
        <v>4432</v>
      </c>
      <c r="C3259" s="32" t="s">
        <v>773</v>
      </c>
      <c r="D3259" s="32" t="s">
        <v>1025</v>
      </c>
      <c r="E3259" s="33" t="s">
        <v>775</v>
      </c>
      <c r="F3259" s="34">
        <v>440323</v>
      </c>
      <c r="G3259" s="34">
        <v>440398</v>
      </c>
      <c r="H3259" s="35" t="s">
        <v>4433</v>
      </c>
    </row>
    <row r="3260" spans="1:8" ht="27" customHeight="1" x14ac:dyDescent="0.2">
      <c r="A3260" s="31" t="s">
        <v>4431</v>
      </c>
      <c r="B3260" s="32" t="s">
        <v>4432</v>
      </c>
      <c r="C3260" s="32" t="s">
        <v>860</v>
      </c>
      <c r="D3260" s="32" t="s">
        <v>1027</v>
      </c>
      <c r="E3260" s="33" t="s">
        <v>861</v>
      </c>
      <c r="F3260" s="34">
        <v>433779</v>
      </c>
      <c r="G3260" s="34">
        <v>433825</v>
      </c>
      <c r="H3260" s="35" t="s">
        <v>4433</v>
      </c>
    </row>
    <row r="3261" spans="1:8" ht="27" customHeight="1" x14ac:dyDescent="0.2">
      <c r="A3261" s="31" t="s">
        <v>4431</v>
      </c>
      <c r="B3261" s="32" t="s">
        <v>4432</v>
      </c>
      <c r="C3261" s="32" t="s">
        <v>796</v>
      </c>
      <c r="D3261" s="32" t="s">
        <v>2433</v>
      </c>
      <c r="E3261" s="33" t="s">
        <v>823</v>
      </c>
      <c r="F3261" s="34">
        <v>1305052</v>
      </c>
      <c r="G3261" s="34">
        <v>1305377</v>
      </c>
      <c r="H3261" s="35" t="s">
        <v>4434</v>
      </c>
    </row>
    <row r="3262" spans="1:8" ht="27" customHeight="1" x14ac:dyDescent="0.2">
      <c r="A3262" s="31" t="s">
        <v>4431</v>
      </c>
      <c r="B3262" s="32" t="s">
        <v>4432</v>
      </c>
      <c r="C3262" s="32" t="s">
        <v>779</v>
      </c>
      <c r="D3262" s="32" t="s">
        <v>927</v>
      </c>
      <c r="E3262" s="33" t="s">
        <v>780</v>
      </c>
      <c r="F3262" s="34">
        <v>250956</v>
      </c>
      <c r="G3262" s="34">
        <v>250981</v>
      </c>
      <c r="H3262" s="35" t="s">
        <v>4433</v>
      </c>
    </row>
    <row r="3263" spans="1:8" ht="27" customHeight="1" x14ac:dyDescent="0.2">
      <c r="A3263" s="31" t="s">
        <v>4431</v>
      </c>
      <c r="B3263" s="32" t="s">
        <v>4432</v>
      </c>
      <c r="C3263" s="32" t="s">
        <v>782</v>
      </c>
      <c r="D3263" s="32" t="s">
        <v>4435</v>
      </c>
      <c r="E3263" s="33" t="s">
        <v>784</v>
      </c>
      <c r="F3263" s="34">
        <v>0</v>
      </c>
      <c r="G3263" s="34">
        <v>200000</v>
      </c>
      <c r="H3263" s="35" t="s">
        <v>4433</v>
      </c>
    </row>
    <row r="3264" spans="1:8" ht="27" customHeight="1" x14ac:dyDescent="0.2">
      <c r="A3264" s="31" t="s">
        <v>4436</v>
      </c>
      <c r="B3264" s="32" t="s">
        <v>4437</v>
      </c>
      <c r="C3264" s="32" t="s">
        <v>763</v>
      </c>
      <c r="D3264" s="32" t="s">
        <v>4438</v>
      </c>
      <c r="E3264" s="33" t="s">
        <v>764</v>
      </c>
      <c r="F3264" s="34">
        <v>610071</v>
      </c>
      <c r="G3264" s="34">
        <v>719161</v>
      </c>
      <c r="H3264" s="35" t="s">
        <v>4439</v>
      </c>
    </row>
    <row r="3265" spans="1:8" ht="27" customHeight="1" x14ac:dyDescent="0.2">
      <c r="A3265" s="31" t="s">
        <v>4436</v>
      </c>
      <c r="B3265" s="32" t="s">
        <v>4437</v>
      </c>
      <c r="C3265" s="32" t="s">
        <v>763</v>
      </c>
      <c r="D3265" s="32" t="s">
        <v>1041</v>
      </c>
      <c r="E3265" s="33" t="s">
        <v>764</v>
      </c>
      <c r="F3265" s="34">
        <v>225023</v>
      </c>
      <c r="G3265" s="34">
        <v>325001</v>
      </c>
      <c r="H3265" s="35" t="s">
        <v>4440</v>
      </c>
    </row>
    <row r="3266" spans="1:8" ht="27" customHeight="1" x14ac:dyDescent="0.2">
      <c r="A3266" s="31" t="s">
        <v>4436</v>
      </c>
      <c r="B3266" s="32" t="s">
        <v>4437</v>
      </c>
      <c r="C3266" s="32" t="s">
        <v>770</v>
      </c>
      <c r="D3266" s="32" t="s">
        <v>1136</v>
      </c>
      <c r="E3266" s="33" t="s">
        <v>772</v>
      </c>
      <c r="F3266" s="34">
        <v>696129</v>
      </c>
      <c r="G3266" s="34">
        <v>634554</v>
      </c>
      <c r="H3266" s="35" t="s">
        <v>4441</v>
      </c>
    </row>
    <row r="3267" spans="1:8" ht="27" customHeight="1" x14ac:dyDescent="0.2">
      <c r="A3267" s="31" t="s">
        <v>4436</v>
      </c>
      <c r="B3267" s="32" t="s">
        <v>4437</v>
      </c>
      <c r="C3267" s="32" t="s">
        <v>773</v>
      </c>
      <c r="D3267" s="32" t="s">
        <v>973</v>
      </c>
      <c r="E3267" s="33" t="s">
        <v>775</v>
      </c>
      <c r="F3267" s="34">
        <v>50000</v>
      </c>
      <c r="G3267" s="34">
        <v>50000</v>
      </c>
      <c r="H3267" s="35" t="s">
        <v>4442</v>
      </c>
    </row>
    <row r="3268" spans="1:8" ht="27" customHeight="1" x14ac:dyDescent="0.2">
      <c r="A3268" s="31" t="s">
        <v>4436</v>
      </c>
      <c r="B3268" s="32" t="s">
        <v>4437</v>
      </c>
      <c r="C3268" s="32" t="s">
        <v>860</v>
      </c>
      <c r="D3268" s="32" t="s">
        <v>816</v>
      </c>
      <c r="E3268" s="33" t="s">
        <v>861</v>
      </c>
      <c r="F3268" s="34">
        <v>619205</v>
      </c>
      <c r="G3268" s="34">
        <v>0</v>
      </c>
      <c r="H3268" s="35" t="s">
        <v>4443</v>
      </c>
    </row>
    <row r="3269" spans="1:8" ht="27" customHeight="1" x14ac:dyDescent="0.2">
      <c r="A3269" s="31" t="s">
        <v>4436</v>
      </c>
      <c r="B3269" s="32" t="s">
        <v>4437</v>
      </c>
      <c r="C3269" s="32" t="s">
        <v>796</v>
      </c>
      <c r="D3269" s="32" t="s">
        <v>811</v>
      </c>
      <c r="E3269" s="33" t="s">
        <v>823</v>
      </c>
      <c r="F3269" s="34">
        <v>543547</v>
      </c>
      <c r="G3269" s="34">
        <v>543579</v>
      </c>
      <c r="H3269" s="35" t="s">
        <v>4444</v>
      </c>
    </row>
    <row r="3270" spans="1:8" ht="27" customHeight="1" x14ac:dyDescent="0.2">
      <c r="A3270" s="31" t="s">
        <v>4436</v>
      </c>
      <c r="B3270" s="32" t="s">
        <v>4437</v>
      </c>
      <c r="C3270" s="32" t="s">
        <v>776</v>
      </c>
      <c r="D3270" s="32" t="s">
        <v>776</v>
      </c>
      <c r="E3270" s="33" t="s">
        <v>777</v>
      </c>
      <c r="F3270" s="34">
        <v>5000</v>
      </c>
      <c r="G3270" s="34">
        <v>5000</v>
      </c>
      <c r="H3270" s="35" t="s">
        <v>4445</v>
      </c>
    </row>
    <row r="3271" spans="1:8" ht="27" customHeight="1" x14ac:dyDescent="0.2">
      <c r="A3271" s="31" t="s">
        <v>4436</v>
      </c>
      <c r="B3271" s="32" t="s">
        <v>4437</v>
      </c>
      <c r="C3271" s="32" t="s">
        <v>779</v>
      </c>
      <c r="D3271" s="32" t="s">
        <v>802</v>
      </c>
      <c r="E3271" s="33" t="s">
        <v>780</v>
      </c>
      <c r="F3271" s="34">
        <v>152014</v>
      </c>
      <c r="G3271" s="34">
        <v>146519</v>
      </c>
      <c r="H3271" s="35" t="s">
        <v>4446</v>
      </c>
    </row>
    <row r="3272" spans="1:8" ht="27" customHeight="1" x14ac:dyDescent="0.2">
      <c r="A3272" s="31" t="s">
        <v>4436</v>
      </c>
      <c r="B3272" s="32" t="s">
        <v>4437</v>
      </c>
      <c r="C3272" s="32" t="s">
        <v>782</v>
      </c>
      <c r="D3272" s="32" t="s">
        <v>3252</v>
      </c>
      <c r="E3272" s="33" t="s">
        <v>784</v>
      </c>
      <c r="F3272" s="34">
        <v>152661</v>
      </c>
      <c r="G3272" s="34">
        <v>182668</v>
      </c>
      <c r="H3272" s="35" t="s">
        <v>4447</v>
      </c>
    </row>
    <row r="3273" spans="1:8" ht="27" customHeight="1" x14ac:dyDescent="0.2">
      <c r="A3273" s="31" t="s">
        <v>4448</v>
      </c>
      <c r="B3273" s="32" t="s">
        <v>4449</v>
      </c>
      <c r="C3273" s="32" t="s">
        <v>766</v>
      </c>
      <c r="D3273" s="32" t="s">
        <v>767</v>
      </c>
      <c r="E3273" s="33" t="s">
        <v>768</v>
      </c>
      <c r="F3273" s="34">
        <v>3003672</v>
      </c>
      <c r="G3273" s="34">
        <v>3005000</v>
      </c>
      <c r="H3273" s="35" t="s">
        <v>4450</v>
      </c>
    </row>
    <row r="3274" spans="1:8" ht="27" customHeight="1" x14ac:dyDescent="0.2">
      <c r="A3274" s="31" t="s">
        <v>4448</v>
      </c>
      <c r="B3274" s="32" t="s">
        <v>4449</v>
      </c>
      <c r="C3274" s="32" t="s">
        <v>770</v>
      </c>
      <c r="D3274" s="32" t="s">
        <v>1720</v>
      </c>
      <c r="E3274" s="33" t="s">
        <v>772</v>
      </c>
      <c r="F3274" s="34">
        <v>323150</v>
      </c>
      <c r="G3274" s="34">
        <v>330000</v>
      </c>
      <c r="H3274" s="35" t="s">
        <v>4451</v>
      </c>
    </row>
    <row r="3275" spans="1:8" ht="27" customHeight="1" x14ac:dyDescent="0.2">
      <c r="A3275" s="31" t="s">
        <v>4448</v>
      </c>
      <c r="B3275" s="32" t="s">
        <v>4449</v>
      </c>
      <c r="C3275" s="32" t="s">
        <v>860</v>
      </c>
      <c r="D3275" s="32" t="s">
        <v>911</v>
      </c>
      <c r="E3275" s="33" t="s">
        <v>861</v>
      </c>
      <c r="F3275" s="34">
        <v>0</v>
      </c>
      <c r="G3275" s="34">
        <v>50000</v>
      </c>
      <c r="H3275" s="35" t="s">
        <v>4452</v>
      </c>
    </row>
    <row r="3276" spans="1:8" ht="27" customHeight="1" x14ac:dyDescent="0.2">
      <c r="A3276" s="31" t="s">
        <v>4448</v>
      </c>
      <c r="B3276" s="32" t="s">
        <v>4449</v>
      </c>
      <c r="C3276" s="32" t="s">
        <v>776</v>
      </c>
      <c r="D3276" s="32" t="s">
        <v>812</v>
      </c>
      <c r="E3276" s="33" t="s">
        <v>777</v>
      </c>
      <c r="F3276" s="34">
        <v>0</v>
      </c>
      <c r="G3276" s="34">
        <v>50000</v>
      </c>
      <c r="H3276" s="35" t="s">
        <v>4453</v>
      </c>
    </row>
    <row r="3277" spans="1:8" ht="27" customHeight="1" x14ac:dyDescent="0.2">
      <c r="A3277" s="31" t="s">
        <v>4448</v>
      </c>
      <c r="B3277" s="32" t="s">
        <v>4449</v>
      </c>
      <c r="C3277" s="32" t="s">
        <v>779</v>
      </c>
      <c r="D3277" s="32" t="s">
        <v>826</v>
      </c>
      <c r="E3277" s="33" t="s">
        <v>780</v>
      </c>
      <c r="F3277" s="34">
        <v>20287</v>
      </c>
      <c r="G3277" s="34">
        <v>21000</v>
      </c>
      <c r="H3277" s="35" t="s">
        <v>4454</v>
      </c>
    </row>
    <row r="3278" spans="1:8" ht="27" customHeight="1" x14ac:dyDescent="0.2">
      <c r="A3278" s="31" t="s">
        <v>4455</v>
      </c>
      <c r="B3278" s="32" t="s">
        <v>4456</v>
      </c>
      <c r="C3278" s="32" t="s">
        <v>763</v>
      </c>
      <c r="D3278" s="32" t="s">
        <v>4387</v>
      </c>
      <c r="E3278" s="33" t="s">
        <v>764</v>
      </c>
      <c r="F3278" s="34">
        <v>153992</v>
      </c>
      <c r="G3278" s="34">
        <v>153992</v>
      </c>
      <c r="H3278" s="35" t="s">
        <v>4457</v>
      </c>
    </row>
    <row r="3279" spans="1:8" ht="27" customHeight="1" x14ac:dyDescent="0.2">
      <c r="A3279" s="31" t="s">
        <v>4455</v>
      </c>
      <c r="B3279" s="32" t="s">
        <v>4456</v>
      </c>
      <c r="C3279" s="32" t="s">
        <v>763</v>
      </c>
      <c r="D3279" s="32" t="s">
        <v>3820</v>
      </c>
      <c r="E3279" s="33" t="s">
        <v>764</v>
      </c>
      <c r="F3279" s="34">
        <v>500558</v>
      </c>
      <c r="G3279" s="34">
        <v>500558</v>
      </c>
      <c r="H3279" s="35" t="s">
        <v>4458</v>
      </c>
    </row>
    <row r="3280" spans="1:8" ht="27" customHeight="1" x14ac:dyDescent="0.2">
      <c r="A3280" s="31" t="s">
        <v>4455</v>
      </c>
      <c r="B3280" s="32" t="s">
        <v>4456</v>
      </c>
      <c r="C3280" s="32" t="s">
        <v>770</v>
      </c>
      <c r="D3280" s="32" t="s">
        <v>4389</v>
      </c>
      <c r="E3280" s="33" t="s">
        <v>772</v>
      </c>
      <c r="F3280" s="34">
        <v>37892</v>
      </c>
      <c r="G3280" s="34">
        <v>37892</v>
      </c>
      <c r="H3280" s="35" t="s">
        <v>4459</v>
      </c>
    </row>
    <row r="3281" spans="1:8" ht="27" customHeight="1" x14ac:dyDescent="0.2">
      <c r="A3281" s="31" t="s">
        <v>4455</v>
      </c>
      <c r="B3281" s="32" t="s">
        <v>4456</v>
      </c>
      <c r="C3281" s="32" t="s">
        <v>844</v>
      </c>
      <c r="D3281" s="32" t="s">
        <v>972</v>
      </c>
      <c r="E3281" s="33" t="s">
        <v>846</v>
      </c>
      <c r="F3281" s="34">
        <v>9683</v>
      </c>
      <c r="G3281" s="34">
        <v>9683</v>
      </c>
      <c r="H3281" s="35" t="s">
        <v>859</v>
      </c>
    </row>
    <row r="3282" spans="1:8" ht="27" customHeight="1" x14ac:dyDescent="0.2">
      <c r="A3282" s="31" t="s">
        <v>4455</v>
      </c>
      <c r="B3282" s="32" t="s">
        <v>4456</v>
      </c>
      <c r="C3282" s="32" t="s">
        <v>796</v>
      </c>
      <c r="D3282" s="32" t="s">
        <v>1694</v>
      </c>
      <c r="E3282" s="33" t="s">
        <v>823</v>
      </c>
      <c r="F3282" s="34">
        <v>504652</v>
      </c>
      <c r="G3282" s="34">
        <v>504652</v>
      </c>
      <c r="H3282" s="35" t="s">
        <v>4460</v>
      </c>
    </row>
    <row r="3283" spans="1:8" ht="27" customHeight="1" x14ac:dyDescent="0.2">
      <c r="A3283" s="31" t="s">
        <v>4455</v>
      </c>
      <c r="B3283" s="32" t="s">
        <v>4456</v>
      </c>
      <c r="C3283" s="32" t="s">
        <v>776</v>
      </c>
      <c r="D3283" s="32" t="s">
        <v>914</v>
      </c>
      <c r="E3283" s="33" t="s">
        <v>777</v>
      </c>
      <c r="F3283" s="34">
        <v>884</v>
      </c>
      <c r="G3283" s="34">
        <v>884</v>
      </c>
      <c r="H3283" s="35" t="s">
        <v>4461</v>
      </c>
    </row>
    <row r="3284" spans="1:8" ht="27" customHeight="1" x14ac:dyDescent="0.2">
      <c r="A3284" s="31" t="s">
        <v>4455</v>
      </c>
      <c r="B3284" s="32" t="s">
        <v>4456</v>
      </c>
      <c r="C3284" s="32" t="s">
        <v>779</v>
      </c>
      <c r="D3284" s="32" t="s">
        <v>876</v>
      </c>
      <c r="E3284" s="33" t="s">
        <v>780</v>
      </c>
      <c r="F3284" s="34">
        <v>122167</v>
      </c>
      <c r="G3284" s="34">
        <v>122167</v>
      </c>
      <c r="H3284" s="35" t="s">
        <v>4459</v>
      </c>
    </row>
    <row r="3285" spans="1:8" ht="27" customHeight="1" x14ac:dyDescent="0.2">
      <c r="A3285" s="31" t="s">
        <v>4462</v>
      </c>
      <c r="B3285" s="32" t="s">
        <v>4463</v>
      </c>
      <c r="C3285" s="32" t="s">
        <v>763</v>
      </c>
      <c r="D3285" s="32" t="s">
        <v>816</v>
      </c>
      <c r="E3285" s="33" t="s">
        <v>764</v>
      </c>
      <c r="F3285" s="34">
        <v>20344</v>
      </c>
      <c r="G3285" s="34">
        <v>20354</v>
      </c>
      <c r="H3285" s="35" t="s">
        <v>4464</v>
      </c>
    </row>
    <row r="3286" spans="1:8" ht="27" customHeight="1" x14ac:dyDescent="0.2">
      <c r="A3286" s="31" t="s">
        <v>4462</v>
      </c>
      <c r="B3286" s="32" t="s">
        <v>4463</v>
      </c>
      <c r="C3286" s="32" t="s">
        <v>766</v>
      </c>
      <c r="D3286" s="32" t="s">
        <v>767</v>
      </c>
      <c r="E3286" s="33" t="s">
        <v>768</v>
      </c>
      <c r="F3286" s="34">
        <v>992628</v>
      </c>
      <c r="G3286" s="34">
        <v>992628</v>
      </c>
      <c r="H3286" s="35" t="s">
        <v>4464</v>
      </c>
    </row>
    <row r="3287" spans="1:8" ht="27" customHeight="1" x14ac:dyDescent="0.2">
      <c r="A3287" s="31" t="s">
        <v>4462</v>
      </c>
      <c r="B3287" s="32" t="s">
        <v>4463</v>
      </c>
      <c r="C3287" s="32" t="s">
        <v>770</v>
      </c>
      <c r="D3287" s="32" t="s">
        <v>4465</v>
      </c>
      <c r="E3287" s="33" t="s">
        <v>772</v>
      </c>
      <c r="F3287" s="34">
        <v>205793</v>
      </c>
      <c r="G3287" s="34">
        <v>205890</v>
      </c>
      <c r="H3287" s="35" t="s">
        <v>4464</v>
      </c>
    </row>
    <row r="3288" spans="1:8" ht="27" customHeight="1" x14ac:dyDescent="0.2">
      <c r="A3288" s="31" t="s">
        <v>4462</v>
      </c>
      <c r="B3288" s="32" t="s">
        <v>4463</v>
      </c>
      <c r="C3288" s="32" t="s">
        <v>884</v>
      </c>
      <c r="D3288" s="32" t="s">
        <v>3097</v>
      </c>
      <c r="E3288" s="33" t="s">
        <v>885</v>
      </c>
      <c r="F3288" s="34">
        <v>0</v>
      </c>
      <c r="G3288" s="34">
        <v>0</v>
      </c>
      <c r="H3288" s="35" t="s">
        <v>1049</v>
      </c>
    </row>
    <row r="3289" spans="1:8" ht="27" customHeight="1" x14ac:dyDescent="0.2">
      <c r="A3289" s="31" t="s">
        <v>4462</v>
      </c>
      <c r="B3289" s="32" t="s">
        <v>4463</v>
      </c>
      <c r="C3289" s="32" t="s">
        <v>844</v>
      </c>
      <c r="D3289" s="32" t="s">
        <v>1162</v>
      </c>
      <c r="E3289" s="33" t="s">
        <v>846</v>
      </c>
      <c r="F3289" s="34">
        <v>50136</v>
      </c>
      <c r="G3289" s="34">
        <v>50160</v>
      </c>
      <c r="H3289" s="35" t="s">
        <v>4464</v>
      </c>
    </row>
    <row r="3290" spans="1:8" ht="27" customHeight="1" x14ac:dyDescent="0.2">
      <c r="A3290" s="31" t="s">
        <v>4462</v>
      </c>
      <c r="B3290" s="32" t="s">
        <v>4463</v>
      </c>
      <c r="C3290" s="32" t="s">
        <v>773</v>
      </c>
      <c r="D3290" s="32" t="s">
        <v>3097</v>
      </c>
      <c r="E3290" s="33" t="s">
        <v>775</v>
      </c>
      <c r="F3290" s="34">
        <v>0</v>
      </c>
      <c r="G3290" s="34">
        <v>0</v>
      </c>
      <c r="H3290" s="35" t="s">
        <v>1049</v>
      </c>
    </row>
    <row r="3291" spans="1:8" ht="27" customHeight="1" x14ac:dyDescent="0.2">
      <c r="A3291" s="31" t="s">
        <v>4462</v>
      </c>
      <c r="B3291" s="32" t="s">
        <v>4463</v>
      </c>
      <c r="C3291" s="32" t="s">
        <v>886</v>
      </c>
      <c r="D3291" s="32" t="s">
        <v>3097</v>
      </c>
      <c r="E3291" s="33" t="s">
        <v>887</v>
      </c>
      <c r="F3291" s="34">
        <v>0</v>
      </c>
      <c r="G3291" s="34">
        <v>0</v>
      </c>
      <c r="H3291" s="35" t="s">
        <v>1049</v>
      </c>
    </row>
    <row r="3292" spans="1:8" ht="27" customHeight="1" x14ac:dyDescent="0.2">
      <c r="A3292" s="31" t="s">
        <v>4462</v>
      </c>
      <c r="B3292" s="32" t="s">
        <v>4463</v>
      </c>
      <c r="C3292" s="32" t="s">
        <v>860</v>
      </c>
      <c r="D3292" s="32" t="s">
        <v>3097</v>
      </c>
      <c r="E3292" s="33" t="s">
        <v>861</v>
      </c>
      <c r="F3292" s="34">
        <v>0</v>
      </c>
      <c r="G3292" s="34">
        <v>0</v>
      </c>
      <c r="H3292" s="35" t="s">
        <v>1049</v>
      </c>
    </row>
    <row r="3293" spans="1:8" ht="27" customHeight="1" x14ac:dyDescent="0.2">
      <c r="A3293" s="31" t="s">
        <v>4462</v>
      </c>
      <c r="B3293" s="32" t="s">
        <v>4463</v>
      </c>
      <c r="C3293" s="32" t="s">
        <v>796</v>
      </c>
      <c r="D3293" s="32" t="s">
        <v>1694</v>
      </c>
      <c r="E3293" s="33" t="s">
        <v>772</v>
      </c>
      <c r="F3293" s="34">
        <v>378629</v>
      </c>
      <c r="G3293" s="34">
        <v>378809</v>
      </c>
      <c r="H3293" s="35" t="s">
        <v>4464</v>
      </c>
    </row>
    <row r="3294" spans="1:8" ht="27" customHeight="1" x14ac:dyDescent="0.2">
      <c r="A3294" s="31" t="s">
        <v>4462</v>
      </c>
      <c r="B3294" s="32" t="s">
        <v>4463</v>
      </c>
      <c r="C3294" s="32" t="s">
        <v>776</v>
      </c>
      <c r="D3294" s="32" t="s">
        <v>4466</v>
      </c>
      <c r="E3294" s="33" t="s">
        <v>777</v>
      </c>
      <c r="F3294" s="34">
        <v>120045</v>
      </c>
      <c r="G3294" s="34">
        <v>120116</v>
      </c>
      <c r="H3294" s="35" t="s">
        <v>4464</v>
      </c>
    </row>
    <row r="3295" spans="1:8" ht="27" customHeight="1" x14ac:dyDescent="0.2">
      <c r="A3295" s="31" t="s">
        <v>4462</v>
      </c>
      <c r="B3295" s="32" t="s">
        <v>4463</v>
      </c>
      <c r="C3295" s="32" t="s">
        <v>798</v>
      </c>
      <c r="D3295" s="32" t="s">
        <v>3097</v>
      </c>
      <c r="E3295" s="33" t="s">
        <v>800</v>
      </c>
      <c r="F3295" s="34">
        <v>0</v>
      </c>
      <c r="G3295" s="34">
        <v>0</v>
      </c>
      <c r="H3295" s="35" t="s">
        <v>1049</v>
      </c>
    </row>
    <row r="3296" spans="1:8" ht="27" customHeight="1" x14ac:dyDescent="0.2">
      <c r="A3296" s="31" t="s">
        <v>4462</v>
      </c>
      <c r="B3296" s="32" t="s">
        <v>4463</v>
      </c>
      <c r="C3296" s="32" t="s">
        <v>892</v>
      </c>
      <c r="D3296" s="32" t="s">
        <v>3097</v>
      </c>
      <c r="E3296" s="33" t="s">
        <v>893</v>
      </c>
      <c r="F3296" s="34">
        <v>0</v>
      </c>
      <c r="G3296" s="34">
        <v>0</v>
      </c>
      <c r="H3296" s="35" t="s">
        <v>1049</v>
      </c>
    </row>
    <row r="3297" spans="1:8" ht="27" customHeight="1" x14ac:dyDescent="0.2">
      <c r="A3297" s="31" t="s">
        <v>4462</v>
      </c>
      <c r="B3297" s="32" t="s">
        <v>4463</v>
      </c>
      <c r="C3297" s="32" t="s">
        <v>779</v>
      </c>
      <c r="D3297" s="32" t="s">
        <v>876</v>
      </c>
      <c r="E3297" s="33" t="s">
        <v>780</v>
      </c>
      <c r="F3297" s="34">
        <v>116183</v>
      </c>
      <c r="G3297" s="34">
        <v>116239</v>
      </c>
      <c r="H3297" s="35" t="s">
        <v>4464</v>
      </c>
    </row>
    <row r="3298" spans="1:8" ht="27" customHeight="1" x14ac:dyDescent="0.2">
      <c r="A3298" s="31" t="s">
        <v>4462</v>
      </c>
      <c r="B3298" s="32" t="s">
        <v>4463</v>
      </c>
      <c r="C3298" s="32" t="s">
        <v>782</v>
      </c>
      <c r="D3298" s="32" t="s">
        <v>964</v>
      </c>
      <c r="E3298" s="33" t="s">
        <v>784</v>
      </c>
      <c r="F3298" s="34">
        <v>93394</v>
      </c>
      <c r="G3298" s="34">
        <v>93439</v>
      </c>
      <c r="H3298" s="35" t="s">
        <v>4464</v>
      </c>
    </row>
    <row r="3299" spans="1:8" ht="27" customHeight="1" x14ac:dyDescent="0.2">
      <c r="A3299" s="31" t="s">
        <v>4467</v>
      </c>
      <c r="B3299" s="32" t="s">
        <v>4468</v>
      </c>
      <c r="C3299" s="32" t="s">
        <v>763</v>
      </c>
      <c r="D3299" s="32" t="s">
        <v>4469</v>
      </c>
      <c r="E3299" s="33" t="s">
        <v>764</v>
      </c>
      <c r="F3299" s="34">
        <v>1127025</v>
      </c>
      <c r="G3299" s="34">
        <v>1136463</v>
      </c>
      <c r="H3299" s="35" t="s">
        <v>1783</v>
      </c>
    </row>
    <row r="3300" spans="1:8" ht="27" customHeight="1" x14ac:dyDescent="0.2">
      <c r="A3300" s="31" t="s">
        <v>4467</v>
      </c>
      <c r="B3300" s="32" t="s">
        <v>4468</v>
      </c>
      <c r="C3300" s="32" t="s">
        <v>766</v>
      </c>
      <c r="D3300" s="32" t="s">
        <v>818</v>
      </c>
      <c r="E3300" s="33" t="s">
        <v>768</v>
      </c>
      <c r="F3300" s="34">
        <v>1372351</v>
      </c>
      <c r="G3300" s="34">
        <v>821286</v>
      </c>
      <c r="H3300" s="35" t="s">
        <v>4470</v>
      </c>
    </row>
    <row r="3301" spans="1:8" ht="27" customHeight="1" x14ac:dyDescent="0.2">
      <c r="A3301" s="31" t="s">
        <v>4467</v>
      </c>
      <c r="B3301" s="32" t="s">
        <v>4468</v>
      </c>
      <c r="C3301" s="32" t="s">
        <v>770</v>
      </c>
      <c r="D3301" s="32" t="s">
        <v>4471</v>
      </c>
      <c r="E3301" s="33" t="s">
        <v>772</v>
      </c>
      <c r="F3301" s="34">
        <v>343573</v>
      </c>
      <c r="G3301" s="34">
        <v>343728</v>
      </c>
      <c r="H3301" s="35" t="s">
        <v>1783</v>
      </c>
    </row>
    <row r="3302" spans="1:8" ht="27" customHeight="1" x14ac:dyDescent="0.2">
      <c r="A3302" s="31" t="s">
        <v>4467</v>
      </c>
      <c r="B3302" s="32" t="s">
        <v>4468</v>
      </c>
      <c r="C3302" s="32" t="s">
        <v>773</v>
      </c>
      <c r="D3302" s="32" t="s">
        <v>1025</v>
      </c>
      <c r="E3302" s="33" t="s">
        <v>775</v>
      </c>
      <c r="F3302" s="34">
        <v>171681</v>
      </c>
      <c r="G3302" s="34">
        <v>171741</v>
      </c>
      <c r="H3302" s="35" t="s">
        <v>1783</v>
      </c>
    </row>
    <row r="3303" spans="1:8" ht="27" customHeight="1" x14ac:dyDescent="0.2">
      <c r="A3303" s="31" t="s">
        <v>4467</v>
      </c>
      <c r="B3303" s="32" t="s">
        <v>4468</v>
      </c>
      <c r="C3303" s="32" t="s">
        <v>796</v>
      </c>
      <c r="D3303" s="32" t="s">
        <v>811</v>
      </c>
      <c r="E3303" s="33" t="s">
        <v>823</v>
      </c>
      <c r="F3303" s="34">
        <v>3199145</v>
      </c>
      <c r="G3303" s="34">
        <v>4395902</v>
      </c>
      <c r="H3303" s="35" t="s">
        <v>4472</v>
      </c>
    </row>
    <row r="3304" spans="1:8" ht="27" customHeight="1" x14ac:dyDescent="0.2">
      <c r="A3304" s="31" t="s">
        <v>4467</v>
      </c>
      <c r="B3304" s="32" t="s">
        <v>4468</v>
      </c>
      <c r="C3304" s="32" t="s">
        <v>776</v>
      </c>
      <c r="D3304" s="32" t="s">
        <v>914</v>
      </c>
      <c r="E3304" s="33" t="s">
        <v>777</v>
      </c>
      <c r="F3304" s="34">
        <v>1245378</v>
      </c>
      <c r="G3304" s="34">
        <v>1245954</v>
      </c>
      <c r="H3304" s="35" t="s">
        <v>1783</v>
      </c>
    </row>
    <row r="3305" spans="1:8" ht="27" customHeight="1" x14ac:dyDescent="0.2">
      <c r="A3305" s="31" t="s">
        <v>4467</v>
      </c>
      <c r="B3305" s="32" t="s">
        <v>4468</v>
      </c>
      <c r="C3305" s="32" t="s">
        <v>779</v>
      </c>
      <c r="D3305" s="32" t="s">
        <v>876</v>
      </c>
      <c r="E3305" s="33" t="s">
        <v>780</v>
      </c>
      <c r="F3305" s="34">
        <v>704754</v>
      </c>
      <c r="G3305" s="34">
        <v>690070</v>
      </c>
      <c r="H3305" s="35" t="s">
        <v>4473</v>
      </c>
    </row>
    <row r="3306" spans="1:8" ht="27" customHeight="1" x14ac:dyDescent="0.2">
      <c r="A3306" s="31" t="s">
        <v>4467</v>
      </c>
      <c r="B3306" s="32" t="s">
        <v>4468</v>
      </c>
      <c r="C3306" s="32" t="s">
        <v>782</v>
      </c>
      <c r="D3306" s="32" t="s">
        <v>964</v>
      </c>
      <c r="E3306" s="33" t="s">
        <v>784</v>
      </c>
      <c r="F3306" s="34">
        <v>1285138</v>
      </c>
      <c r="G3306" s="34">
        <v>1792543</v>
      </c>
      <c r="H3306" s="35" t="s">
        <v>4474</v>
      </c>
    </row>
    <row r="3307" spans="1:8" ht="27" customHeight="1" x14ac:dyDescent="0.2">
      <c r="A3307" s="31" t="s">
        <v>4475</v>
      </c>
      <c r="B3307" s="32" t="s">
        <v>4476</v>
      </c>
      <c r="C3307" s="32" t="s">
        <v>763</v>
      </c>
      <c r="D3307" s="32" t="s">
        <v>816</v>
      </c>
      <c r="E3307" s="33" t="s">
        <v>764</v>
      </c>
      <c r="F3307" s="34">
        <v>2512123</v>
      </c>
      <c r="G3307" s="34">
        <v>2512123</v>
      </c>
      <c r="H3307" s="35" t="s">
        <v>1467</v>
      </c>
    </row>
    <row r="3308" spans="1:8" ht="27" customHeight="1" x14ac:dyDescent="0.2">
      <c r="A3308" s="31" t="s">
        <v>4475</v>
      </c>
      <c r="B3308" s="32" t="s">
        <v>4476</v>
      </c>
      <c r="C3308" s="32" t="s">
        <v>770</v>
      </c>
      <c r="D3308" s="32" t="s">
        <v>810</v>
      </c>
      <c r="E3308" s="33" t="s">
        <v>772</v>
      </c>
      <c r="F3308" s="34">
        <v>100342</v>
      </c>
      <c r="G3308" s="34">
        <v>100342</v>
      </c>
      <c r="H3308" s="35" t="s">
        <v>4477</v>
      </c>
    </row>
    <row r="3309" spans="1:8" ht="27" customHeight="1" x14ac:dyDescent="0.2">
      <c r="A3309" s="31" t="s">
        <v>4475</v>
      </c>
      <c r="B3309" s="32" t="s">
        <v>4476</v>
      </c>
      <c r="C3309" s="32" t="s">
        <v>844</v>
      </c>
      <c r="D3309" s="32" t="s">
        <v>972</v>
      </c>
      <c r="E3309" s="33" t="s">
        <v>846</v>
      </c>
      <c r="F3309" s="34">
        <v>364113</v>
      </c>
      <c r="G3309" s="34">
        <v>364113</v>
      </c>
      <c r="H3309" s="35" t="s">
        <v>4478</v>
      </c>
    </row>
    <row r="3310" spans="1:8" ht="27" customHeight="1" x14ac:dyDescent="0.2">
      <c r="A3310" s="31" t="s">
        <v>4475</v>
      </c>
      <c r="B3310" s="32" t="s">
        <v>4476</v>
      </c>
      <c r="C3310" s="32" t="s">
        <v>773</v>
      </c>
      <c r="D3310" s="32" t="s">
        <v>973</v>
      </c>
      <c r="E3310" s="33" t="s">
        <v>775</v>
      </c>
      <c r="F3310" s="34">
        <v>392267</v>
      </c>
      <c r="G3310" s="34">
        <v>392267</v>
      </c>
      <c r="H3310" s="35" t="s">
        <v>4479</v>
      </c>
    </row>
    <row r="3311" spans="1:8" ht="27" customHeight="1" x14ac:dyDescent="0.2">
      <c r="A3311" s="31" t="s">
        <v>4475</v>
      </c>
      <c r="B3311" s="32" t="s">
        <v>4476</v>
      </c>
      <c r="C3311" s="32" t="s">
        <v>860</v>
      </c>
      <c r="D3311" s="32" t="s">
        <v>911</v>
      </c>
      <c r="E3311" s="33" t="s">
        <v>861</v>
      </c>
      <c r="F3311" s="34">
        <v>684593</v>
      </c>
      <c r="G3311" s="34">
        <v>684593</v>
      </c>
      <c r="H3311" s="35" t="s">
        <v>4480</v>
      </c>
    </row>
    <row r="3312" spans="1:8" ht="27" customHeight="1" x14ac:dyDescent="0.2">
      <c r="A3312" s="31" t="s">
        <v>4475</v>
      </c>
      <c r="B3312" s="32" t="s">
        <v>4476</v>
      </c>
      <c r="C3312" s="32" t="s">
        <v>796</v>
      </c>
      <c r="D3312" s="32" t="s">
        <v>1095</v>
      </c>
      <c r="E3312" s="33" t="s">
        <v>823</v>
      </c>
      <c r="F3312" s="34">
        <v>1006305</v>
      </c>
      <c r="G3312" s="34">
        <v>1006305</v>
      </c>
      <c r="H3312" s="35" t="s">
        <v>4481</v>
      </c>
    </row>
    <row r="3313" spans="1:8" ht="27" customHeight="1" x14ac:dyDescent="0.2">
      <c r="A3313" s="31" t="s">
        <v>4475</v>
      </c>
      <c r="B3313" s="32" t="s">
        <v>4476</v>
      </c>
      <c r="C3313" s="32" t="s">
        <v>779</v>
      </c>
      <c r="D3313" s="32" t="s">
        <v>779</v>
      </c>
      <c r="E3313" s="33" t="s">
        <v>780</v>
      </c>
      <c r="F3313" s="34">
        <v>200724</v>
      </c>
      <c r="G3313" s="34">
        <v>200724</v>
      </c>
      <c r="H3313" s="35" t="s">
        <v>4482</v>
      </c>
    </row>
    <row r="3314" spans="1:8" ht="27" customHeight="1" x14ac:dyDescent="0.2">
      <c r="A3314" s="31" t="s">
        <v>4475</v>
      </c>
      <c r="B3314" s="32" t="s">
        <v>4476</v>
      </c>
      <c r="C3314" s="32" t="s">
        <v>782</v>
      </c>
      <c r="D3314" s="32" t="s">
        <v>782</v>
      </c>
      <c r="E3314" s="33" t="s">
        <v>784</v>
      </c>
      <c r="F3314" s="34">
        <v>309192</v>
      </c>
      <c r="G3314" s="34">
        <v>309192</v>
      </c>
      <c r="H3314" s="35" t="s">
        <v>4483</v>
      </c>
    </row>
    <row r="3315" spans="1:8" ht="27" customHeight="1" x14ac:dyDescent="0.2">
      <c r="A3315" s="31" t="s">
        <v>4484</v>
      </c>
      <c r="B3315" s="32" t="s">
        <v>4485</v>
      </c>
      <c r="C3315" s="32" t="s">
        <v>763</v>
      </c>
      <c r="D3315" s="32" t="s">
        <v>4486</v>
      </c>
      <c r="E3315" s="33" t="s">
        <v>764</v>
      </c>
      <c r="F3315" s="34">
        <v>269934</v>
      </c>
      <c r="G3315" s="34">
        <v>269950</v>
      </c>
      <c r="H3315" s="35" t="s">
        <v>4487</v>
      </c>
    </row>
    <row r="3316" spans="1:8" ht="27" customHeight="1" x14ac:dyDescent="0.2">
      <c r="A3316" s="31" t="s">
        <v>4484</v>
      </c>
      <c r="B3316" s="32" t="s">
        <v>4485</v>
      </c>
      <c r="C3316" s="32" t="s">
        <v>763</v>
      </c>
      <c r="D3316" s="32" t="s">
        <v>4488</v>
      </c>
      <c r="E3316" s="33" t="s">
        <v>764</v>
      </c>
      <c r="F3316" s="34">
        <v>675000</v>
      </c>
      <c r="G3316" s="34">
        <v>1000000</v>
      </c>
      <c r="H3316" s="35" t="s">
        <v>4489</v>
      </c>
    </row>
    <row r="3317" spans="1:8" ht="27" customHeight="1" x14ac:dyDescent="0.2">
      <c r="A3317" s="31" t="s">
        <v>4484</v>
      </c>
      <c r="B3317" s="32" t="s">
        <v>4485</v>
      </c>
      <c r="C3317" s="32" t="s">
        <v>763</v>
      </c>
      <c r="D3317" s="32" t="s">
        <v>1924</v>
      </c>
      <c r="E3317" s="33" t="s">
        <v>764</v>
      </c>
      <c r="F3317" s="34">
        <v>1717356</v>
      </c>
      <c r="G3317" s="34">
        <v>3000000</v>
      </c>
      <c r="H3317" s="35" t="s">
        <v>4490</v>
      </c>
    </row>
    <row r="3318" spans="1:8" ht="27" customHeight="1" x14ac:dyDescent="0.2">
      <c r="A3318" s="31" t="s">
        <v>4484</v>
      </c>
      <c r="B3318" s="32" t="s">
        <v>4485</v>
      </c>
      <c r="C3318" s="32" t="s">
        <v>770</v>
      </c>
      <c r="D3318" s="32" t="s">
        <v>1011</v>
      </c>
      <c r="E3318" s="33" t="s">
        <v>772</v>
      </c>
      <c r="F3318" s="34">
        <v>5732864</v>
      </c>
      <c r="G3318" s="34">
        <v>5750000</v>
      </c>
      <c r="H3318" s="35" t="s">
        <v>4491</v>
      </c>
    </row>
    <row r="3319" spans="1:8" ht="27" customHeight="1" x14ac:dyDescent="0.2">
      <c r="A3319" s="31" t="s">
        <v>4484</v>
      </c>
      <c r="B3319" s="32" t="s">
        <v>4485</v>
      </c>
      <c r="C3319" s="32" t="s">
        <v>831</v>
      </c>
      <c r="D3319" s="32" t="s">
        <v>906</v>
      </c>
      <c r="E3319" s="33" t="s">
        <v>4492</v>
      </c>
      <c r="F3319" s="34">
        <v>102049</v>
      </c>
      <c r="G3319" s="34">
        <v>50000</v>
      </c>
      <c r="H3319" s="35" t="s">
        <v>4493</v>
      </c>
    </row>
    <row r="3320" spans="1:8" ht="27" customHeight="1" x14ac:dyDescent="0.2">
      <c r="A3320" s="31" t="s">
        <v>4484</v>
      </c>
      <c r="B3320" s="32" t="s">
        <v>4485</v>
      </c>
      <c r="C3320" s="32" t="s">
        <v>860</v>
      </c>
      <c r="D3320" s="32" t="s">
        <v>860</v>
      </c>
      <c r="E3320" s="33" t="s">
        <v>861</v>
      </c>
      <c r="F3320" s="34">
        <v>500000</v>
      </c>
      <c r="G3320" s="34">
        <v>700000</v>
      </c>
      <c r="H3320" s="35" t="s">
        <v>4494</v>
      </c>
    </row>
    <row r="3321" spans="1:8" ht="27" customHeight="1" x14ac:dyDescent="0.2">
      <c r="A3321" s="31" t="s">
        <v>4484</v>
      </c>
      <c r="B3321" s="32" t="s">
        <v>4485</v>
      </c>
      <c r="C3321" s="32" t="s">
        <v>776</v>
      </c>
      <c r="D3321" s="32" t="s">
        <v>776</v>
      </c>
      <c r="E3321" s="33" t="s">
        <v>777</v>
      </c>
      <c r="F3321" s="34">
        <v>109796</v>
      </c>
      <c r="G3321" s="34">
        <v>109796</v>
      </c>
      <c r="H3321" s="35" t="s">
        <v>4495</v>
      </c>
    </row>
    <row r="3322" spans="1:8" ht="27" customHeight="1" x14ac:dyDescent="0.2">
      <c r="A3322" s="31" t="s">
        <v>4484</v>
      </c>
      <c r="B3322" s="32" t="s">
        <v>4485</v>
      </c>
      <c r="C3322" s="32" t="s">
        <v>779</v>
      </c>
      <c r="D3322" s="32" t="s">
        <v>802</v>
      </c>
      <c r="E3322" s="33" t="s">
        <v>780</v>
      </c>
      <c r="F3322" s="34">
        <v>83514</v>
      </c>
      <c r="G3322" s="34">
        <v>83514</v>
      </c>
      <c r="H3322" s="35" t="s">
        <v>4496</v>
      </c>
    </row>
    <row r="3323" spans="1:8" ht="27" customHeight="1" x14ac:dyDescent="0.2">
      <c r="A3323" s="31" t="s">
        <v>4484</v>
      </c>
      <c r="B3323" s="32" t="s">
        <v>4485</v>
      </c>
      <c r="C3323" s="32" t="s">
        <v>782</v>
      </c>
      <c r="D3323" s="32" t="s">
        <v>782</v>
      </c>
      <c r="E3323" s="33" t="s">
        <v>784</v>
      </c>
      <c r="F3323" s="34">
        <v>55676</v>
      </c>
      <c r="G3323" s="34">
        <v>55676</v>
      </c>
      <c r="H3323" s="35" t="s">
        <v>4496</v>
      </c>
    </row>
    <row r="3324" spans="1:8" ht="27" customHeight="1" x14ac:dyDescent="0.2">
      <c r="A3324" s="31" t="s">
        <v>4497</v>
      </c>
      <c r="B3324" s="32" t="s">
        <v>4498</v>
      </c>
      <c r="C3324" s="32" t="s">
        <v>763</v>
      </c>
      <c r="D3324" s="32" t="s">
        <v>816</v>
      </c>
      <c r="E3324" s="33" t="s">
        <v>764</v>
      </c>
      <c r="F3324" s="34">
        <v>250000</v>
      </c>
      <c r="G3324" s="34">
        <v>750000</v>
      </c>
      <c r="H3324" s="35" t="s">
        <v>4499</v>
      </c>
    </row>
    <row r="3325" spans="1:8" ht="27" customHeight="1" x14ac:dyDescent="0.2">
      <c r="A3325" s="31" t="s">
        <v>4497</v>
      </c>
      <c r="B3325" s="32" t="s">
        <v>4498</v>
      </c>
      <c r="C3325" s="32" t="s">
        <v>766</v>
      </c>
      <c r="D3325" s="32" t="s">
        <v>818</v>
      </c>
      <c r="E3325" s="33" t="s">
        <v>768</v>
      </c>
      <c r="F3325" s="34">
        <v>0</v>
      </c>
      <c r="G3325" s="34">
        <v>0</v>
      </c>
      <c r="H3325" s="35" t="s">
        <v>4500</v>
      </c>
    </row>
    <row r="3326" spans="1:8" ht="27" customHeight="1" x14ac:dyDescent="0.2">
      <c r="A3326" s="31" t="s">
        <v>4497</v>
      </c>
      <c r="B3326" s="32" t="s">
        <v>4498</v>
      </c>
      <c r="C3326" s="32" t="s">
        <v>770</v>
      </c>
      <c r="D3326" s="32" t="s">
        <v>4501</v>
      </c>
      <c r="E3326" s="33" t="s">
        <v>772</v>
      </c>
      <c r="F3326" s="34">
        <v>576900</v>
      </c>
      <c r="G3326" s="34">
        <v>500000</v>
      </c>
      <c r="H3326" s="35" t="s">
        <v>4502</v>
      </c>
    </row>
    <row r="3327" spans="1:8" ht="27" customHeight="1" x14ac:dyDescent="0.2">
      <c r="A3327" s="31" t="s">
        <v>4497</v>
      </c>
      <c r="B3327" s="32" t="s">
        <v>4498</v>
      </c>
      <c r="C3327" s="32" t="s">
        <v>844</v>
      </c>
      <c r="D3327" s="32" t="s">
        <v>972</v>
      </c>
      <c r="E3327" s="33" t="s">
        <v>846</v>
      </c>
      <c r="F3327" s="34">
        <v>0</v>
      </c>
      <c r="G3327" s="34">
        <v>0</v>
      </c>
      <c r="H3327" s="35" t="s">
        <v>1049</v>
      </c>
    </row>
    <row r="3328" spans="1:8" ht="27" customHeight="1" x14ac:dyDescent="0.2">
      <c r="A3328" s="31" t="s">
        <v>4497</v>
      </c>
      <c r="B3328" s="32" t="s">
        <v>4498</v>
      </c>
      <c r="C3328" s="32" t="s">
        <v>773</v>
      </c>
      <c r="D3328" s="32" t="s">
        <v>2020</v>
      </c>
      <c r="E3328" s="33" t="s">
        <v>775</v>
      </c>
      <c r="F3328" s="34">
        <v>32605</v>
      </c>
      <c r="G3328" s="34">
        <v>32605</v>
      </c>
      <c r="H3328" s="35" t="s">
        <v>4503</v>
      </c>
    </row>
    <row r="3329" spans="1:8" ht="27" customHeight="1" x14ac:dyDescent="0.2">
      <c r="A3329" s="31" t="s">
        <v>4497</v>
      </c>
      <c r="B3329" s="32" t="s">
        <v>4498</v>
      </c>
      <c r="C3329" s="32" t="s">
        <v>831</v>
      </c>
      <c r="D3329" s="32" t="s">
        <v>4504</v>
      </c>
      <c r="E3329" s="33" t="s">
        <v>4505</v>
      </c>
      <c r="F3329" s="34">
        <v>774166</v>
      </c>
      <c r="G3329" s="34">
        <v>974166</v>
      </c>
      <c r="H3329" s="35" t="s">
        <v>4506</v>
      </c>
    </row>
    <row r="3330" spans="1:8" ht="27" customHeight="1" x14ac:dyDescent="0.2">
      <c r="A3330" s="31" t="s">
        <v>4497</v>
      </c>
      <c r="B3330" s="32" t="s">
        <v>4498</v>
      </c>
      <c r="C3330" s="32" t="s">
        <v>831</v>
      </c>
      <c r="D3330" s="32" t="s">
        <v>4507</v>
      </c>
      <c r="E3330" s="33" t="s">
        <v>4508</v>
      </c>
      <c r="F3330" s="34">
        <v>0</v>
      </c>
      <c r="G3330" s="34">
        <v>200000</v>
      </c>
      <c r="H3330" s="35" t="s">
        <v>4509</v>
      </c>
    </row>
    <row r="3331" spans="1:8" ht="27" customHeight="1" x14ac:dyDescent="0.2">
      <c r="A3331" s="31" t="s">
        <v>4497</v>
      </c>
      <c r="B3331" s="32" t="s">
        <v>4498</v>
      </c>
      <c r="C3331" s="32" t="s">
        <v>831</v>
      </c>
      <c r="D3331" s="32" t="s">
        <v>4510</v>
      </c>
      <c r="E3331" s="33" t="s">
        <v>4511</v>
      </c>
      <c r="F3331" s="34">
        <v>0</v>
      </c>
      <c r="G3331" s="34">
        <v>200000</v>
      </c>
      <c r="H3331" s="35" t="s">
        <v>4512</v>
      </c>
    </row>
    <row r="3332" spans="1:8" ht="27" customHeight="1" x14ac:dyDescent="0.2">
      <c r="A3332" s="31" t="s">
        <v>4497</v>
      </c>
      <c r="B3332" s="32" t="s">
        <v>4498</v>
      </c>
      <c r="C3332" s="32" t="s">
        <v>886</v>
      </c>
      <c r="D3332" s="32" t="s">
        <v>951</v>
      </c>
      <c r="E3332" s="33" t="s">
        <v>887</v>
      </c>
      <c r="F3332" s="34">
        <v>49536</v>
      </c>
      <c r="G3332" s="34">
        <v>49536</v>
      </c>
      <c r="H3332" s="35" t="s">
        <v>4503</v>
      </c>
    </row>
    <row r="3333" spans="1:8" ht="27" customHeight="1" x14ac:dyDescent="0.2">
      <c r="A3333" s="31" t="s">
        <v>4497</v>
      </c>
      <c r="B3333" s="32" t="s">
        <v>4498</v>
      </c>
      <c r="C3333" s="32" t="s">
        <v>860</v>
      </c>
      <c r="D3333" s="32" t="s">
        <v>1027</v>
      </c>
      <c r="E3333" s="33" t="s">
        <v>861</v>
      </c>
      <c r="F3333" s="34">
        <v>283101</v>
      </c>
      <c r="G3333" s="34">
        <v>350000</v>
      </c>
      <c r="H3333" s="35" t="s">
        <v>4513</v>
      </c>
    </row>
    <row r="3334" spans="1:8" ht="27" customHeight="1" x14ac:dyDescent="0.2">
      <c r="A3334" s="31" t="s">
        <v>4497</v>
      </c>
      <c r="B3334" s="32" t="s">
        <v>4498</v>
      </c>
      <c r="C3334" s="32" t="s">
        <v>796</v>
      </c>
      <c r="D3334" s="32" t="s">
        <v>811</v>
      </c>
      <c r="E3334" s="33" t="s">
        <v>823</v>
      </c>
      <c r="F3334" s="34">
        <v>0</v>
      </c>
      <c r="G3334" s="34">
        <v>100000</v>
      </c>
      <c r="H3334" s="35" t="s">
        <v>4514</v>
      </c>
    </row>
    <row r="3335" spans="1:8" ht="27" customHeight="1" x14ac:dyDescent="0.2">
      <c r="A3335" s="31" t="s">
        <v>4497</v>
      </c>
      <c r="B3335" s="32" t="s">
        <v>4498</v>
      </c>
      <c r="C3335" s="32" t="s">
        <v>776</v>
      </c>
      <c r="D3335" s="32" t="s">
        <v>914</v>
      </c>
      <c r="E3335" s="33" t="s">
        <v>777</v>
      </c>
      <c r="F3335" s="34">
        <v>370000</v>
      </c>
      <c r="G3335" s="34">
        <v>0</v>
      </c>
      <c r="H3335" s="35" t="s">
        <v>4515</v>
      </c>
    </row>
    <row r="3336" spans="1:8" ht="27" customHeight="1" x14ac:dyDescent="0.2">
      <c r="A3336" s="31" t="s">
        <v>4497</v>
      </c>
      <c r="B3336" s="32" t="s">
        <v>4498</v>
      </c>
      <c r="C3336" s="32" t="s">
        <v>779</v>
      </c>
      <c r="D3336" s="32" t="s">
        <v>826</v>
      </c>
      <c r="E3336" s="33" t="s">
        <v>780</v>
      </c>
      <c r="F3336" s="34">
        <v>326929</v>
      </c>
      <c r="G3336" s="34">
        <v>50000</v>
      </c>
      <c r="H3336" s="35" t="s">
        <v>3318</v>
      </c>
    </row>
    <row r="3337" spans="1:8" ht="27" customHeight="1" x14ac:dyDescent="0.2">
      <c r="A3337" s="31" t="s">
        <v>4497</v>
      </c>
      <c r="B3337" s="32" t="s">
        <v>4498</v>
      </c>
      <c r="C3337" s="32" t="s">
        <v>782</v>
      </c>
      <c r="D3337" s="32" t="s">
        <v>964</v>
      </c>
      <c r="E3337" s="33" t="s">
        <v>784</v>
      </c>
      <c r="F3337" s="34">
        <v>144119</v>
      </c>
      <c r="G3337" s="34">
        <v>50000</v>
      </c>
      <c r="H3337" s="35" t="s">
        <v>4516</v>
      </c>
    </row>
    <row r="3338" spans="1:8" ht="27" customHeight="1" x14ac:dyDescent="0.2">
      <c r="A3338" s="31" t="s">
        <v>4517</v>
      </c>
      <c r="B3338" s="32" t="s">
        <v>4518</v>
      </c>
      <c r="C3338" s="32" t="s">
        <v>763</v>
      </c>
      <c r="D3338" s="32" t="s">
        <v>763</v>
      </c>
      <c r="E3338" s="33" t="s">
        <v>764</v>
      </c>
      <c r="F3338" s="34">
        <v>651112</v>
      </c>
      <c r="G3338" s="34">
        <v>65763</v>
      </c>
      <c r="H3338" s="35" t="s">
        <v>4519</v>
      </c>
    </row>
    <row r="3339" spans="1:8" ht="27" customHeight="1" x14ac:dyDescent="0.2">
      <c r="A3339" s="31" t="s">
        <v>4517</v>
      </c>
      <c r="B3339" s="32" t="s">
        <v>4518</v>
      </c>
      <c r="C3339" s="32" t="s">
        <v>766</v>
      </c>
      <c r="D3339" s="32" t="s">
        <v>767</v>
      </c>
      <c r="E3339" s="33" t="s">
        <v>768</v>
      </c>
      <c r="F3339" s="34">
        <v>586985</v>
      </c>
      <c r="G3339" s="34">
        <v>592855</v>
      </c>
      <c r="H3339" s="35" t="s">
        <v>859</v>
      </c>
    </row>
    <row r="3340" spans="1:8" ht="27" customHeight="1" x14ac:dyDescent="0.2">
      <c r="A3340" s="31" t="s">
        <v>4517</v>
      </c>
      <c r="B3340" s="32" t="s">
        <v>4518</v>
      </c>
      <c r="C3340" s="32" t="s">
        <v>770</v>
      </c>
      <c r="D3340" s="32" t="s">
        <v>1892</v>
      </c>
      <c r="E3340" s="33" t="s">
        <v>772</v>
      </c>
      <c r="F3340" s="34">
        <v>75608</v>
      </c>
      <c r="G3340" s="34">
        <v>76364</v>
      </c>
      <c r="H3340" s="35" t="s">
        <v>859</v>
      </c>
    </row>
    <row r="3341" spans="1:8" ht="27" customHeight="1" x14ac:dyDescent="0.2">
      <c r="A3341" s="31" t="s">
        <v>4517</v>
      </c>
      <c r="B3341" s="32" t="s">
        <v>4518</v>
      </c>
      <c r="C3341" s="32" t="s">
        <v>860</v>
      </c>
      <c r="D3341" s="32" t="s">
        <v>860</v>
      </c>
      <c r="E3341" s="33" t="s">
        <v>861</v>
      </c>
      <c r="F3341" s="34">
        <v>445425</v>
      </c>
      <c r="G3341" s="34">
        <v>449879</v>
      </c>
      <c r="H3341" s="35" t="s">
        <v>4520</v>
      </c>
    </row>
    <row r="3342" spans="1:8" ht="27" customHeight="1" x14ac:dyDescent="0.2">
      <c r="A3342" s="31" t="s">
        <v>4517</v>
      </c>
      <c r="B3342" s="32" t="s">
        <v>4518</v>
      </c>
      <c r="C3342" s="32" t="s">
        <v>796</v>
      </c>
      <c r="D3342" s="32" t="s">
        <v>1050</v>
      </c>
      <c r="E3342" s="33" t="s">
        <v>823</v>
      </c>
      <c r="F3342" s="34">
        <v>153991</v>
      </c>
      <c r="G3342" s="34">
        <v>155531</v>
      </c>
      <c r="H3342" s="35" t="s">
        <v>859</v>
      </c>
    </row>
    <row r="3343" spans="1:8" ht="27" customHeight="1" x14ac:dyDescent="0.2">
      <c r="A3343" s="31" t="s">
        <v>4517</v>
      </c>
      <c r="B3343" s="32" t="s">
        <v>4518</v>
      </c>
      <c r="C3343" s="32" t="s">
        <v>776</v>
      </c>
      <c r="D3343" s="32" t="s">
        <v>4521</v>
      </c>
      <c r="E3343" s="33" t="s">
        <v>777</v>
      </c>
      <c r="F3343" s="34">
        <v>36768</v>
      </c>
      <c r="G3343" s="34">
        <v>37136</v>
      </c>
      <c r="H3343" s="35" t="s">
        <v>859</v>
      </c>
    </row>
    <row r="3344" spans="1:8" ht="27" customHeight="1" x14ac:dyDescent="0.2">
      <c r="A3344" s="31" t="s">
        <v>4517</v>
      </c>
      <c r="B3344" s="32" t="s">
        <v>4518</v>
      </c>
      <c r="C3344" s="32" t="s">
        <v>779</v>
      </c>
      <c r="D3344" s="32" t="s">
        <v>1757</v>
      </c>
      <c r="E3344" s="33" t="s">
        <v>780</v>
      </c>
      <c r="F3344" s="34">
        <v>53859</v>
      </c>
      <c r="G3344" s="34">
        <v>54380</v>
      </c>
      <c r="H3344" s="35" t="s">
        <v>859</v>
      </c>
    </row>
    <row r="3345" spans="1:8" ht="27" customHeight="1" x14ac:dyDescent="0.2">
      <c r="A3345" s="31" t="s">
        <v>4522</v>
      </c>
      <c r="B3345" s="32" t="s">
        <v>4523</v>
      </c>
      <c r="C3345" s="32" t="s">
        <v>763</v>
      </c>
      <c r="D3345" s="32" t="s">
        <v>816</v>
      </c>
      <c r="E3345" s="33" t="s">
        <v>764</v>
      </c>
      <c r="F3345" s="34">
        <v>1052608</v>
      </c>
      <c r="G3345" s="34">
        <v>1052608</v>
      </c>
      <c r="H3345" s="35" t="s">
        <v>1467</v>
      </c>
    </row>
    <row r="3346" spans="1:8" ht="27" customHeight="1" x14ac:dyDescent="0.2">
      <c r="A3346" s="31" t="s">
        <v>4522</v>
      </c>
      <c r="B3346" s="32" t="s">
        <v>4523</v>
      </c>
      <c r="C3346" s="32" t="s">
        <v>770</v>
      </c>
      <c r="D3346" s="32" t="s">
        <v>770</v>
      </c>
      <c r="E3346" s="33" t="s">
        <v>772</v>
      </c>
      <c r="F3346" s="34">
        <v>89846</v>
      </c>
      <c r="G3346" s="34">
        <v>89846</v>
      </c>
      <c r="H3346" s="35" t="s">
        <v>4524</v>
      </c>
    </row>
    <row r="3347" spans="1:8" ht="27" customHeight="1" x14ac:dyDescent="0.2">
      <c r="A3347" s="31" t="s">
        <v>4522</v>
      </c>
      <c r="B3347" s="32" t="s">
        <v>4523</v>
      </c>
      <c r="C3347" s="32" t="s">
        <v>860</v>
      </c>
      <c r="D3347" s="32" t="s">
        <v>911</v>
      </c>
      <c r="E3347" s="33" t="s">
        <v>861</v>
      </c>
      <c r="F3347" s="34">
        <v>300378</v>
      </c>
      <c r="G3347" s="34">
        <v>300378</v>
      </c>
      <c r="H3347" s="35" t="s">
        <v>4480</v>
      </c>
    </row>
    <row r="3348" spans="1:8" ht="27" customHeight="1" x14ac:dyDescent="0.2">
      <c r="A3348" s="31" t="s">
        <v>4522</v>
      </c>
      <c r="B3348" s="32" t="s">
        <v>4523</v>
      </c>
      <c r="C3348" s="32" t="s">
        <v>796</v>
      </c>
      <c r="D3348" s="32" t="s">
        <v>1095</v>
      </c>
      <c r="E3348" s="33" t="s">
        <v>823</v>
      </c>
      <c r="F3348" s="34">
        <v>225129</v>
      </c>
      <c r="G3348" s="34">
        <v>225129</v>
      </c>
      <c r="H3348" s="35" t="s">
        <v>4481</v>
      </c>
    </row>
    <row r="3349" spans="1:8" ht="27" customHeight="1" x14ac:dyDescent="0.2">
      <c r="A3349" s="31" t="s">
        <v>4522</v>
      </c>
      <c r="B3349" s="32" t="s">
        <v>4523</v>
      </c>
      <c r="C3349" s="32" t="s">
        <v>776</v>
      </c>
      <c r="D3349" s="32" t="s">
        <v>812</v>
      </c>
      <c r="E3349" s="33" t="s">
        <v>777</v>
      </c>
      <c r="F3349" s="34">
        <v>15252</v>
      </c>
      <c r="G3349" s="34">
        <v>15252</v>
      </c>
      <c r="H3349" s="35" t="s">
        <v>4525</v>
      </c>
    </row>
    <row r="3350" spans="1:8" ht="27" customHeight="1" x14ac:dyDescent="0.2">
      <c r="A3350" s="31" t="s">
        <v>4522</v>
      </c>
      <c r="B3350" s="32" t="s">
        <v>4523</v>
      </c>
      <c r="C3350" s="32" t="s">
        <v>779</v>
      </c>
      <c r="D3350" s="32" t="s">
        <v>876</v>
      </c>
      <c r="E3350" s="33" t="s">
        <v>780</v>
      </c>
      <c r="F3350" s="34">
        <v>145681</v>
      </c>
      <c r="G3350" s="34">
        <v>145681</v>
      </c>
      <c r="H3350" s="35" t="s">
        <v>4526</v>
      </c>
    </row>
    <row r="3351" spans="1:8" ht="27" customHeight="1" x14ac:dyDescent="0.2">
      <c r="A3351" s="31" t="s">
        <v>4522</v>
      </c>
      <c r="B3351" s="32" t="s">
        <v>4523</v>
      </c>
      <c r="C3351" s="32" t="s">
        <v>782</v>
      </c>
      <c r="D3351" s="32" t="s">
        <v>782</v>
      </c>
      <c r="E3351" s="33" t="s">
        <v>784</v>
      </c>
      <c r="F3351" s="34">
        <v>175064</v>
      </c>
      <c r="G3351" s="34">
        <v>175064</v>
      </c>
      <c r="H3351" s="35" t="s">
        <v>4483</v>
      </c>
    </row>
    <row r="3352" spans="1:8" ht="27" customHeight="1" x14ac:dyDescent="0.2">
      <c r="A3352" s="31" t="s">
        <v>4527</v>
      </c>
      <c r="B3352" s="32" t="s">
        <v>4528</v>
      </c>
      <c r="C3352" s="32" t="s">
        <v>763</v>
      </c>
      <c r="D3352" s="32" t="s">
        <v>943</v>
      </c>
      <c r="E3352" s="33" t="s">
        <v>764</v>
      </c>
      <c r="F3352" s="34">
        <v>200821</v>
      </c>
      <c r="G3352" s="34">
        <v>200821</v>
      </c>
      <c r="H3352" s="35" t="s">
        <v>4529</v>
      </c>
    </row>
    <row r="3353" spans="1:8" ht="27" customHeight="1" x14ac:dyDescent="0.2">
      <c r="A3353" s="31" t="s">
        <v>4527</v>
      </c>
      <c r="B3353" s="32" t="s">
        <v>4528</v>
      </c>
      <c r="C3353" s="32" t="s">
        <v>763</v>
      </c>
      <c r="D3353" s="32" t="s">
        <v>2696</v>
      </c>
      <c r="E3353" s="33" t="s">
        <v>764</v>
      </c>
      <c r="F3353" s="34">
        <v>300200</v>
      </c>
      <c r="G3353" s="34">
        <v>400200</v>
      </c>
      <c r="H3353" s="35" t="s">
        <v>4530</v>
      </c>
    </row>
    <row r="3354" spans="1:8" ht="27" customHeight="1" x14ac:dyDescent="0.2">
      <c r="A3354" s="31" t="s">
        <v>4527</v>
      </c>
      <c r="B3354" s="32" t="s">
        <v>4528</v>
      </c>
      <c r="C3354" s="32" t="s">
        <v>766</v>
      </c>
      <c r="D3354" s="32" t="s">
        <v>4531</v>
      </c>
      <c r="E3354" s="33" t="s">
        <v>768</v>
      </c>
      <c r="F3354" s="34">
        <v>28438</v>
      </c>
      <c r="G3354" s="34">
        <v>28438</v>
      </c>
      <c r="H3354" s="35" t="s">
        <v>4532</v>
      </c>
    </row>
    <row r="3355" spans="1:8" ht="27" customHeight="1" x14ac:dyDescent="0.2">
      <c r="A3355" s="31" t="s">
        <v>4527</v>
      </c>
      <c r="B3355" s="32" t="s">
        <v>4528</v>
      </c>
      <c r="C3355" s="32" t="s">
        <v>770</v>
      </c>
      <c r="D3355" s="32" t="s">
        <v>1011</v>
      </c>
      <c r="E3355" s="33" t="s">
        <v>772</v>
      </c>
      <c r="F3355" s="34">
        <v>855600</v>
      </c>
      <c r="G3355" s="34">
        <v>955362</v>
      </c>
      <c r="H3355" s="35" t="s">
        <v>4533</v>
      </c>
    </row>
    <row r="3356" spans="1:8" ht="27" customHeight="1" x14ac:dyDescent="0.2">
      <c r="A3356" s="31" t="s">
        <v>4527</v>
      </c>
      <c r="B3356" s="32" t="s">
        <v>4528</v>
      </c>
      <c r="C3356" s="32" t="s">
        <v>860</v>
      </c>
      <c r="D3356" s="32" t="s">
        <v>911</v>
      </c>
      <c r="E3356" s="33" t="s">
        <v>861</v>
      </c>
      <c r="F3356" s="34">
        <v>301099</v>
      </c>
      <c r="G3356" s="34">
        <v>314099</v>
      </c>
      <c r="H3356" s="35" t="s">
        <v>4534</v>
      </c>
    </row>
    <row r="3357" spans="1:8" ht="27" customHeight="1" x14ac:dyDescent="0.2">
      <c r="A3357" s="31" t="s">
        <v>4527</v>
      </c>
      <c r="B3357" s="32" t="s">
        <v>4528</v>
      </c>
      <c r="C3357" s="32" t="s">
        <v>796</v>
      </c>
      <c r="D3357" s="32" t="s">
        <v>835</v>
      </c>
      <c r="E3357" s="33" t="s">
        <v>823</v>
      </c>
      <c r="F3357" s="34">
        <v>755351</v>
      </c>
      <c r="G3357" s="34">
        <v>855351</v>
      </c>
      <c r="H3357" s="35" t="s">
        <v>4535</v>
      </c>
    </row>
    <row r="3358" spans="1:8" ht="27" customHeight="1" x14ac:dyDescent="0.2">
      <c r="A3358" s="31" t="s">
        <v>4527</v>
      </c>
      <c r="B3358" s="32" t="s">
        <v>4528</v>
      </c>
      <c r="C3358" s="32" t="s">
        <v>779</v>
      </c>
      <c r="D3358" s="32" t="s">
        <v>802</v>
      </c>
      <c r="E3358" s="33" t="s">
        <v>780</v>
      </c>
      <c r="F3358" s="34">
        <v>84907</v>
      </c>
      <c r="G3358" s="34">
        <v>84907</v>
      </c>
      <c r="H3358" s="35" t="s">
        <v>4536</v>
      </c>
    </row>
    <row r="3359" spans="1:8" ht="27" customHeight="1" x14ac:dyDescent="0.2">
      <c r="A3359" s="31" t="s">
        <v>4527</v>
      </c>
      <c r="B3359" s="32" t="s">
        <v>4528</v>
      </c>
      <c r="C3359" s="32" t="s">
        <v>782</v>
      </c>
      <c r="D3359" s="32" t="s">
        <v>901</v>
      </c>
      <c r="E3359" s="33" t="s">
        <v>784</v>
      </c>
      <c r="F3359" s="34">
        <v>55565</v>
      </c>
      <c r="G3359" s="34">
        <v>155565</v>
      </c>
      <c r="H3359" s="35" t="s">
        <v>4537</v>
      </c>
    </row>
    <row r="3360" spans="1:8" ht="27" customHeight="1" x14ac:dyDescent="0.2">
      <c r="A3360" s="31" t="s">
        <v>4538</v>
      </c>
      <c r="B3360" s="32" t="s">
        <v>4539</v>
      </c>
      <c r="C3360" s="32" t="s">
        <v>763</v>
      </c>
      <c r="D3360" s="32" t="s">
        <v>4540</v>
      </c>
      <c r="E3360" s="33" t="s">
        <v>764</v>
      </c>
      <c r="F3360" s="34">
        <v>1914222</v>
      </c>
      <c r="G3360" s="34">
        <v>1749489</v>
      </c>
      <c r="H3360" s="35" t="s">
        <v>4541</v>
      </c>
    </row>
    <row r="3361" spans="1:8" ht="27" customHeight="1" x14ac:dyDescent="0.2">
      <c r="A3361" s="31" t="s">
        <v>4538</v>
      </c>
      <c r="B3361" s="32" t="s">
        <v>4539</v>
      </c>
      <c r="C3361" s="32" t="s">
        <v>763</v>
      </c>
      <c r="D3361" s="32" t="s">
        <v>2605</v>
      </c>
      <c r="E3361" s="33" t="s">
        <v>764</v>
      </c>
      <c r="F3361" s="34">
        <v>1621423</v>
      </c>
      <c r="G3361" s="34">
        <v>1621939</v>
      </c>
      <c r="H3361" s="35" t="s">
        <v>859</v>
      </c>
    </row>
    <row r="3362" spans="1:8" ht="27" customHeight="1" x14ac:dyDescent="0.2">
      <c r="A3362" s="31" t="s">
        <v>4538</v>
      </c>
      <c r="B3362" s="32" t="s">
        <v>4539</v>
      </c>
      <c r="C3362" s="32" t="s">
        <v>766</v>
      </c>
      <c r="D3362" s="32" t="s">
        <v>832</v>
      </c>
      <c r="E3362" s="33" t="s">
        <v>768</v>
      </c>
      <c r="F3362" s="34">
        <v>3174615</v>
      </c>
      <c r="G3362" s="34">
        <v>3176133</v>
      </c>
      <c r="H3362" s="35" t="s">
        <v>4542</v>
      </c>
    </row>
    <row r="3363" spans="1:8" ht="27" customHeight="1" x14ac:dyDescent="0.2">
      <c r="A3363" s="31" t="s">
        <v>4538</v>
      </c>
      <c r="B3363" s="32" t="s">
        <v>4539</v>
      </c>
      <c r="C3363" s="32" t="s">
        <v>770</v>
      </c>
      <c r="D3363" s="32" t="s">
        <v>4543</v>
      </c>
      <c r="E3363" s="33" t="s">
        <v>772</v>
      </c>
      <c r="F3363" s="34">
        <v>672390</v>
      </c>
      <c r="G3363" s="34">
        <v>672606</v>
      </c>
      <c r="H3363" s="35" t="s">
        <v>4544</v>
      </c>
    </row>
    <row r="3364" spans="1:8" ht="27" customHeight="1" x14ac:dyDescent="0.2">
      <c r="A3364" s="31" t="s">
        <v>4538</v>
      </c>
      <c r="B3364" s="32" t="s">
        <v>4539</v>
      </c>
      <c r="C3364" s="32" t="s">
        <v>844</v>
      </c>
      <c r="D3364" s="32" t="s">
        <v>972</v>
      </c>
      <c r="E3364" s="33" t="s">
        <v>846</v>
      </c>
      <c r="F3364" s="34">
        <v>1104568</v>
      </c>
      <c r="G3364" s="34">
        <v>1104988</v>
      </c>
      <c r="H3364" s="35" t="s">
        <v>4545</v>
      </c>
    </row>
    <row r="3365" spans="1:8" ht="27" customHeight="1" x14ac:dyDescent="0.2">
      <c r="A3365" s="31" t="s">
        <v>4538</v>
      </c>
      <c r="B3365" s="32" t="s">
        <v>4539</v>
      </c>
      <c r="C3365" s="32" t="s">
        <v>773</v>
      </c>
      <c r="D3365" s="32" t="s">
        <v>973</v>
      </c>
      <c r="E3365" s="33" t="s">
        <v>775</v>
      </c>
      <c r="F3365" s="34">
        <v>549503</v>
      </c>
      <c r="G3365" s="34">
        <v>549677</v>
      </c>
      <c r="H3365" s="35" t="s">
        <v>4546</v>
      </c>
    </row>
    <row r="3366" spans="1:8" ht="27" customHeight="1" x14ac:dyDescent="0.2">
      <c r="A3366" s="31" t="s">
        <v>4538</v>
      </c>
      <c r="B3366" s="32" t="s">
        <v>4539</v>
      </c>
      <c r="C3366" s="32" t="s">
        <v>860</v>
      </c>
      <c r="D3366" s="32" t="s">
        <v>4547</v>
      </c>
      <c r="E3366" s="33" t="s">
        <v>861</v>
      </c>
      <c r="F3366" s="34">
        <v>55569</v>
      </c>
      <c r="G3366" s="34">
        <v>55605</v>
      </c>
      <c r="H3366" s="35" t="s">
        <v>859</v>
      </c>
    </row>
    <row r="3367" spans="1:8" ht="27" customHeight="1" x14ac:dyDescent="0.2">
      <c r="A3367" s="31" t="s">
        <v>4538</v>
      </c>
      <c r="B3367" s="32" t="s">
        <v>4539</v>
      </c>
      <c r="C3367" s="32" t="s">
        <v>796</v>
      </c>
      <c r="D3367" s="32" t="s">
        <v>811</v>
      </c>
      <c r="E3367" s="33" t="s">
        <v>823</v>
      </c>
      <c r="F3367" s="34">
        <v>1333077</v>
      </c>
      <c r="G3367" s="34">
        <v>1333584</v>
      </c>
      <c r="H3367" s="35" t="s">
        <v>4548</v>
      </c>
    </row>
    <row r="3368" spans="1:8" ht="27" customHeight="1" x14ac:dyDescent="0.2">
      <c r="A3368" s="31" t="s">
        <v>4538</v>
      </c>
      <c r="B3368" s="32" t="s">
        <v>4539</v>
      </c>
      <c r="C3368" s="32" t="s">
        <v>776</v>
      </c>
      <c r="D3368" s="32" t="s">
        <v>812</v>
      </c>
      <c r="E3368" s="33" t="s">
        <v>777</v>
      </c>
      <c r="F3368" s="34">
        <v>94311</v>
      </c>
      <c r="G3368" s="34">
        <v>94320</v>
      </c>
      <c r="H3368" s="35" t="s">
        <v>859</v>
      </c>
    </row>
    <row r="3369" spans="1:8" ht="27" customHeight="1" x14ac:dyDescent="0.2">
      <c r="A3369" s="31" t="s">
        <v>4538</v>
      </c>
      <c r="B3369" s="32" t="s">
        <v>4539</v>
      </c>
      <c r="C3369" s="32" t="s">
        <v>779</v>
      </c>
      <c r="D3369" s="32" t="s">
        <v>779</v>
      </c>
      <c r="E3369" s="33" t="s">
        <v>780</v>
      </c>
      <c r="F3369" s="34">
        <v>833957</v>
      </c>
      <c r="G3369" s="34">
        <v>815188</v>
      </c>
      <c r="H3369" s="35" t="s">
        <v>4549</v>
      </c>
    </row>
    <row r="3370" spans="1:8" ht="27" customHeight="1" x14ac:dyDescent="0.2">
      <c r="A3370" s="31" t="s">
        <v>4550</v>
      </c>
      <c r="B3370" s="32" t="s">
        <v>4551</v>
      </c>
      <c r="C3370" s="32" t="s">
        <v>763</v>
      </c>
      <c r="D3370" s="32" t="s">
        <v>1416</v>
      </c>
      <c r="E3370" s="33" t="s">
        <v>764</v>
      </c>
      <c r="F3370" s="34">
        <v>1914162</v>
      </c>
      <c r="G3370" s="34">
        <v>1914162</v>
      </c>
      <c r="H3370" s="35" t="s">
        <v>4552</v>
      </c>
    </row>
    <row r="3371" spans="1:8" ht="27" customHeight="1" x14ac:dyDescent="0.2">
      <c r="A3371" s="31" t="s">
        <v>4550</v>
      </c>
      <c r="B3371" s="32" t="s">
        <v>4551</v>
      </c>
      <c r="C3371" s="32" t="s">
        <v>770</v>
      </c>
      <c r="D3371" s="32" t="s">
        <v>810</v>
      </c>
      <c r="E3371" s="33" t="s">
        <v>772</v>
      </c>
      <c r="F3371" s="34">
        <v>199357</v>
      </c>
      <c r="G3371" s="34">
        <v>149357</v>
      </c>
      <c r="H3371" s="35" t="s">
        <v>4553</v>
      </c>
    </row>
    <row r="3372" spans="1:8" ht="27" customHeight="1" x14ac:dyDescent="0.2">
      <c r="A3372" s="31" t="s">
        <v>4550</v>
      </c>
      <c r="B3372" s="32" t="s">
        <v>4551</v>
      </c>
      <c r="C3372" s="32" t="s">
        <v>796</v>
      </c>
      <c r="D3372" s="32" t="s">
        <v>4554</v>
      </c>
      <c r="E3372" s="33" t="s">
        <v>772</v>
      </c>
      <c r="F3372" s="34">
        <v>2267551</v>
      </c>
      <c r="G3372" s="34">
        <v>2267551</v>
      </c>
      <c r="H3372" s="35" t="s">
        <v>4555</v>
      </c>
    </row>
    <row r="3373" spans="1:8" ht="27" customHeight="1" x14ac:dyDescent="0.2">
      <c r="A3373" s="31" t="s">
        <v>4550</v>
      </c>
      <c r="B3373" s="32" t="s">
        <v>4551</v>
      </c>
      <c r="C3373" s="32" t="s">
        <v>782</v>
      </c>
      <c r="D3373" s="32" t="s">
        <v>2075</v>
      </c>
      <c r="E3373" s="33" t="s">
        <v>784</v>
      </c>
      <c r="F3373" s="34">
        <v>2267551</v>
      </c>
      <c r="G3373" s="34">
        <v>2167551</v>
      </c>
      <c r="H3373" s="35" t="s">
        <v>4556</v>
      </c>
    </row>
    <row r="3374" spans="1:8" ht="27" customHeight="1" x14ac:dyDescent="0.2">
      <c r="A3374" s="31" t="s">
        <v>4557</v>
      </c>
      <c r="B3374" s="32" t="s">
        <v>4558</v>
      </c>
      <c r="C3374" s="32" t="s">
        <v>770</v>
      </c>
      <c r="D3374" s="32" t="s">
        <v>820</v>
      </c>
      <c r="E3374" s="33" t="s">
        <v>772</v>
      </c>
      <c r="F3374" s="34">
        <v>2567552</v>
      </c>
      <c r="G3374" s="34">
        <v>2335552</v>
      </c>
      <c r="H3374" s="35" t="s">
        <v>4559</v>
      </c>
    </row>
    <row r="3375" spans="1:8" ht="27" customHeight="1" x14ac:dyDescent="0.2">
      <c r="A3375" s="31" t="s">
        <v>4557</v>
      </c>
      <c r="B3375" s="32" t="s">
        <v>4558</v>
      </c>
      <c r="C3375" s="32" t="s">
        <v>831</v>
      </c>
      <c r="D3375" s="32" t="s">
        <v>4560</v>
      </c>
      <c r="E3375" s="33" t="s">
        <v>4561</v>
      </c>
      <c r="F3375" s="34">
        <v>0</v>
      </c>
      <c r="G3375" s="34">
        <v>160000</v>
      </c>
      <c r="H3375" s="35" t="s">
        <v>859</v>
      </c>
    </row>
    <row r="3376" spans="1:8" ht="27" customHeight="1" x14ac:dyDescent="0.2">
      <c r="A3376" s="31" t="s">
        <v>4557</v>
      </c>
      <c r="B3376" s="32" t="s">
        <v>4558</v>
      </c>
      <c r="C3376" s="32" t="s">
        <v>796</v>
      </c>
      <c r="D3376" s="32" t="s">
        <v>796</v>
      </c>
      <c r="E3376" s="33" t="s">
        <v>772</v>
      </c>
      <c r="F3376" s="34">
        <v>5688845</v>
      </c>
      <c r="G3376" s="34">
        <v>5988845</v>
      </c>
      <c r="H3376" s="35" t="s">
        <v>4562</v>
      </c>
    </row>
    <row r="3377" spans="1:8" ht="27" customHeight="1" x14ac:dyDescent="0.2">
      <c r="A3377" s="31" t="s">
        <v>4557</v>
      </c>
      <c r="B3377" s="32" t="s">
        <v>4558</v>
      </c>
      <c r="C3377" s="32" t="s">
        <v>779</v>
      </c>
      <c r="D3377" s="32" t="s">
        <v>1661</v>
      </c>
      <c r="E3377" s="33" t="s">
        <v>780</v>
      </c>
      <c r="F3377" s="34">
        <v>430295</v>
      </c>
      <c r="G3377" s="34">
        <v>430295</v>
      </c>
      <c r="H3377" s="35" t="s">
        <v>4563</v>
      </c>
    </row>
    <row r="3378" spans="1:8" ht="27" customHeight="1" x14ac:dyDescent="0.2">
      <c r="A3378" s="31" t="s">
        <v>4557</v>
      </c>
      <c r="B3378" s="32" t="s">
        <v>4558</v>
      </c>
      <c r="C3378" s="32" t="s">
        <v>782</v>
      </c>
      <c r="D3378" s="32" t="s">
        <v>4564</v>
      </c>
      <c r="E3378" s="33" t="s">
        <v>784</v>
      </c>
      <c r="F3378" s="34">
        <v>2788174</v>
      </c>
      <c r="G3378" s="34">
        <v>2788174</v>
      </c>
      <c r="H3378" s="35" t="s">
        <v>4565</v>
      </c>
    </row>
    <row r="3379" spans="1:8" ht="27" customHeight="1" x14ac:dyDescent="0.2">
      <c r="A3379" s="31" t="s">
        <v>4566</v>
      </c>
      <c r="B3379" s="32" t="s">
        <v>4567</v>
      </c>
      <c r="C3379" s="32" t="s">
        <v>763</v>
      </c>
      <c r="D3379" s="32" t="s">
        <v>1335</v>
      </c>
      <c r="E3379" s="33" t="s">
        <v>764</v>
      </c>
      <c r="F3379" s="34">
        <v>2252187</v>
      </c>
      <c r="G3379" s="34">
        <v>2252187</v>
      </c>
      <c r="H3379" s="35" t="s">
        <v>4568</v>
      </c>
    </row>
    <row r="3380" spans="1:8" ht="27" customHeight="1" x14ac:dyDescent="0.2">
      <c r="A3380" s="31" t="s">
        <v>4566</v>
      </c>
      <c r="B3380" s="32" t="s">
        <v>4567</v>
      </c>
      <c r="C3380" s="32" t="s">
        <v>770</v>
      </c>
      <c r="D3380" s="32" t="s">
        <v>2657</v>
      </c>
      <c r="E3380" s="33" t="s">
        <v>772</v>
      </c>
      <c r="F3380" s="34">
        <v>6832114</v>
      </c>
      <c r="G3380" s="34">
        <v>6632114</v>
      </c>
      <c r="H3380" s="35" t="s">
        <v>4569</v>
      </c>
    </row>
    <row r="3381" spans="1:8" ht="27" customHeight="1" x14ac:dyDescent="0.2">
      <c r="A3381" s="31" t="s">
        <v>4566</v>
      </c>
      <c r="B3381" s="32" t="s">
        <v>4567</v>
      </c>
      <c r="C3381" s="32" t="s">
        <v>796</v>
      </c>
      <c r="D3381" s="32" t="s">
        <v>4570</v>
      </c>
      <c r="E3381" s="33" t="s">
        <v>772</v>
      </c>
      <c r="F3381" s="34">
        <v>5895134</v>
      </c>
      <c r="G3381" s="34">
        <v>4036727</v>
      </c>
      <c r="H3381" s="35" t="s">
        <v>4569</v>
      </c>
    </row>
    <row r="3382" spans="1:8" ht="27" customHeight="1" x14ac:dyDescent="0.2">
      <c r="A3382" s="31" t="s">
        <v>4566</v>
      </c>
      <c r="B3382" s="32" t="s">
        <v>4567</v>
      </c>
      <c r="C3382" s="32" t="s">
        <v>779</v>
      </c>
      <c r="D3382" s="32" t="s">
        <v>927</v>
      </c>
      <c r="E3382" s="33" t="s">
        <v>780</v>
      </c>
      <c r="F3382" s="34">
        <v>226205</v>
      </c>
      <c r="G3382" s="34">
        <v>226205</v>
      </c>
      <c r="H3382" s="35" t="s">
        <v>859</v>
      </c>
    </row>
    <row r="3383" spans="1:8" ht="27" customHeight="1" x14ac:dyDescent="0.2">
      <c r="A3383" s="31" t="s">
        <v>4566</v>
      </c>
      <c r="B3383" s="32" t="s">
        <v>4567</v>
      </c>
      <c r="C3383" s="32" t="s">
        <v>782</v>
      </c>
      <c r="D3383" s="32" t="s">
        <v>4571</v>
      </c>
      <c r="E3383" s="33" t="s">
        <v>784</v>
      </c>
      <c r="F3383" s="34">
        <v>2682515</v>
      </c>
      <c r="G3383" s="34">
        <v>2032515</v>
      </c>
      <c r="H3383" s="35" t="s">
        <v>4569</v>
      </c>
    </row>
    <row r="3384" spans="1:8" ht="27" customHeight="1" x14ac:dyDescent="0.2">
      <c r="A3384" s="31" t="s">
        <v>4572</v>
      </c>
      <c r="B3384" s="32" t="s">
        <v>4573</v>
      </c>
      <c r="C3384" s="32" t="s">
        <v>770</v>
      </c>
      <c r="D3384" s="32" t="s">
        <v>1121</v>
      </c>
      <c r="E3384" s="33" t="s">
        <v>772</v>
      </c>
      <c r="F3384" s="34">
        <v>4672279</v>
      </c>
      <c r="G3384" s="34">
        <v>4672279</v>
      </c>
      <c r="H3384" s="35" t="s">
        <v>889</v>
      </c>
    </row>
    <row r="3385" spans="1:8" ht="27" customHeight="1" x14ac:dyDescent="0.2">
      <c r="A3385" s="31" t="s">
        <v>4572</v>
      </c>
      <c r="B3385" s="32" t="s">
        <v>4573</v>
      </c>
      <c r="C3385" s="32" t="s">
        <v>796</v>
      </c>
      <c r="D3385" s="32" t="s">
        <v>1314</v>
      </c>
      <c r="E3385" s="33" t="s">
        <v>823</v>
      </c>
      <c r="F3385" s="34">
        <v>4767015</v>
      </c>
      <c r="G3385" s="34">
        <v>5767015</v>
      </c>
      <c r="H3385" s="35" t="s">
        <v>4574</v>
      </c>
    </row>
    <row r="3386" spans="1:8" ht="27" customHeight="1" x14ac:dyDescent="0.2">
      <c r="A3386" s="31" t="s">
        <v>4572</v>
      </c>
      <c r="B3386" s="32" t="s">
        <v>4573</v>
      </c>
      <c r="C3386" s="32" t="s">
        <v>779</v>
      </c>
      <c r="D3386" s="32" t="s">
        <v>2514</v>
      </c>
      <c r="E3386" s="33" t="s">
        <v>780</v>
      </c>
      <c r="F3386" s="34">
        <v>647283</v>
      </c>
      <c r="G3386" s="34">
        <v>647283</v>
      </c>
      <c r="H3386" s="35" t="s">
        <v>4575</v>
      </c>
    </row>
    <row r="3387" spans="1:8" ht="27" customHeight="1" x14ac:dyDescent="0.2">
      <c r="A3387" s="31" t="s">
        <v>4572</v>
      </c>
      <c r="B3387" s="32" t="s">
        <v>4573</v>
      </c>
      <c r="C3387" s="32" t="s">
        <v>782</v>
      </c>
      <c r="D3387" s="32" t="s">
        <v>2662</v>
      </c>
      <c r="E3387" s="33" t="s">
        <v>784</v>
      </c>
      <c r="F3387" s="34">
        <v>3174955</v>
      </c>
      <c r="G3387" s="34">
        <v>4174955</v>
      </c>
      <c r="H3387" s="35" t="s">
        <v>4576</v>
      </c>
    </row>
    <row r="3388" spans="1:8" ht="27" customHeight="1" x14ac:dyDescent="0.2">
      <c r="A3388" s="31" t="s">
        <v>4577</v>
      </c>
      <c r="B3388" s="32" t="s">
        <v>4578</v>
      </c>
      <c r="C3388" s="32" t="s">
        <v>770</v>
      </c>
      <c r="D3388" s="32" t="s">
        <v>770</v>
      </c>
      <c r="E3388" s="33" t="s">
        <v>772</v>
      </c>
      <c r="F3388" s="34">
        <v>2214787</v>
      </c>
      <c r="G3388" s="34">
        <v>1764787</v>
      </c>
      <c r="H3388" s="35" t="s">
        <v>2926</v>
      </c>
    </row>
    <row r="3389" spans="1:8" ht="27" customHeight="1" x14ac:dyDescent="0.2">
      <c r="A3389" s="31" t="s">
        <v>4577</v>
      </c>
      <c r="B3389" s="32" t="s">
        <v>4578</v>
      </c>
      <c r="C3389" s="32" t="s">
        <v>796</v>
      </c>
      <c r="D3389" s="32" t="s">
        <v>796</v>
      </c>
      <c r="E3389" s="33" t="s">
        <v>772</v>
      </c>
      <c r="F3389" s="34">
        <v>1500922</v>
      </c>
      <c r="G3389" s="34">
        <v>1500922</v>
      </c>
      <c r="H3389" s="35" t="s">
        <v>3141</v>
      </c>
    </row>
    <row r="3390" spans="1:8" ht="27" customHeight="1" x14ac:dyDescent="0.2">
      <c r="A3390" s="31" t="s">
        <v>4577</v>
      </c>
      <c r="B3390" s="32" t="s">
        <v>4578</v>
      </c>
      <c r="C3390" s="32" t="s">
        <v>779</v>
      </c>
      <c r="D3390" s="32" t="s">
        <v>779</v>
      </c>
      <c r="E3390" s="33" t="s">
        <v>780</v>
      </c>
      <c r="F3390" s="34">
        <v>200209</v>
      </c>
      <c r="G3390" s="34">
        <v>200209</v>
      </c>
      <c r="H3390" s="35" t="s">
        <v>829</v>
      </c>
    </row>
    <row r="3391" spans="1:8" ht="27" customHeight="1" x14ac:dyDescent="0.2">
      <c r="A3391" s="31" t="s">
        <v>4577</v>
      </c>
      <c r="B3391" s="32" t="s">
        <v>4578</v>
      </c>
      <c r="C3391" s="32" t="s">
        <v>782</v>
      </c>
      <c r="D3391" s="32" t="s">
        <v>782</v>
      </c>
      <c r="E3391" s="33" t="s">
        <v>784</v>
      </c>
      <c r="F3391" s="34">
        <v>1300285</v>
      </c>
      <c r="G3391" s="34">
        <v>1300285</v>
      </c>
      <c r="H3391" s="35" t="s">
        <v>4579</v>
      </c>
    </row>
    <row r="3392" spans="1:8" ht="27" customHeight="1" x14ac:dyDescent="0.2">
      <c r="A3392" s="31" t="s">
        <v>4580</v>
      </c>
      <c r="B3392" s="32" t="s">
        <v>4581</v>
      </c>
      <c r="C3392" s="32" t="s">
        <v>770</v>
      </c>
      <c r="D3392" s="32" t="s">
        <v>1121</v>
      </c>
      <c r="E3392" s="33" t="s">
        <v>772</v>
      </c>
      <c r="F3392" s="34">
        <v>774469</v>
      </c>
      <c r="G3392" s="34">
        <v>775219</v>
      </c>
      <c r="H3392" s="35" t="s">
        <v>859</v>
      </c>
    </row>
    <row r="3393" spans="1:8" ht="27" customHeight="1" x14ac:dyDescent="0.2">
      <c r="A3393" s="31" t="s">
        <v>4580</v>
      </c>
      <c r="B3393" s="32" t="s">
        <v>4581</v>
      </c>
      <c r="C3393" s="32" t="s">
        <v>831</v>
      </c>
      <c r="D3393" s="32" t="s">
        <v>818</v>
      </c>
      <c r="E3393" s="33" t="s">
        <v>4582</v>
      </c>
      <c r="F3393" s="34">
        <v>143213</v>
      </c>
      <c r="G3393" s="34">
        <v>143353</v>
      </c>
      <c r="H3393" s="35" t="s">
        <v>859</v>
      </c>
    </row>
    <row r="3394" spans="1:8" ht="27" customHeight="1" x14ac:dyDescent="0.2">
      <c r="A3394" s="31" t="s">
        <v>4580</v>
      </c>
      <c r="B3394" s="32" t="s">
        <v>4581</v>
      </c>
      <c r="C3394" s="32" t="s">
        <v>796</v>
      </c>
      <c r="D3394" s="32" t="s">
        <v>954</v>
      </c>
      <c r="E3394" s="33" t="s">
        <v>823</v>
      </c>
      <c r="F3394" s="34">
        <v>1183705</v>
      </c>
      <c r="G3394" s="34">
        <v>1184905</v>
      </c>
      <c r="H3394" s="35" t="s">
        <v>859</v>
      </c>
    </row>
    <row r="3395" spans="1:8" ht="27" customHeight="1" x14ac:dyDescent="0.2">
      <c r="A3395" s="31" t="s">
        <v>4580</v>
      </c>
      <c r="B3395" s="32" t="s">
        <v>4581</v>
      </c>
      <c r="C3395" s="32" t="s">
        <v>779</v>
      </c>
      <c r="D3395" s="32" t="s">
        <v>876</v>
      </c>
      <c r="E3395" s="33" t="s">
        <v>780</v>
      </c>
      <c r="F3395" s="34">
        <v>84411</v>
      </c>
      <c r="G3395" s="34">
        <v>84501</v>
      </c>
      <c r="H3395" s="35" t="s">
        <v>859</v>
      </c>
    </row>
    <row r="3396" spans="1:8" ht="27" customHeight="1" x14ac:dyDescent="0.2">
      <c r="A3396" s="31" t="s">
        <v>4580</v>
      </c>
      <c r="B3396" s="32" t="s">
        <v>4581</v>
      </c>
      <c r="C3396" s="32" t="s">
        <v>782</v>
      </c>
      <c r="D3396" s="32" t="s">
        <v>964</v>
      </c>
      <c r="E3396" s="33" t="s">
        <v>784</v>
      </c>
      <c r="F3396" s="34">
        <v>1123493</v>
      </c>
      <c r="G3396" s="34">
        <v>1424593</v>
      </c>
      <c r="H3396" s="35" t="s">
        <v>4583</v>
      </c>
    </row>
    <row r="3397" spans="1:8" ht="27" customHeight="1" x14ac:dyDescent="0.2">
      <c r="A3397" s="31" t="s">
        <v>4584</v>
      </c>
      <c r="B3397" s="32" t="s">
        <v>233</v>
      </c>
      <c r="C3397" s="32" t="s">
        <v>770</v>
      </c>
      <c r="D3397" s="32" t="s">
        <v>1011</v>
      </c>
      <c r="E3397" s="33" t="s">
        <v>772</v>
      </c>
      <c r="F3397" s="34">
        <v>3884853</v>
      </c>
      <c r="G3397" s="34">
        <v>3434853</v>
      </c>
      <c r="H3397" s="35" t="s">
        <v>4585</v>
      </c>
    </row>
    <row r="3398" spans="1:8" ht="27" customHeight="1" x14ac:dyDescent="0.2">
      <c r="A3398" s="31" t="s">
        <v>4584</v>
      </c>
      <c r="B3398" s="32" t="s">
        <v>233</v>
      </c>
      <c r="C3398" s="32" t="s">
        <v>796</v>
      </c>
      <c r="D3398" s="32" t="s">
        <v>835</v>
      </c>
      <c r="E3398" s="33" t="s">
        <v>772</v>
      </c>
      <c r="F3398" s="34">
        <v>527188</v>
      </c>
      <c r="G3398" s="34">
        <v>477188</v>
      </c>
      <c r="H3398" s="35" t="s">
        <v>4586</v>
      </c>
    </row>
    <row r="3399" spans="1:8" ht="27" customHeight="1" x14ac:dyDescent="0.2">
      <c r="A3399" s="31" t="s">
        <v>4584</v>
      </c>
      <c r="B3399" s="32" t="s">
        <v>233</v>
      </c>
      <c r="C3399" s="32" t="s">
        <v>779</v>
      </c>
      <c r="D3399" s="32" t="s">
        <v>826</v>
      </c>
      <c r="E3399" s="33" t="s">
        <v>780</v>
      </c>
      <c r="F3399" s="34">
        <v>965332</v>
      </c>
      <c r="G3399" s="34">
        <v>935332</v>
      </c>
      <c r="H3399" s="35" t="s">
        <v>4587</v>
      </c>
    </row>
    <row r="3400" spans="1:8" ht="27" customHeight="1" x14ac:dyDescent="0.2">
      <c r="A3400" s="31" t="s">
        <v>4584</v>
      </c>
      <c r="B3400" s="32" t="s">
        <v>233</v>
      </c>
      <c r="C3400" s="32" t="s">
        <v>782</v>
      </c>
      <c r="D3400" s="32" t="s">
        <v>839</v>
      </c>
      <c r="E3400" s="33" t="s">
        <v>784</v>
      </c>
      <c r="F3400" s="34">
        <v>1135235</v>
      </c>
      <c r="G3400" s="34">
        <v>1038645</v>
      </c>
      <c r="H3400" s="35" t="s">
        <v>4588</v>
      </c>
    </row>
    <row r="3401" spans="1:8" ht="27" customHeight="1" x14ac:dyDescent="0.2">
      <c r="A3401" s="31" t="s">
        <v>4589</v>
      </c>
      <c r="B3401" s="32" t="s">
        <v>749</v>
      </c>
      <c r="C3401" s="32" t="s">
        <v>796</v>
      </c>
      <c r="D3401" s="32" t="s">
        <v>796</v>
      </c>
      <c r="E3401" s="33" t="s">
        <v>823</v>
      </c>
      <c r="F3401" s="34">
        <v>700600</v>
      </c>
      <c r="G3401" s="34">
        <v>700600</v>
      </c>
      <c r="H3401" s="35" t="s">
        <v>859</v>
      </c>
    </row>
    <row r="3402" spans="1:8" ht="27" customHeight="1" x14ac:dyDescent="0.2">
      <c r="A3402" s="31" t="s">
        <v>4589</v>
      </c>
      <c r="B3402" s="32" t="s">
        <v>749</v>
      </c>
      <c r="C3402" s="32" t="s">
        <v>782</v>
      </c>
      <c r="D3402" s="32" t="s">
        <v>782</v>
      </c>
      <c r="E3402" s="33" t="s">
        <v>784</v>
      </c>
      <c r="F3402" s="34">
        <v>950900</v>
      </c>
      <c r="G3402" s="34">
        <v>950900</v>
      </c>
      <c r="H3402" s="35" t="s">
        <v>859</v>
      </c>
    </row>
    <row r="3403" spans="1:8" ht="27" customHeight="1" x14ac:dyDescent="0.2">
      <c r="A3403" s="31" t="s">
        <v>4590</v>
      </c>
      <c r="B3403" s="32" t="s">
        <v>4591</v>
      </c>
      <c r="C3403" s="32" t="s">
        <v>770</v>
      </c>
      <c r="D3403" s="32" t="s">
        <v>1312</v>
      </c>
      <c r="E3403" s="33" t="s">
        <v>772</v>
      </c>
      <c r="F3403" s="34">
        <v>2746032</v>
      </c>
      <c r="G3403" s="34">
        <v>2350000</v>
      </c>
      <c r="H3403" s="35" t="s">
        <v>4592</v>
      </c>
    </row>
    <row r="3404" spans="1:8" ht="27" customHeight="1" x14ac:dyDescent="0.2">
      <c r="A3404" s="31" t="s">
        <v>4590</v>
      </c>
      <c r="B3404" s="32" t="s">
        <v>4591</v>
      </c>
      <c r="C3404" s="32" t="s">
        <v>796</v>
      </c>
      <c r="D3404" s="32" t="s">
        <v>954</v>
      </c>
      <c r="E3404" s="33" t="s">
        <v>772</v>
      </c>
      <c r="F3404" s="34">
        <v>12146026</v>
      </c>
      <c r="G3404" s="34">
        <v>12146026</v>
      </c>
      <c r="H3404" s="35" t="s">
        <v>4593</v>
      </c>
    </row>
    <row r="3405" spans="1:8" ht="27" customHeight="1" x14ac:dyDescent="0.2">
      <c r="A3405" s="31" t="s">
        <v>4590</v>
      </c>
      <c r="B3405" s="32" t="s">
        <v>4591</v>
      </c>
      <c r="C3405" s="32" t="s">
        <v>779</v>
      </c>
      <c r="D3405" s="32" t="s">
        <v>927</v>
      </c>
      <c r="E3405" s="33" t="s">
        <v>780</v>
      </c>
      <c r="F3405" s="34">
        <v>144919</v>
      </c>
      <c r="G3405" s="34">
        <v>144919</v>
      </c>
      <c r="H3405" s="35" t="s">
        <v>829</v>
      </c>
    </row>
    <row r="3406" spans="1:8" ht="27" customHeight="1" x14ac:dyDescent="0.2">
      <c r="A3406" s="31" t="s">
        <v>4590</v>
      </c>
      <c r="B3406" s="32" t="s">
        <v>4591</v>
      </c>
      <c r="C3406" s="32" t="s">
        <v>782</v>
      </c>
      <c r="D3406" s="32" t="s">
        <v>1488</v>
      </c>
      <c r="E3406" s="33" t="s">
        <v>784</v>
      </c>
      <c r="F3406" s="34">
        <v>2424781</v>
      </c>
      <c r="G3406" s="34">
        <v>2200000</v>
      </c>
      <c r="H3406" s="35" t="s">
        <v>829</v>
      </c>
    </row>
    <row r="3407" spans="1:8" ht="27" customHeight="1" x14ac:dyDescent="0.2">
      <c r="A3407" s="31" t="s">
        <v>4594</v>
      </c>
      <c r="B3407" s="32" t="s">
        <v>4595</v>
      </c>
      <c r="C3407" s="32" t="s">
        <v>770</v>
      </c>
      <c r="D3407" s="32" t="s">
        <v>3745</v>
      </c>
      <c r="E3407" s="33" t="s">
        <v>772</v>
      </c>
      <c r="F3407" s="34">
        <v>8926000</v>
      </c>
      <c r="G3407" s="34">
        <v>8700000</v>
      </c>
      <c r="H3407" s="35" t="s">
        <v>4596</v>
      </c>
    </row>
    <row r="3408" spans="1:8" ht="27" customHeight="1" x14ac:dyDescent="0.2">
      <c r="A3408" s="31" t="s">
        <v>4594</v>
      </c>
      <c r="B3408" s="32" t="s">
        <v>4595</v>
      </c>
      <c r="C3408" s="32" t="s">
        <v>773</v>
      </c>
      <c r="D3408" s="32" t="s">
        <v>4597</v>
      </c>
      <c r="E3408" s="33" t="s">
        <v>775</v>
      </c>
      <c r="F3408" s="34">
        <v>112973</v>
      </c>
      <c r="G3408" s="34">
        <v>100000</v>
      </c>
      <c r="H3408" s="35" t="s">
        <v>4598</v>
      </c>
    </row>
    <row r="3409" spans="1:8" ht="27" customHeight="1" x14ac:dyDescent="0.2">
      <c r="A3409" s="31" t="s">
        <v>4594</v>
      </c>
      <c r="B3409" s="32" t="s">
        <v>4595</v>
      </c>
      <c r="C3409" s="32" t="s">
        <v>796</v>
      </c>
      <c r="D3409" s="32" t="s">
        <v>1314</v>
      </c>
      <c r="E3409" s="33" t="s">
        <v>772</v>
      </c>
      <c r="F3409" s="34">
        <v>8500000</v>
      </c>
      <c r="G3409" s="34">
        <v>8000000</v>
      </c>
      <c r="H3409" s="35" t="s">
        <v>1218</v>
      </c>
    </row>
    <row r="3410" spans="1:8" ht="27" customHeight="1" x14ac:dyDescent="0.2">
      <c r="A3410" s="31" t="s">
        <v>4594</v>
      </c>
      <c r="B3410" s="32" t="s">
        <v>4595</v>
      </c>
      <c r="C3410" s="32" t="s">
        <v>779</v>
      </c>
      <c r="D3410" s="32" t="s">
        <v>2829</v>
      </c>
      <c r="E3410" s="33" t="s">
        <v>780</v>
      </c>
      <c r="F3410" s="34">
        <v>250000</v>
      </c>
      <c r="G3410" s="34">
        <v>100000</v>
      </c>
      <c r="H3410" s="35" t="s">
        <v>4599</v>
      </c>
    </row>
    <row r="3411" spans="1:8" ht="27" customHeight="1" x14ac:dyDescent="0.2">
      <c r="A3411" s="31" t="s">
        <v>4594</v>
      </c>
      <c r="B3411" s="32" t="s">
        <v>4595</v>
      </c>
      <c r="C3411" s="32" t="s">
        <v>782</v>
      </c>
      <c r="D3411" s="32" t="s">
        <v>4600</v>
      </c>
      <c r="E3411" s="33" t="s">
        <v>784</v>
      </c>
      <c r="F3411" s="34">
        <v>736405</v>
      </c>
      <c r="G3411" s="34">
        <v>735251</v>
      </c>
      <c r="H3411" s="35" t="s">
        <v>4601</v>
      </c>
    </row>
    <row r="3412" spans="1:8" ht="27" customHeight="1" x14ac:dyDescent="0.2">
      <c r="A3412" s="31" t="s">
        <v>4602</v>
      </c>
      <c r="B3412" s="32" t="s">
        <v>4603</v>
      </c>
      <c r="C3412" s="32" t="s">
        <v>770</v>
      </c>
      <c r="D3412" s="32" t="s">
        <v>810</v>
      </c>
      <c r="E3412" s="33" t="s">
        <v>772</v>
      </c>
      <c r="F3412" s="34">
        <v>5000000</v>
      </c>
      <c r="G3412" s="34">
        <v>5500000</v>
      </c>
      <c r="H3412" s="35" t="s">
        <v>4604</v>
      </c>
    </row>
    <row r="3413" spans="1:8" ht="27" customHeight="1" x14ac:dyDescent="0.2">
      <c r="A3413" s="31" t="s">
        <v>4602</v>
      </c>
      <c r="B3413" s="32" t="s">
        <v>4603</v>
      </c>
      <c r="C3413" s="32" t="s">
        <v>796</v>
      </c>
      <c r="D3413" s="32" t="s">
        <v>4605</v>
      </c>
      <c r="E3413" s="33" t="s">
        <v>823</v>
      </c>
      <c r="F3413" s="34">
        <v>5689186</v>
      </c>
      <c r="G3413" s="34">
        <v>9500000</v>
      </c>
      <c r="H3413" s="35" t="s">
        <v>4606</v>
      </c>
    </row>
    <row r="3414" spans="1:8" ht="27" customHeight="1" x14ac:dyDescent="0.2">
      <c r="A3414" s="31" t="s">
        <v>4602</v>
      </c>
      <c r="B3414" s="32" t="s">
        <v>4603</v>
      </c>
      <c r="C3414" s="32" t="s">
        <v>782</v>
      </c>
      <c r="D3414" s="32" t="s">
        <v>964</v>
      </c>
      <c r="E3414" s="33" t="s">
        <v>784</v>
      </c>
      <c r="F3414" s="34">
        <v>2000000</v>
      </c>
      <c r="G3414" s="34">
        <v>2000000</v>
      </c>
      <c r="H3414" s="35" t="s">
        <v>4607</v>
      </c>
    </row>
    <row r="3415" spans="1:8" ht="27" customHeight="1" x14ac:dyDescent="0.2">
      <c r="A3415" s="31" t="s">
        <v>4608</v>
      </c>
      <c r="B3415" s="32" t="s">
        <v>4609</v>
      </c>
      <c r="C3415" s="32" t="s">
        <v>763</v>
      </c>
      <c r="D3415" s="32" t="s">
        <v>4610</v>
      </c>
      <c r="E3415" s="33" t="s">
        <v>764</v>
      </c>
      <c r="F3415" s="34">
        <v>4051364</v>
      </c>
      <c r="G3415" s="34">
        <v>4592345</v>
      </c>
      <c r="H3415" s="35" t="s">
        <v>4611</v>
      </c>
    </row>
    <row r="3416" spans="1:8" ht="27" customHeight="1" x14ac:dyDescent="0.2">
      <c r="A3416" s="31" t="s">
        <v>4608</v>
      </c>
      <c r="B3416" s="32" t="s">
        <v>4609</v>
      </c>
      <c r="C3416" s="32" t="s">
        <v>770</v>
      </c>
      <c r="D3416" s="32" t="s">
        <v>1930</v>
      </c>
      <c r="E3416" s="33" t="s">
        <v>772</v>
      </c>
      <c r="F3416" s="34">
        <v>3208962</v>
      </c>
      <c r="G3416" s="34">
        <v>3208962</v>
      </c>
      <c r="H3416" s="35" t="s">
        <v>4612</v>
      </c>
    </row>
    <row r="3417" spans="1:8" ht="27" customHeight="1" x14ac:dyDescent="0.2">
      <c r="A3417" s="31" t="s">
        <v>4608</v>
      </c>
      <c r="B3417" s="32" t="s">
        <v>4609</v>
      </c>
      <c r="C3417" s="32" t="s">
        <v>796</v>
      </c>
      <c r="D3417" s="32" t="s">
        <v>4613</v>
      </c>
      <c r="E3417" s="33" t="s">
        <v>823</v>
      </c>
      <c r="F3417" s="34">
        <v>3369679</v>
      </c>
      <c r="G3417" s="34">
        <v>3369679</v>
      </c>
      <c r="H3417" s="35" t="s">
        <v>4614</v>
      </c>
    </row>
    <row r="3418" spans="1:8" ht="27" customHeight="1" x14ac:dyDescent="0.2">
      <c r="A3418" s="31" t="s">
        <v>4608</v>
      </c>
      <c r="B3418" s="32" t="s">
        <v>4609</v>
      </c>
      <c r="C3418" s="32" t="s">
        <v>779</v>
      </c>
      <c r="D3418" s="32" t="s">
        <v>4615</v>
      </c>
      <c r="E3418" s="33" t="s">
        <v>780</v>
      </c>
      <c r="F3418" s="34">
        <v>1848387</v>
      </c>
      <c r="G3418" s="34">
        <v>1848387</v>
      </c>
      <c r="H3418" s="35" t="s">
        <v>4616</v>
      </c>
    </row>
    <row r="3419" spans="1:8" ht="27" customHeight="1" x14ac:dyDescent="0.2">
      <c r="A3419" s="31" t="s">
        <v>4608</v>
      </c>
      <c r="B3419" s="32" t="s">
        <v>4609</v>
      </c>
      <c r="C3419" s="32" t="s">
        <v>782</v>
      </c>
      <c r="D3419" s="32" t="s">
        <v>4617</v>
      </c>
      <c r="E3419" s="33" t="s">
        <v>784</v>
      </c>
      <c r="F3419" s="34">
        <v>3092345</v>
      </c>
      <c r="G3419" s="34">
        <v>3092345</v>
      </c>
      <c r="H3419" s="35" t="s">
        <v>4618</v>
      </c>
    </row>
    <row r="3420" spans="1:8" ht="27" customHeight="1" x14ac:dyDescent="0.2">
      <c r="A3420" s="31" t="s">
        <v>4619</v>
      </c>
      <c r="B3420" s="32" t="s">
        <v>4620</v>
      </c>
      <c r="C3420" s="32" t="s">
        <v>763</v>
      </c>
      <c r="D3420" s="32" t="s">
        <v>4621</v>
      </c>
      <c r="E3420" s="33" t="s">
        <v>764</v>
      </c>
      <c r="F3420" s="34">
        <v>0</v>
      </c>
      <c r="G3420" s="34">
        <v>750000</v>
      </c>
      <c r="H3420" s="35" t="s">
        <v>4622</v>
      </c>
    </row>
    <row r="3421" spans="1:8" ht="27" customHeight="1" x14ac:dyDescent="0.2">
      <c r="A3421" s="31" t="s">
        <v>4619</v>
      </c>
      <c r="B3421" s="32" t="s">
        <v>4620</v>
      </c>
      <c r="C3421" s="32" t="s">
        <v>766</v>
      </c>
      <c r="D3421" s="32" t="s">
        <v>4623</v>
      </c>
      <c r="E3421" s="33" t="s">
        <v>768</v>
      </c>
      <c r="F3421" s="34">
        <v>283544</v>
      </c>
      <c r="G3421" s="34">
        <v>284000</v>
      </c>
      <c r="H3421" s="35" t="s">
        <v>859</v>
      </c>
    </row>
    <row r="3422" spans="1:8" ht="27" customHeight="1" x14ac:dyDescent="0.2">
      <c r="A3422" s="31" t="s">
        <v>4619</v>
      </c>
      <c r="B3422" s="32" t="s">
        <v>4620</v>
      </c>
      <c r="C3422" s="32" t="s">
        <v>770</v>
      </c>
      <c r="D3422" s="32" t="s">
        <v>1136</v>
      </c>
      <c r="E3422" s="33" t="s">
        <v>772</v>
      </c>
      <c r="F3422" s="34">
        <v>3419503</v>
      </c>
      <c r="G3422" s="34">
        <v>3123000</v>
      </c>
      <c r="H3422" s="35" t="s">
        <v>4624</v>
      </c>
    </row>
    <row r="3423" spans="1:8" ht="27" customHeight="1" x14ac:dyDescent="0.2">
      <c r="A3423" s="31" t="s">
        <v>4619</v>
      </c>
      <c r="B3423" s="32" t="s">
        <v>4620</v>
      </c>
      <c r="C3423" s="32" t="s">
        <v>796</v>
      </c>
      <c r="D3423" s="32" t="s">
        <v>822</v>
      </c>
      <c r="E3423" s="33" t="s">
        <v>823</v>
      </c>
      <c r="F3423" s="34">
        <v>1474858</v>
      </c>
      <c r="G3423" s="34">
        <v>1476000</v>
      </c>
      <c r="H3423" s="35" t="s">
        <v>4625</v>
      </c>
    </row>
    <row r="3424" spans="1:8" ht="27" customHeight="1" x14ac:dyDescent="0.2">
      <c r="A3424" s="31" t="s">
        <v>4619</v>
      </c>
      <c r="B3424" s="32" t="s">
        <v>4620</v>
      </c>
      <c r="C3424" s="32" t="s">
        <v>782</v>
      </c>
      <c r="D3424" s="32" t="s">
        <v>3094</v>
      </c>
      <c r="E3424" s="33" t="s">
        <v>784</v>
      </c>
      <c r="F3424" s="34">
        <v>202587</v>
      </c>
      <c r="G3424" s="34">
        <v>203000</v>
      </c>
      <c r="H3424" s="35" t="s">
        <v>4626</v>
      </c>
    </row>
    <row r="3425" spans="1:8" ht="27" customHeight="1" x14ac:dyDescent="0.2">
      <c r="A3425" s="31" t="s">
        <v>4627</v>
      </c>
      <c r="B3425" s="32" t="s">
        <v>4628</v>
      </c>
      <c r="C3425" s="32" t="s">
        <v>763</v>
      </c>
      <c r="D3425" s="32" t="s">
        <v>1091</v>
      </c>
      <c r="E3425" s="33" t="s">
        <v>764</v>
      </c>
      <c r="F3425" s="34">
        <v>0</v>
      </c>
      <c r="G3425" s="34">
        <v>0</v>
      </c>
      <c r="H3425" s="35" t="s">
        <v>1091</v>
      </c>
    </row>
    <row r="3426" spans="1:8" ht="27" customHeight="1" x14ac:dyDescent="0.2">
      <c r="A3426" s="31" t="s">
        <v>4627</v>
      </c>
      <c r="B3426" s="32" t="s">
        <v>4628</v>
      </c>
      <c r="C3426" s="32" t="s">
        <v>766</v>
      </c>
      <c r="D3426" s="32" t="s">
        <v>1091</v>
      </c>
      <c r="E3426" s="33" t="s">
        <v>768</v>
      </c>
      <c r="F3426" s="34">
        <v>0</v>
      </c>
      <c r="G3426" s="34">
        <v>0</v>
      </c>
      <c r="H3426" s="35" t="s">
        <v>1091</v>
      </c>
    </row>
    <row r="3427" spans="1:8" ht="27" customHeight="1" x14ac:dyDescent="0.2">
      <c r="A3427" s="31" t="s">
        <v>4627</v>
      </c>
      <c r="B3427" s="32" t="s">
        <v>4628</v>
      </c>
      <c r="C3427" s="32" t="s">
        <v>770</v>
      </c>
      <c r="D3427" s="32" t="s">
        <v>1720</v>
      </c>
      <c r="E3427" s="33" t="s">
        <v>772</v>
      </c>
      <c r="F3427" s="34">
        <v>3976973</v>
      </c>
      <c r="G3427" s="34">
        <v>3492598</v>
      </c>
      <c r="H3427" s="35" t="s">
        <v>4629</v>
      </c>
    </row>
    <row r="3428" spans="1:8" ht="27" customHeight="1" x14ac:dyDescent="0.2">
      <c r="A3428" s="31" t="s">
        <v>4627</v>
      </c>
      <c r="B3428" s="32" t="s">
        <v>4628</v>
      </c>
      <c r="C3428" s="32" t="s">
        <v>884</v>
      </c>
      <c r="D3428" s="32" t="s">
        <v>1091</v>
      </c>
      <c r="E3428" s="33" t="s">
        <v>885</v>
      </c>
      <c r="F3428" s="34">
        <v>0</v>
      </c>
      <c r="G3428" s="34">
        <v>0</v>
      </c>
      <c r="H3428" s="35" t="s">
        <v>1091</v>
      </c>
    </row>
    <row r="3429" spans="1:8" ht="27" customHeight="1" x14ac:dyDescent="0.2">
      <c r="A3429" s="31" t="s">
        <v>4627</v>
      </c>
      <c r="B3429" s="32" t="s">
        <v>4628</v>
      </c>
      <c r="C3429" s="32" t="s">
        <v>844</v>
      </c>
      <c r="D3429" s="32" t="s">
        <v>1162</v>
      </c>
      <c r="E3429" s="33" t="s">
        <v>846</v>
      </c>
      <c r="F3429" s="34">
        <v>346046</v>
      </c>
      <c r="G3429" s="34">
        <v>346046</v>
      </c>
      <c r="H3429" s="35" t="s">
        <v>4630</v>
      </c>
    </row>
    <row r="3430" spans="1:8" ht="27" customHeight="1" x14ac:dyDescent="0.2">
      <c r="A3430" s="31" t="s">
        <v>4627</v>
      </c>
      <c r="B3430" s="32" t="s">
        <v>4628</v>
      </c>
      <c r="C3430" s="32" t="s">
        <v>773</v>
      </c>
      <c r="D3430" s="32" t="s">
        <v>1091</v>
      </c>
      <c r="E3430" s="33" t="s">
        <v>775</v>
      </c>
      <c r="F3430" s="34">
        <v>0</v>
      </c>
      <c r="G3430" s="34">
        <v>0</v>
      </c>
      <c r="H3430" s="35" t="s">
        <v>1091</v>
      </c>
    </row>
    <row r="3431" spans="1:8" ht="27" customHeight="1" x14ac:dyDescent="0.2">
      <c r="A3431" s="31" t="s">
        <v>4627</v>
      </c>
      <c r="B3431" s="32" t="s">
        <v>4628</v>
      </c>
      <c r="C3431" s="32" t="s">
        <v>831</v>
      </c>
      <c r="D3431" s="32" t="s">
        <v>1091</v>
      </c>
      <c r="E3431" s="33"/>
      <c r="F3431" s="34">
        <v>0</v>
      </c>
      <c r="G3431" s="34">
        <v>0</v>
      </c>
      <c r="H3431" s="35" t="s">
        <v>1091</v>
      </c>
    </row>
    <row r="3432" spans="1:8" ht="27" customHeight="1" x14ac:dyDescent="0.2">
      <c r="A3432" s="31" t="s">
        <v>4627</v>
      </c>
      <c r="B3432" s="32" t="s">
        <v>4628</v>
      </c>
      <c r="C3432" s="32" t="s">
        <v>886</v>
      </c>
      <c r="D3432" s="32" t="s">
        <v>1091</v>
      </c>
      <c r="E3432" s="33" t="s">
        <v>887</v>
      </c>
      <c r="F3432" s="34">
        <v>0</v>
      </c>
      <c r="G3432" s="34">
        <v>0</v>
      </c>
      <c r="H3432" s="35" t="s">
        <v>1091</v>
      </c>
    </row>
    <row r="3433" spans="1:8" ht="27" customHeight="1" x14ac:dyDescent="0.2">
      <c r="A3433" s="31" t="s">
        <v>4627</v>
      </c>
      <c r="B3433" s="32" t="s">
        <v>4628</v>
      </c>
      <c r="C3433" s="32" t="s">
        <v>860</v>
      </c>
      <c r="D3433" s="32" t="s">
        <v>1091</v>
      </c>
      <c r="E3433" s="33" t="s">
        <v>861</v>
      </c>
      <c r="F3433" s="34">
        <v>0</v>
      </c>
      <c r="G3433" s="34">
        <v>0</v>
      </c>
      <c r="H3433" s="35" t="s">
        <v>1091</v>
      </c>
    </row>
    <row r="3434" spans="1:8" ht="27" customHeight="1" x14ac:dyDescent="0.2">
      <c r="A3434" s="31" t="s">
        <v>4627</v>
      </c>
      <c r="B3434" s="32" t="s">
        <v>4628</v>
      </c>
      <c r="C3434" s="32" t="s">
        <v>796</v>
      </c>
      <c r="D3434" s="32" t="s">
        <v>1314</v>
      </c>
      <c r="E3434" s="33" t="s">
        <v>772</v>
      </c>
      <c r="F3434" s="34">
        <v>3257338</v>
      </c>
      <c r="G3434" s="34">
        <v>2675338</v>
      </c>
      <c r="H3434" s="35" t="s">
        <v>4631</v>
      </c>
    </row>
    <row r="3435" spans="1:8" ht="27" customHeight="1" x14ac:dyDescent="0.2">
      <c r="A3435" s="31" t="s">
        <v>4627</v>
      </c>
      <c r="B3435" s="32" t="s">
        <v>4628</v>
      </c>
      <c r="C3435" s="32" t="s">
        <v>776</v>
      </c>
      <c r="D3435" s="32" t="s">
        <v>1091</v>
      </c>
      <c r="E3435" s="33" t="s">
        <v>777</v>
      </c>
      <c r="F3435" s="34">
        <v>0</v>
      </c>
      <c r="G3435" s="34">
        <v>0</v>
      </c>
      <c r="H3435" s="35" t="s">
        <v>1091</v>
      </c>
    </row>
    <row r="3436" spans="1:8" ht="27" customHeight="1" x14ac:dyDescent="0.2">
      <c r="A3436" s="31" t="s">
        <v>4627</v>
      </c>
      <c r="B3436" s="32" t="s">
        <v>4628</v>
      </c>
      <c r="C3436" s="32" t="s">
        <v>798</v>
      </c>
      <c r="D3436" s="32" t="s">
        <v>1091</v>
      </c>
      <c r="E3436" s="33" t="s">
        <v>800</v>
      </c>
      <c r="F3436" s="34">
        <v>0</v>
      </c>
      <c r="G3436" s="34">
        <v>0</v>
      </c>
      <c r="H3436" s="35" t="s">
        <v>1091</v>
      </c>
    </row>
    <row r="3437" spans="1:8" ht="27" customHeight="1" x14ac:dyDescent="0.2">
      <c r="A3437" s="31" t="s">
        <v>4627</v>
      </c>
      <c r="B3437" s="32" t="s">
        <v>4628</v>
      </c>
      <c r="C3437" s="32" t="s">
        <v>892</v>
      </c>
      <c r="D3437" s="32" t="s">
        <v>1091</v>
      </c>
      <c r="E3437" s="33" t="s">
        <v>893</v>
      </c>
      <c r="F3437" s="34">
        <v>0</v>
      </c>
      <c r="G3437" s="34">
        <v>0</v>
      </c>
      <c r="H3437" s="35" t="s">
        <v>1091</v>
      </c>
    </row>
    <row r="3438" spans="1:8" ht="27" customHeight="1" x14ac:dyDescent="0.2">
      <c r="A3438" s="31" t="s">
        <v>4627</v>
      </c>
      <c r="B3438" s="32" t="s">
        <v>4628</v>
      </c>
      <c r="C3438" s="32" t="s">
        <v>779</v>
      </c>
      <c r="D3438" s="32" t="s">
        <v>927</v>
      </c>
      <c r="E3438" s="33" t="s">
        <v>780</v>
      </c>
      <c r="F3438" s="34">
        <v>300135</v>
      </c>
      <c r="G3438" s="34">
        <v>250135</v>
      </c>
      <c r="H3438" s="35" t="s">
        <v>4632</v>
      </c>
    </row>
    <row r="3439" spans="1:8" ht="27" customHeight="1" x14ac:dyDescent="0.2">
      <c r="A3439" s="31" t="s">
        <v>4627</v>
      </c>
      <c r="B3439" s="32" t="s">
        <v>4628</v>
      </c>
      <c r="C3439" s="32" t="s">
        <v>782</v>
      </c>
      <c r="D3439" s="32" t="s">
        <v>4633</v>
      </c>
      <c r="E3439" s="33" t="s">
        <v>784</v>
      </c>
      <c r="F3439" s="34">
        <v>662835</v>
      </c>
      <c r="G3439" s="34">
        <v>662835</v>
      </c>
      <c r="H3439" s="35" t="s">
        <v>4630</v>
      </c>
    </row>
    <row r="3440" spans="1:8" ht="27" customHeight="1" x14ac:dyDescent="0.2">
      <c r="A3440" s="31" t="s">
        <v>4634</v>
      </c>
      <c r="B3440" s="32" t="s">
        <v>4635</v>
      </c>
      <c r="C3440" s="32" t="s">
        <v>763</v>
      </c>
      <c r="D3440" s="32" t="s">
        <v>763</v>
      </c>
      <c r="E3440" s="33" t="s">
        <v>764</v>
      </c>
      <c r="F3440" s="34">
        <v>4251265</v>
      </c>
      <c r="G3440" s="34">
        <v>865300</v>
      </c>
      <c r="H3440" s="35" t="s">
        <v>859</v>
      </c>
    </row>
    <row r="3441" spans="1:8" ht="27" customHeight="1" x14ac:dyDescent="0.2">
      <c r="A3441" s="31" t="s">
        <v>4634</v>
      </c>
      <c r="B3441" s="32" t="s">
        <v>4635</v>
      </c>
      <c r="C3441" s="32" t="s">
        <v>766</v>
      </c>
      <c r="D3441" s="32" t="s">
        <v>767</v>
      </c>
      <c r="E3441" s="33" t="s">
        <v>768</v>
      </c>
      <c r="F3441" s="34">
        <v>122801</v>
      </c>
      <c r="G3441" s="34">
        <v>22801</v>
      </c>
      <c r="H3441" s="35" t="s">
        <v>4636</v>
      </c>
    </row>
    <row r="3442" spans="1:8" ht="27" customHeight="1" x14ac:dyDescent="0.2">
      <c r="A3442" s="31" t="s">
        <v>4634</v>
      </c>
      <c r="B3442" s="32" t="s">
        <v>4635</v>
      </c>
      <c r="C3442" s="32" t="s">
        <v>770</v>
      </c>
      <c r="D3442" s="32" t="s">
        <v>794</v>
      </c>
      <c r="E3442" s="33" t="s">
        <v>772</v>
      </c>
      <c r="F3442" s="34">
        <v>4768585</v>
      </c>
      <c r="G3442" s="34">
        <v>4518585</v>
      </c>
      <c r="H3442" s="35" t="s">
        <v>4637</v>
      </c>
    </row>
    <row r="3443" spans="1:8" ht="27" customHeight="1" x14ac:dyDescent="0.2">
      <c r="A3443" s="31" t="s">
        <v>4634</v>
      </c>
      <c r="B3443" s="32" t="s">
        <v>4635</v>
      </c>
      <c r="C3443" s="32" t="s">
        <v>844</v>
      </c>
      <c r="D3443" s="32" t="s">
        <v>844</v>
      </c>
      <c r="E3443" s="33" t="s">
        <v>846</v>
      </c>
      <c r="F3443" s="34">
        <v>53478</v>
      </c>
      <c r="G3443" s="34">
        <v>53478</v>
      </c>
      <c r="H3443" s="35" t="s">
        <v>859</v>
      </c>
    </row>
    <row r="3444" spans="1:8" ht="27" customHeight="1" x14ac:dyDescent="0.2">
      <c r="A3444" s="31" t="s">
        <v>4634</v>
      </c>
      <c r="B3444" s="32" t="s">
        <v>4635</v>
      </c>
      <c r="C3444" s="32" t="s">
        <v>886</v>
      </c>
      <c r="D3444" s="32" t="s">
        <v>886</v>
      </c>
      <c r="E3444" s="33" t="s">
        <v>887</v>
      </c>
      <c r="F3444" s="34">
        <v>53478</v>
      </c>
      <c r="G3444" s="34">
        <v>53478</v>
      </c>
      <c r="H3444" s="35" t="s">
        <v>859</v>
      </c>
    </row>
    <row r="3445" spans="1:8" ht="27" customHeight="1" x14ac:dyDescent="0.2">
      <c r="A3445" s="31" t="s">
        <v>4634</v>
      </c>
      <c r="B3445" s="32" t="s">
        <v>4635</v>
      </c>
      <c r="C3445" s="32" t="s">
        <v>796</v>
      </c>
      <c r="D3445" s="32" t="s">
        <v>796</v>
      </c>
      <c r="E3445" s="33" t="s">
        <v>772</v>
      </c>
      <c r="F3445" s="34">
        <v>6197013</v>
      </c>
      <c r="G3445" s="34">
        <v>5214016</v>
      </c>
      <c r="H3445" s="35" t="s">
        <v>4638</v>
      </c>
    </row>
    <row r="3446" spans="1:8" ht="27" customHeight="1" x14ac:dyDescent="0.2">
      <c r="A3446" s="31" t="s">
        <v>4634</v>
      </c>
      <c r="B3446" s="32" t="s">
        <v>4635</v>
      </c>
      <c r="C3446" s="32" t="s">
        <v>779</v>
      </c>
      <c r="D3446" s="32" t="s">
        <v>779</v>
      </c>
      <c r="E3446" s="33" t="s">
        <v>780</v>
      </c>
      <c r="F3446" s="34">
        <v>575031</v>
      </c>
      <c r="G3446" s="34">
        <v>525013</v>
      </c>
      <c r="H3446" s="35" t="s">
        <v>1946</v>
      </c>
    </row>
    <row r="3447" spans="1:8" ht="27" customHeight="1" x14ac:dyDescent="0.2">
      <c r="A3447" s="31" t="s">
        <v>4634</v>
      </c>
      <c r="B3447" s="32" t="s">
        <v>4635</v>
      </c>
      <c r="C3447" s="32" t="s">
        <v>782</v>
      </c>
      <c r="D3447" s="32" t="s">
        <v>782</v>
      </c>
      <c r="E3447" s="33" t="s">
        <v>784</v>
      </c>
      <c r="F3447" s="34">
        <v>2514187</v>
      </c>
      <c r="G3447" s="34">
        <v>1914187</v>
      </c>
      <c r="H3447" s="35" t="s">
        <v>1981</v>
      </c>
    </row>
    <row r="3448" spans="1:8" ht="27" customHeight="1" x14ac:dyDescent="0.2">
      <c r="A3448" s="31" t="s">
        <v>4639</v>
      </c>
      <c r="B3448" s="32" t="s">
        <v>4640</v>
      </c>
      <c r="C3448" s="32" t="s">
        <v>770</v>
      </c>
      <c r="D3448" s="32" t="s">
        <v>4641</v>
      </c>
      <c r="E3448" s="33" t="s">
        <v>772</v>
      </c>
      <c r="F3448" s="34">
        <v>14741868</v>
      </c>
      <c r="G3448" s="34">
        <v>14801868</v>
      </c>
      <c r="H3448" s="35" t="s">
        <v>4642</v>
      </c>
    </row>
    <row r="3449" spans="1:8" ht="27" customHeight="1" x14ac:dyDescent="0.2">
      <c r="A3449" s="31" t="s">
        <v>4639</v>
      </c>
      <c r="B3449" s="32" t="s">
        <v>4640</v>
      </c>
      <c r="C3449" s="32" t="s">
        <v>844</v>
      </c>
      <c r="D3449" s="32" t="s">
        <v>844</v>
      </c>
      <c r="E3449" s="33" t="s">
        <v>846</v>
      </c>
      <c r="F3449" s="34">
        <v>1281254</v>
      </c>
      <c r="G3449" s="34">
        <v>1285754</v>
      </c>
      <c r="H3449" s="35" t="s">
        <v>4643</v>
      </c>
    </row>
    <row r="3450" spans="1:8" ht="27" customHeight="1" x14ac:dyDescent="0.2">
      <c r="A3450" s="31" t="s">
        <v>4639</v>
      </c>
      <c r="B3450" s="32" t="s">
        <v>4640</v>
      </c>
      <c r="C3450" s="32" t="s">
        <v>773</v>
      </c>
      <c r="D3450" s="32" t="s">
        <v>773</v>
      </c>
      <c r="E3450" s="33" t="s">
        <v>775</v>
      </c>
      <c r="F3450" s="34">
        <v>614973</v>
      </c>
      <c r="G3450" s="34">
        <v>617373</v>
      </c>
      <c r="H3450" s="35" t="s">
        <v>4644</v>
      </c>
    </row>
    <row r="3451" spans="1:8" ht="27" customHeight="1" x14ac:dyDescent="0.2">
      <c r="A3451" s="31" t="s">
        <v>4639</v>
      </c>
      <c r="B3451" s="32" t="s">
        <v>4640</v>
      </c>
      <c r="C3451" s="32" t="s">
        <v>886</v>
      </c>
      <c r="D3451" s="32" t="s">
        <v>886</v>
      </c>
      <c r="E3451" s="33" t="s">
        <v>887</v>
      </c>
      <c r="F3451" s="34">
        <v>614973</v>
      </c>
      <c r="G3451" s="34">
        <v>617373</v>
      </c>
      <c r="H3451" s="35" t="s">
        <v>4645</v>
      </c>
    </row>
    <row r="3452" spans="1:8" ht="27" customHeight="1" x14ac:dyDescent="0.2">
      <c r="A3452" s="31" t="s">
        <v>4639</v>
      </c>
      <c r="B3452" s="32" t="s">
        <v>4640</v>
      </c>
      <c r="C3452" s="32" t="s">
        <v>796</v>
      </c>
      <c r="D3452" s="32" t="s">
        <v>796</v>
      </c>
      <c r="E3452" s="33" t="s">
        <v>772</v>
      </c>
      <c r="F3452" s="34">
        <v>8944551</v>
      </c>
      <c r="G3452" s="34">
        <v>8980551</v>
      </c>
      <c r="H3452" s="35" t="s">
        <v>4646</v>
      </c>
    </row>
    <row r="3453" spans="1:8" ht="27" customHeight="1" x14ac:dyDescent="0.2">
      <c r="A3453" s="31" t="s">
        <v>4639</v>
      </c>
      <c r="B3453" s="32" t="s">
        <v>4640</v>
      </c>
      <c r="C3453" s="32" t="s">
        <v>779</v>
      </c>
      <c r="D3453" s="32" t="s">
        <v>779</v>
      </c>
      <c r="E3453" s="33" t="s">
        <v>780</v>
      </c>
      <c r="F3453" s="34">
        <v>156813</v>
      </c>
      <c r="G3453" s="34">
        <v>157413</v>
      </c>
      <c r="H3453" s="35" t="s">
        <v>4647</v>
      </c>
    </row>
    <row r="3454" spans="1:8" ht="27" customHeight="1" x14ac:dyDescent="0.2">
      <c r="A3454" s="31" t="s">
        <v>4639</v>
      </c>
      <c r="B3454" s="32" t="s">
        <v>4640</v>
      </c>
      <c r="C3454" s="32" t="s">
        <v>782</v>
      </c>
      <c r="D3454" s="32" t="s">
        <v>782</v>
      </c>
      <c r="E3454" s="33" t="s">
        <v>784</v>
      </c>
      <c r="F3454" s="34">
        <v>5628088</v>
      </c>
      <c r="G3454" s="34">
        <v>5649088</v>
      </c>
      <c r="H3454" s="35" t="s">
        <v>4648</v>
      </c>
    </row>
    <row r="3455" spans="1:8" ht="27" customHeight="1" x14ac:dyDescent="0.2">
      <c r="A3455" s="31" t="s">
        <v>4649</v>
      </c>
      <c r="B3455" s="32" t="s">
        <v>4650</v>
      </c>
      <c r="C3455" s="32" t="s">
        <v>763</v>
      </c>
      <c r="D3455" s="32" t="s">
        <v>2886</v>
      </c>
      <c r="E3455" s="33" t="s">
        <v>764</v>
      </c>
      <c r="F3455" s="34">
        <v>8000442</v>
      </c>
      <c r="G3455" s="34">
        <v>0</v>
      </c>
      <c r="H3455" s="35" t="s">
        <v>4651</v>
      </c>
    </row>
    <row r="3456" spans="1:8" ht="27" customHeight="1" x14ac:dyDescent="0.2">
      <c r="A3456" s="31" t="s">
        <v>4649</v>
      </c>
      <c r="B3456" s="32" t="s">
        <v>4650</v>
      </c>
      <c r="C3456" s="32" t="s">
        <v>763</v>
      </c>
      <c r="D3456" s="32" t="s">
        <v>1543</v>
      </c>
      <c r="E3456" s="33" t="s">
        <v>764</v>
      </c>
      <c r="F3456" s="34">
        <v>3017450</v>
      </c>
      <c r="G3456" s="34">
        <v>4177302</v>
      </c>
      <c r="H3456" s="35" t="s">
        <v>4652</v>
      </c>
    </row>
    <row r="3457" spans="1:8" ht="27" customHeight="1" x14ac:dyDescent="0.2">
      <c r="A3457" s="31" t="s">
        <v>4649</v>
      </c>
      <c r="B3457" s="32" t="s">
        <v>4650</v>
      </c>
      <c r="C3457" s="32" t="s">
        <v>770</v>
      </c>
      <c r="D3457" s="32" t="s">
        <v>4653</v>
      </c>
      <c r="E3457" s="33" t="s">
        <v>772</v>
      </c>
      <c r="F3457" s="34">
        <v>9177706</v>
      </c>
      <c r="G3457" s="34">
        <v>9197065</v>
      </c>
      <c r="H3457" s="35" t="s">
        <v>4654</v>
      </c>
    </row>
    <row r="3458" spans="1:8" ht="27" customHeight="1" x14ac:dyDescent="0.2">
      <c r="A3458" s="31" t="s">
        <v>4649</v>
      </c>
      <c r="B3458" s="32" t="s">
        <v>4650</v>
      </c>
      <c r="C3458" s="32" t="s">
        <v>773</v>
      </c>
      <c r="D3458" s="32" t="s">
        <v>4655</v>
      </c>
      <c r="E3458" s="33" t="s">
        <v>775</v>
      </c>
      <c r="F3458" s="34">
        <v>222999</v>
      </c>
      <c r="G3458" s="34">
        <v>223469</v>
      </c>
      <c r="H3458" s="35" t="s">
        <v>4656</v>
      </c>
    </row>
    <row r="3459" spans="1:8" ht="27" customHeight="1" x14ac:dyDescent="0.2">
      <c r="A3459" s="31" t="s">
        <v>4649</v>
      </c>
      <c r="B3459" s="32" t="s">
        <v>4650</v>
      </c>
      <c r="C3459" s="32" t="s">
        <v>796</v>
      </c>
      <c r="D3459" s="32" t="s">
        <v>1095</v>
      </c>
      <c r="E3459" s="33" t="s">
        <v>772</v>
      </c>
      <c r="F3459" s="34">
        <v>2673874</v>
      </c>
      <c r="G3459" s="34">
        <v>2679514</v>
      </c>
      <c r="H3459" s="35" t="s">
        <v>4657</v>
      </c>
    </row>
    <row r="3460" spans="1:8" ht="27" customHeight="1" x14ac:dyDescent="0.2">
      <c r="A3460" s="31" t="s">
        <v>4649</v>
      </c>
      <c r="B3460" s="32" t="s">
        <v>4650</v>
      </c>
      <c r="C3460" s="32" t="s">
        <v>779</v>
      </c>
      <c r="D3460" s="32" t="s">
        <v>826</v>
      </c>
      <c r="E3460" s="33" t="s">
        <v>780</v>
      </c>
      <c r="F3460" s="34">
        <v>182225</v>
      </c>
      <c r="G3460" s="34">
        <v>191549</v>
      </c>
      <c r="H3460" s="35" t="s">
        <v>4658</v>
      </c>
    </row>
    <row r="3461" spans="1:8" ht="27" customHeight="1" x14ac:dyDescent="0.2">
      <c r="A3461" s="31" t="s">
        <v>4649</v>
      </c>
      <c r="B3461" s="32" t="s">
        <v>4650</v>
      </c>
      <c r="C3461" s="32" t="s">
        <v>782</v>
      </c>
      <c r="D3461" s="32" t="s">
        <v>782</v>
      </c>
      <c r="E3461" s="33" t="s">
        <v>784</v>
      </c>
      <c r="F3461" s="34">
        <v>1076657</v>
      </c>
      <c r="G3461" s="34">
        <v>1078928</v>
      </c>
      <c r="H3461" s="35" t="s">
        <v>4659</v>
      </c>
    </row>
    <row r="3462" spans="1:8" ht="27" customHeight="1" x14ac:dyDescent="0.2">
      <c r="A3462" s="31" t="s">
        <v>4660</v>
      </c>
      <c r="B3462" s="32" t="s">
        <v>4661</v>
      </c>
      <c r="C3462" s="32" t="s">
        <v>763</v>
      </c>
      <c r="D3462" s="32" t="s">
        <v>4662</v>
      </c>
      <c r="E3462" s="33" t="s">
        <v>764</v>
      </c>
      <c r="F3462" s="34">
        <v>0</v>
      </c>
      <c r="G3462" s="34">
        <v>4600000</v>
      </c>
      <c r="H3462" s="35" t="s">
        <v>4663</v>
      </c>
    </row>
    <row r="3463" spans="1:8" ht="27" customHeight="1" x14ac:dyDescent="0.2">
      <c r="A3463" s="31" t="s">
        <v>4660</v>
      </c>
      <c r="B3463" s="32" t="s">
        <v>4661</v>
      </c>
      <c r="C3463" s="32" t="s">
        <v>770</v>
      </c>
      <c r="D3463" s="32" t="s">
        <v>2116</v>
      </c>
      <c r="E3463" s="33" t="s">
        <v>772</v>
      </c>
      <c r="F3463" s="34">
        <v>8836793</v>
      </c>
      <c r="G3463" s="34">
        <v>8848916</v>
      </c>
      <c r="H3463" s="35" t="s">
        <v>4664</v>
      </c>
    </row>
    <row r="3464" spans="1:8" ht="27" customHeight="1" x14ac:dyDescent="0.2">
      <c r="A3464" s="31" t="s">
        <v>4660</v>
      </c>
      <c r="B3464" s="32" t="s">
        <v>4661</v>
      </c>
      <c r="C3464" s="32" t="s">
        <v>844</v>
      </c>
      <c r="D3464" s="32" t="s">
        <v>972</v>
      </c>
      <c r="E3464" s="33" t="s">
        <v>846</v>
      </c>
      <c r="F3464" s="34">
        <v>203619</v>
      </c>
      <c r="G3464" s="34">
        <v>203898</v>
      </c>
      <c r="H3464" s="35" t="s">
        <v>4665</v>
      </c>
    </row>
    <row r="3465" spans="1:8" ht="27" customHeight="1" x14ac:dyDescent="0.2">
      <c r="A3465" s="31" t="s">
        <v>4660</v>
      </c>
      <c r="B3465" s="32" t="s">
        <v>4661</v>
      </c>
      <c r="C3465" s="32" t="s">
        <v>796</v>
      </c>
      <c r="D3465" s="32" t="s">
        <v>796</v>
      </c>
      <c r="E3465" s="33" t="s">
        <v>772</v>
      </c>
      <c r="F3465" s="34">
        <v>4730926</v>
      </c>
      <c r="G3465" s="34">
        <v>4737416</v>
      </c>
      <c r="H3465" s="35" t="s">
        <v>4666</v>
      </c>
    </row>
    <row r="3466" spans="1:8" ht="27" customHeight="1" x14ac:dyDescent="0.2">
      <c r="A3466" s="31" t="s">
        <v>4660</v>
      </c>
      <c r="B3466" s="32" t="s">
        <v>4661</v>
      </c>
      <c r="C3466" s="32" t="s">
        <v>779</v>
      </c>
      <c r="D3466" s="32" t="s">
        <v>876</v>
      </c>
      <c r="E3466" s="33" t="s">
        <v>780</v>
      </c>
      <c r="F3466" s="34">
        <v>133360</v>
      </c>
      <c r="G3466" s="34">
        <v>133543</v>
      </c>
      <c r="H3466" s="35" t="s">
        <v>4665</v>
      </c>
    </row>
    <row r="3467" spans="1:8" ht="27" customHeight="1" x14ac:dyDescent="0.2">
      <c r="A3467" s="31" t="s">
        <v>4660</v>
      </c>
      <c r="B3467" s="32" t="s">
        <v>4661</v>
      </c>
      <c r="C3467" s="32" t="s">
        <v>782</v>
      </c>
      <c r="D3467" s="32" t="s">
        <v>813</v>
      </c>
      <c r="E3467" s="33" t="s">
        <v>784</v>
      </c>
      <c r="F3467" s="34">
        <v>879107</v>
      </c>
      <c r="G3467" s="34">
        <v>880313</v>
      </c>
      <c r="H3467" s="35" t="s">
        <v>4665</v>
      </c>
    </row>
    <row r="3468" spans="1:8" ht="27" customHeight="1" x14ac:dyDescent="0.2">
      <c r="A3468" s="31" t="s">
        <v>4667</v>
      </c>
      <c r="B3468" s="32" t="s">
        <v>4668</v>
      </c>
      <c r="C3468" s="32" t="s">
        <v>763</v>
      </c>
      <c r="D3468" s="32" t="s">
        <v>931</v>
      </c>
      <c r="E3468" s="33" t="s">
        <v>764</v>
      </c>
      <c r="F3468" s="34">
        <v>5000000</v>
      </c>
      <c r="G3468" s="34">
        <v>5000000</v>
      </c>
      <c r="H3468" s="35" t="s">
        <v>4669</v>
      </c>
    </row>
    <row r="3469" spans="1:8" ht="27" customHeight="1" x14ac:dyDescent="0.2">
      <c r="A3469" s="31" t="s">
        <v>4667</v>
      </c>
      <c r="B3469" s="32" t="s">
        <v>4668</v>
      </c>
      <c r="C3469" s="32" t="s">
        <v>770</v>
      </c>
      <c r="D3469" s="32" t="s">
        <v>1011</v>
      </c>
      <c r="E3469" s="33" t="s">
        <v>772</v>
      </c>
      <c r="F3469" s="34">
        <v>7069344</v>
      </c>
      <c r="G3469" s="34">
        <v>7069344</v>
      </c>
      <c r="H3469" s="35" t="s">
        <v>4670</v>
      </c>
    </row>
    <row r="3470" spans="1:8" ht="27" customHeight="1" x14ac:dyDescent="0.2">
      <c r="A3470" s="31" t="s">
        <v>4667</v>
      </c>
      <c r="B3470" s="32" t="s">
        <v>4668</v>
      </c>
      <c r="C3470" s="32" t="s">
        <v>844</v>
      </c>
      <c r="D3470" s="32" t="s">
        <v>972</v>
      </c>
      <c r="E3470" s="33" t="s">
        <v>846</v>
      </c>
      <c r="F3470" s="34">
        <v>2743855</v>
      </c>
      <c r="G3470" s="34">
        <v>2743855</v>
      </c>
      <c r="H3470" s="35" t="s">
        <v>4671</v>
      </c>
    </row>
    <row r="3471" spans="1:8" ht="27" customHeight="1" x14ac:dyDescent="0.2">
      <c r="A3471" s="31" t="s">
        <v>4667</v>
      </c>
      <c r="B3471" s="32" t="s">
        <v>4668</v>
      </c>
      <c r="C3471" s="32" t="s">
        <v>860</v>
      </c>
      <c r="D3471" s="32" t="s">
        <v>4672</v>
      </c>
      <c r="E3471" s="33" t="s">
        <v>861</v>
      </c>
      <c r="F3471" s="34">
        <v>5000000</v>
      </c>
      <c r="G3471" s="34">
        <v>5000000</v>
      </c>
      <c r="H3471" s="35" t="s">
        <v>4673</v>
      </c>
    </row>
    <row r="3472" spans="1:8" ht="27" customHeight="1" x14ac:dyDescent="0.2">
      <c r="A3472" s="31" t="s">
        <v>4667</v>
      </c>
      <c r="B3472" s="32" t="s">
        <v>4668</v>
      </c>
      <c r="C3472" s="32" t="s">
        <v>796</v>
      </c>
      <c r="D3472" s="32" t="s">
        <v>822</v>
      </c>
      <c r="E3472" s="33" t="s">
        <v>823</v>
      </c>
      <c r="F3472" s="34">
        <v>10303755</v>
      </c>
      <c r="G3472" s="34">
        <v>10303755</v>
      </c>
      <c r="H3472" s="35" t="s">
        <v>4674</v>
      </c>
    </row>
    <row r="3473" spans="1:8" ht="27" customHeight="1" x14ac:dyDescent="0.2">
      <c r="A3473" s="31" t="s">
        <v>4667</v>
      </c>
      <c r="B3473" s="32" t="s">
        <v>4668</v>
      </c>
      <c r="C3473" s="32" t="s">
        <v>779</v>
      </c>
      <c r="D3473" s="32" t="s">
        <v>826</v>
      </c>
      <c r="E3473" s="33" t="s">
        <v>780</v>
      </c>
      <c r="F3473" s="34">
        <v>649828</v>
      </c>
      <c r="G3473" s="34">
        <v>624828</v>
      </c>
      <c r="H3473" s="35" t="s">
        <v>4675</v>
      </c>
    </row>
    <row r="3474" spans="1:8" ht="27" customHeight="1" x14ac:dyDescent="0.2">
      <c r="A3474" s="31" t="s">
        <v>4667</v>
      </c>
      <c r="B3474" s="32" t="s">
        <v>4668</v>
      </c>
      <c r="C3474" s="32" t="s">
        <v>782</v>
      </c>
      <c r="D3474" s="32" t="s">
        <v>901</v>
      </c>
      <c r="E3474" s="33" t="s">
        <v>784</v>
      </c>
      <c r="F3474" s="34">
        <v>2015232</v>
      </c>
      <c r="G3474" s="34">
        <v>1177713</v>
      </c>
      <c r="H3474" s="35" t="s">
        <v>4676</v>
      </c>
    </row>
    <row r="3475" spans="1:8" ht="27" customHeight="1" x14ac:dyDescent="0.2">
      <c r="A3475" s="31" t="s">
        <v>4677</v>
      </c>
      <c r="B3475" s="32" t="s">
        <v>4678</v>
      </c>
      <c r="C3475" s="32" t="s">
        <v>766</v>
      </c>
      <c r="D3475" s="32" t="s">
        <v>767</v>
      </c>
      <c r="E3475" s="33" t="s">
        <v>768</v>
      </c>
      <c r="F3475" s="34">
        <v>28302</v>
      </c>
      <c r="G3475" s="34">
        <v>28585</v>
      </c>
      <c r="H3475" s="35" t="s">
        <v>4679</v>
      </c>
    </row>
    <row r="3476" spans="1:8" ht="27" customHeight="1" x14ac:dyDescent="0.2">
      <c r="A3476" s="31" t="s">
        <v>4677</v>
      </c>
      <c r="B3476" s="32" t="s">
        <v>4678</v>
      </c>
      <c r="C3476" s="32" t="s">
        <v>770</v>
      </c>
      <c r="D3476" s="32" t="s">
        <v>2116</v>
      </c>
      <c r="E3476" s="33" t="s">
        <v>772</v>
      </c>
      <c r="F3476" s="34">
        <v>1493208</v>
      </c>
      <c r="G3476" s="34">
        <v>1608140</v>
      </c>
      <c r="H3476" s="35" t="s">
        <v>4680</v>
      </c>
    </row>
    <row r="3477" spans="1:8" ht="27" customHeight="1" x14ac:dyDescent="0.2">
      <c r="A3477" s="31" t="s">
        <v>4677</v>
      </c>
      <c r="B3477" s="32" t="s">
        <v>4678</v>
      </c>
      <c r="C3477" s="32" t="s">
        <v>773</v>
      </c>
      <c r="D3477" s="32" t="s">
        <v>773</v>
      </c>
      <c r="E3477" s="33" t="s">
        <v>775</v>
      </c>
      <c r="F3477" s="34">
        <v>549432</v>
      </c>
      <c r="G3477" s="34">
        <v>554926</v>
      </c>
      <c r="H3477" s="35" t="s">
        <v>4681</v>
      </c>
    </row>
    <row r="3478" spans="1:8" ht="27" customHeight="1" x14ac:dyDescent="0.2">
      <c r="A3478" s="31" t="s">
        <v>4677</v>
      </c>
      <c r="B3478" s="32" t="s">
        <v>4678</v>
      </c>
      <c r="C3478" s="32" t="s">
        <v>860</v>
      </c>
      <c r="D3478" s="32" t="s">
        <v>2840</v>
      </c>
      <c r="E3478" s="33" t="s">
        <v>861</v>
      </c>
      <c r="F3478" s="34">
        <v>466281</v>
      </c>
      <c r="G3478" s="34">
        <v>520944</v>
      </c>
      <c r="H3478" s="35" t="s">
        <v>4682</v>
      </c>
    </row>
    <row r="3479" spans="1:8" ht="27" customHeight="1" x14ac:dyDescent="0.2">
      <c r="A3479" s="31" t="s">
        <v>4677</v>
      </c>
      <c r="B3479" s="32" t="s">
        <v>4678</v>
      </c>
      <c r="C3479" s="32" t="s">
        <v>796</v>
      </c>
      <c r="D3479" s="32" t="s">
        <v>796</v>
      </c>
      <c r="E3479" s="33" t="s">
        <v>772</v>
      </c>
      <c r="F3479" s="34">
        <v>792461</v>
      </c>
      <c r="G3479" s="34">
        <v>800386</v>
      </c>
      <c r="H3479" s="35" t="s">
        <v>4683</v>
      </c>
    </row>
    <row r="3480" spans="1:8" ht="27" customHeight="1" x14ac:dyDescent="0.2">
      <c r="A3480" s="31" t="s">
        <v>4677</v>
      </c>
      <c r="B3480" s="32" t="s">
        <v>4678</v>
      </c>
      <c r="C3480" s="32" t="s">
        <v>779</v>
      </c>
      <c r="D3480" s="32" t="s">
        <v>779</v>
      </c>
      <c r="E3480" s="33" t="s">
        <v>780</v>
      </c>
      <c r="F3480" s="34">
        <v>123484</v>
      </c>
      <c r="G3480" s="34">
        <v>124719</v>
      </c>
      <c r="H3480" s="35" t="s">
        <v>4684</v>
      </c>
    </row>
    <row r="3481" spans="1:8" ht="27" customHeight="1" x14ac:dyDescent="0.2">
      <c r="A3481" s="31" t="s">
        <v>4685</v>
      </c>
      <c r="B3481" s="32" t="s">
        <v>4686</v>
      </c>
      <c r="C3481" s="32" t="s">
        <v>763</v>
      </c>
      <c r="D3481" s="32" t="s">
        <v>4687</v>
      </c>
      <c r="E3481" s="33" t="s">
        <v>764</v>
      </c>
      <c r="F3481" s="34">
        <v>1900000</v>
      </c>
      <c r="G3481" s="34">
        <v>1925000</v>
      </c>
      <c r="H3481" s="35" t="s">
        <v>4688</v>
      </c>
    </row>
    <row r="3482" spans="1:8" ht="27" customHeight="1" x14ac:dyDescent="0.2">
      <c r="A3482" s="31" t="s">
        <v>4685</v>
      </c>
      <c r="B3482" s="32" t="s">
        <v>4686</v>
      </c>
      <c r="C3482" s="32" t="s">
        <v>770</v>
      </c>
      <c r="D3482" s="32" t="s">
        <v>1136</v>
      </c>
      <c r="E3482" s="33" t="s">
        <v>772</v>
      </c>
      <c r="F3482" s="34">
        <v>306164</v>
      </c>
      <c r="G3482" s="34">
        <v>1006164</v>
      </c>
      <c r="H3482" s="35" t="s">
        <v>4689</v>
      </c>
    </row>
    <row r="3483" spans="1:8" ht="27" customHeight="1" x14ac:dyDescent="0.2">
      <c r="A3483" s="31" t="s">
        <v>4685</v>
      </c>
      <c r="B3483" s="32" t="s">
        <v>4686</v>
      </c>
      <c r="C3483" s="32" t="s">
        <v>831</v>
      </c>
      <c r="D3483" s="32" t="s">
        <v>1049</v>
      </c>
      <c r="E3483" s="33" t="s">
        <v>4690</v>
      </c>
      <c r="F3483" s="34">
        <v>0</v>
      </c>
      <c r="G3483" s="34">
        <v>0</v>
      </c>
      <c r="H3483" s="35" t="s">
        <v>1049</v>
      </c>
    </row>
    <row r="3484" spans="1:8" ht="27" customHeight="1" x14ac:dyDescent="0.2">
      <c r="A3484" s="31" t="s">
        <v>4685</v>
      </c>
      <c r="B3484" s="32" t="s">
        <v>4686</v>
      </c>
      <c r="C3484" s="32" t="s">
        <v>796</v>
      </c>
      <c r="D3484" s="32" t="s">
        <v>822</v>
      </c>
      <c r="E3484" s="33" t="s">
        <v>772</v>
      </c>
      <c r="F3484" s="34">
        <v>229334</v>
      </c>
      <c r="G3484" s="34">
        <v>522334</v>
      </c>
      <c r="H3484" s="35" t="s">
        <v>4691</v>
      </c>
    </row>
    <row r="3485" spans="1:8" ht="27" customHeight="1" x14ac:dyDescent="0.2">
      <c r="A3485" s="31" t="s">
        <v>4685</v>
      </c>
      <c r="B3485" s="32" t="s">
        <v>4686</v>
      </c>
      <c r="C3485" s="32" t="s">
        <v>779</v>
      </c>
      <c r="D3485" s="32" t="s">
        <v>779</v>
      </c>
      <c r="E3485" s="33" t="s">
        <v>780</v>
      </c>
      <c r="F3485" s="34">
        <v>78333</v>
      </c>
      <c r="G3485" s="34">
        <v>78333</v>
      </c>
      <c r="H3485" s="35" t="s">
        <v>4692</v>
      </c>
    </row>
    <row r="3486" spans="1:8" ht="27" customHeight="1" x14ac:dyDescent="0.2">
      <c r="A3486" s="31" t="s">
        <v>4685</v>
      </c>
      <c r="B3486" s="32" t="s">
        <v>4686</v>
      </c>
      <c r="C3486" s="32" t="s">
        <v>782</v>
      </c>
      <c r="D3486" s="32" t="s">
        <v>783</v>
      </c>
      <c r="E3486" s="33" t="s">
        <v>784</v>
      </c>
      <c r="F3486" s="34">
        <v>87839</v>
      </c>
      <c r="G3486" s="34">
        <v>87839</v>
      </c>
      <c r="H3486" s="35" t="s">
        <v>4693</v>
      </c>
    </row>
    <row r="3487" spans="1:8" ht="27" customHeight="1" x14ac:dyDescent="0.2">
      <c r="A3487" s="31" t="s">
        <v>4694</v>
      </c>
      <c r="B3487" s="32" t="s">
        <v>4695</v>
      </c>
      <c r="C3487" s="32" t="s">
        <v>763</v>
      </c>
      <c r="D3487" s="32" t="s">
        <v>967</v>
      </c>
      <c r="E3487" s="33" t="s">
        <v>764</v>
      </c>
      <c r="F3487" s="34">
        <v>2633847</v>
      </c>
      <c r="G3487" s="34">
        <v>1717258</v>
      </c>
      <c r="H3487" s="35" t="s">
        <v>4696</v>
      </c>
    </row>
    <row r="3488" spans="1:8" ht="27" customHeight="1" x14ac:dyDescent="0.2">
      <c r="A3488" s="31" t="s">
        <v>4694</v>
      </c>
      <c r="B3488" s="32" t="s">
        <v>4695</v>
      </c>
      <c r="C3488" s="32" t="s">
        <v>766</v>
      </c>
      <c r="D3488" s="32" t="s">
        <v>767</v>
      </c>
      <c r="E3488" s="33" t="s">
        <v>768</v>
      </c>
      <c r="F3488" s="34">
        <v>2974053</v>
      </c>
      <c r="G3488" s="34">
        <v>2374053</v>
      </c>
      <c r="H3488" s="35" t="s">
        <v>4697</v>
      </c>
    </row>
    <row r="3489" spans="1:8" ht="27" customHeight="1" x14ac:dyDescent="0.2">
      <c r="A3489" s="31" t="s">
        <v>4694</v>
      </c>
      <c r="B3489" s="32" t="s">
        <v>4695</v>
      </c>
      <c r="C3489" s="32" t="s">
        <v>770</v>
      </c>
      <c r="D3489" s="32" t="s">
        <v>4698</v>
      </c>
      <c r="E3489" s="33" t="s">
        <v>772</v>
      </c>
      <c r="F3489" s="34">
        <v>5647896</v>
      </c>
      <c r="G3489" s="34">
        <v>5155210</v>
      </c>
      <c r="H3489" s="35" t="s">
        <v>4699</v>
      </c>
    </row>
    <row r="3490" spans="1:8" ht="27" customHeight="1" x14ac:dyDescent="0.2">
      <c r="A3490" s="31" t="s">
        <v>4694</v>
      </c>
      <c r="B3490" s="32" t="s">
        <v>4695</v>
      </c>
      <c r="C3490" s="32" t="s">
        <v>886</v>
      </c>
      <c r="D3490" s="32" t="s">
        <v>1013</v>
      </c>
      <c r="E3490" s="33" t="s">
        <v>887</v>
      </c>
      <c r="F3490" s="34">
        <v>489817</v>
      </c>
      <c r="G3490" s="34">
        <v>490451</v>
      </c>
      <c r="H3490" s="35" t="s">
        <v>4700</v>
      </c>
    </row>
    <row r="3491" spans="1:8" ht="27" customHeight="1" x14ac:dyDescent="0.2">
      <c r="A3491" s="31" t="s">
        <v>4694</v>
      </c>
      <c r="B3491" s="32" t="s">
        <v>4695</v>
      </c>
      <c r="C3491" s="32" t="s">
        <v>796</v>
      </c>
      <c r="D3491" s="32" t="s">
        <v>811</v>
      </c>
      <c r="E3491" s="33" t="s">
        <v>772</v>
      </c>
      <c r="F3491" s="34">
        <v>3979296</v>
      </c>
      <c r="G3491" s="34">
        <v>4184449</v>
      </c>
      <c r="H3491" s="35" t="s">
        <v>4701</v>
      </c>
    </row>
    <row r="3492" spans="1:8" ht="27" customHeight="1" x14ac:dyDescent="0.2">
      <c r="A3492" s="31" t="s">
        <v>4694</v>
      </c>
      <c r="B3492" s="32" t="s">
        <v>4695</v>
      </c>
      <c r="C3492" s="32" t="s">
        <v>779</v>
      </c>
      <c r="D3492" s="32" t="s">
        <v>4702</v>
      </c>
      <c r="E3492" s="33" t="s">
        <v>780</v>
      </c>
      <c r="F3492" s="34">
        <v>1024400</v>
      </c>
      <c r="G3492" s="34">
        <v>1025726</v>
      </c>
      <c r="H3492" s="35" t="s">
        <v>4703</v>
      </c>
    </row>
    <row r="3493" spans="1:8" ht="27" customHeight="1" x14ac:dyDescent="0.2">
      <c r="A3493" s="31" t="s">
        <v>4694</v>
      </c>
      <c r="B3493" s="32" t="s">
        <v>4695</v>
      </c>
      <c r="C3493" s="32" t="s">
        <v>782</v>
      </c>
      <c r="D3493" s="32" t="s">
        <v>813</v>
      </c>
      <c r="E3493" s="33" t="s">
        <v>784</v>
      </c>
      <c r="F3493" s="34">
        <v>2694113</v>
      </c>
      <c r="G3493" s="34">
        <v>2947602</v>
      </c>
      <c r="H3493" s="35" t="s">
        <v>4704</v>
      </c>
    </row>
    <row r="3494" spans="1:8" ht="27" customHeight="1" x14ac:dyDescent="0.2">
      <c r="A3494" s="31" t="s">
        <v>4705</v>
      </c>
      <c r="B3494" s="32" t="s">
        <v>4706</v>
      </c>
      <c r="C3494" s="32" t="s">
        <v>763</v>
      </c>
      <c r="D3494" s="32" t="s">
        <v>816</v>
      </c>
      <c r="E3494" s="33" t="s">
        <v>764</v>
      </c>
      <c r="F3494" s="34">
        <v>1200000</v>
      </c>
      <c r="G3494" s="34">
        <v>1200000</v>
      </c>
      <c r="H3494" s="35" t="s">
        <v>4707</v>
      </c>
    </row>
    <row r="3495" spans="1:8" ht="27" customHeight="1" x14ac:dyDescent="0.2">
      <c r="A3495" s="31" t="s">
        <v>4705</v>
      </c>
      <c r="B3495" s="32" t="s">
        <v>4706</v>
      </c>
      <c r="C3495" s="32" t="s">
        <v>770</v>
      </c>
      <c r="D3495" s="32" t="s">
        <v>2111</v>
      </c>
      <c r="E3495" s="33" t="s">
        <v>772</v>
      </c>
      <c r="F3495" s="34">
        <v>6373965</v>
      </c>
      <c r="G3495" s="34">
        <v>6373965</v>
      </c>
      <c r="H3495" s="35" t="s">
        <v>4708</v>
      </c>
    </row>
    <row r="3496" spans="1:8" ht="27" customHeight="1" x14ac:dyDescent="0.2">
      <c r="A3496" s="31" t="s">
        <v>4705</v>
      </c>
      <c r="B3496" s="32" t="s">
        <v>4706</v>
      </c>
      <c r="C3496" s="32" t="s">
        <v>844</v>
      </c>
      <c r="D3496" s="32" t="s">
        <v>972</v>
      </c>
      <c r="E3496" s="33" t="s">
        <v>846</v>
      </c>
      <c r="F3496" s="34">
        <v>240643</v>
      </c>
      <c r="G3496" s="34">
        <v>240643</v>
      </c>
      <c r="H3496" s="35" t="s">
        <v>4707</v>
      </c>
    </row>
    <row r="3497" spans="1:8" ht="27" customHeight="1" x14ac:dyDescent="0.2">
      <c r="A3497" s="31" t="s">
        <v>4705</v>
      </c>
      <c r="B3497" s="32" t="s">
        <v>4706</v>
      </c>
      <c r="C3497" s="32" t="s">
        <v>773</v>
      </c>
      <c r="D3497" s="32" t="s">
        <v>2020</v>
      </c>
      <c r="E3497" s="33" t="s">
        <v>775</v>
      </c>
      <c r="F3497" s="34">
        <v>15955</v>
      </c>
      <c r="G3497" s="34">
        <v>15955</v>
      </c>
      <c r="H3497" s="35" t="s">
        <v>2371</v>
      </c>
    </row>
    <row r="3498" spans="1:8" ht="27" customHeight="1" x14ac:dyDescent="0.2">
      <c r="A3498" s="31" t="s">
        <v>4705</v>
      </c>
      <c r="B3498" s="32" t="s">
        <v>4706</v>
      </c>
      <c r="C3498" s="32" t="s">
        <v>796</v>
      </c>
      <c r="D3498" s="32" t="s">
        <v>961</v>
      </c>
      <c r="E3498" s="33" t="s">
        <v>772</v>
      </c>
      <c r="F3498" s="34">
        <v>2250501</v>
      </c>
      <c r="G3498" s="34">
        <v>2250501</v>
      </c>
      <c r="H3498" s="35" t="s">
        <v>4707</v>
      </c>
    </row>
    <row r="3499" spans="1:8" ht="27" customHeight="1" x14ac:dyDescent="0.2">
      <c r="A3499" s="31" t="s">
        <v>4705</v>
      </c>
      <c r="B3499" s="32" t="s">
        <v>4706</v>
      </c>
      <c r="C3499" s="32" t="s">
        <v>779</v>
      </c>
      <c r="D3499" s="32" t="s">
        <v>876</v>
      </c>
      <c r="E3499" s="33" t="s">
        <v>780</v>
      </c>
      <c r="F3499" s="34">
        <v>53182</v>
      </c>
      <c r="G3499" s="34">
        <v>53182</v>
      </c>
      <c r="H3499" s="35" t="s">
        <v>2371</v>
      </c>
    </row>
    <row r="3500" spans="1:8" ht="27" customHeight="1" x14ac:dyDescent="0.2">
      <c r="A3500" s="31" t="s">
        <v>4705</v>
      </c>
      <c r="B3500" s="32" t="s">
        <v>4706</v>
      </c>
      <c r="C3500" s="32" t="s">
        <v>782</v>
      </c>
      <c r="D3500" s="32" t="s">
        <v>964</v>
      </c>
      <c r="E3500" s="33" t="s">
        <v>784</v>
      </c>
      <c r="F3500" s="34">
        <v>385948</v>
      </c>
      <c r="G3500" s="34">
        <v>385948</v>
      </c>
      <c r="H3500" s="35" t="s">
        <v>4707</v>
      </c>
    </row>
    <row r="3501" spans="1:8" ht="27" customHeight="1" x14ac:dyDescent="0.2">
      <c r="A3501" s="31" t="s">
        <v>4709</v>
      </c>
      <c r="B3501" s="32" t="s">
        <v>4710</v>
      </c>
      <c r="C3501" s="32" t="s">
        <v>763</v>
      </c>
      <c r="D3501" s="32" t="s">
        <v>763</v>
      </c>
      <c r="E3501" s="33" t="s">
        <v>764</v>
      </c>
      <c r="F3501" s="34">
        <v>300263</v>
      </c>
      <c r="G3501" s="34">
        <v>300275</v>
      </c>
      <c r="H3501" s="35" t="s">
        <v>859</v>
      </c>
    </row>
    <row r="3502" spans="1:8" ht="27" customHeight="1" x14ac:dyDescent="0.2">
      <c r="A3502" s="31" t="s">
        <v>4711</v>
      </c>
      <c r="B3502" s="32" t="s">
        <v>4712</v>
      </c>
      <c r="C3502" s="32" t="s">
        <v>763</v>
      </c>
      <c r="D3502" s="32" t="s">
        <v>816</v>
      </c>
      <c r="E3502" s="33" t="s">
        <v>764</v>
      </c>
      <c r="F3502" s="34">
        <v>571890</v>
      </c>
      <c r="G3502" s="34">
        <v>572340</v>
      </c>
      <c r="H3502" s="35" t="s">
        <v>4713</v>
      </c>
    </row>
    <row r="3503" spans="1:8" ht="27" customHeight="1" x14ac:dyDescent="0.2">
      <c r="A3503" s="31" t="s">
        <v>4711</v>
      </c>
      <c r="B3503" s="32" t="s">
        <v>4712</v>
      </c>
      <c r="C3503" s="32" t="s">
        <v>770</v>
      </c>
      <c r="D3503" s="32" t="s">
        <v>1720</v>
      </c>
      <c r="E3503" s="33" t="s">
        <v>772</v>
      </c>
      <c r="F3503" s="34">
        <v>404213</v>
      </c>
      <c r="G3503" s="34">
        <v>404296</v>
      </c>
      <c r="H3503" s="35" t="s">
        <v>4714</v>
      </c>
    </row>
    <row r="3504" spans="1:8" ht="27" customHeight="1" x14ac:dyDescent="0.2">
      <c r="A3504" s="31" t="s">
        <v>4711</v>
      </c>
      <c r="B3504" s="32" t="s">
        <v>4712</v>
      </c>
      <c r="C3504" s="32" t="s">
        <v>860</v>
      </c>
      <c r="D3504" s="32" t="s">
        <v>1027</v>
      </c>
      <c r="E3504" s="33" t="s">
        <v>861</v>
      </c>
      <c r="F3504" s="34">
        <v>167418</v>
      </c>
      <c r="G3504" s="34">
        <v>167452</v>
      </c>
      <c r="H3504" s="35" t="s">
        <v>4682</v>
      </c>
    </row>
    <row r="3505" spans="1:8" ht="27" customHeight="1" x14ac:dyDescent="0.2">
      <c r="A3505" s="31" t="s">
        <v>4711</v>
      </c>
      <c r="B3505" s="32" t="s">
        <v>4712</v>
      </c>
      <c r="C3505" s="32" t="s">
        <v>796</v>
      </c>
      <c r="D3505" s="32" t="s">
        <v>954</v>
      </c>
      <c r="E3505" s="33" t="s">
        <v>823</v>
      </c>
      <c r="F3505" s="34">
        <v>426739</v>
      </c>
      <c r="G3505" s="34">
        <v>286855</v>
      </c>
      <c r="H3505" s="35" t="s">
        <v>4715</v>
      </c>
    </row>
    <row r="3506" spans="1:8" ht="27" customHeight="1" x14ac:dyDescent="0.2">
      <c r="A3506" s="31" t="s">
        <v>4711</v>
      </c>
      <c r="B3506" s="32" t="s">
        <v>4712</v>
      </c>
      <c r="C3506" s="32" t="s">
        <v>779</v>
      </c>
      <c r="D3506" s="32" t="s">
        <v>927</v>
      </c>
      <c r="E3506" s="33" t="s">
        <v>780</v>
      </c>
      <c r="F3506" s="34">
        <v>329821</v>
      </c>
      <c r="G3506" s="34">
        <v>329888</v>
      </c>
      <c r="H3506" s="35" t="s">
        <v>4334</v>
      </c>
    </row>
    <row r="3507" spans="1:8" ht="27" customHeight="1" x14ac:dyDescent="0.2">
      <c r="A3507" s="31" t="s">
        <v>4711</v>
      </c>
      <c r="B3507" s="32" t="s">
        <v>4712</v>
      </c>
      <c r="C3507" s="32" t="s">
        <v>782</v>
      </c>
      <c r="D3507" s="32" t="s">
        <v>4633</v>
      </c>
      <c r="E3507" s="33" t="s">
        <v>784</v>
      </c>
      <c r="F3507" s="34">
        <v>113034</v>
      </c>
      <c r="G3507" s="34">
        <v>93061</v>
      </c>
      <c r="H3507" s="35" t="s">
        <v>4716</v>
      </c>
    </row>
    <row r="3508" spans="1:8" ht="27" customHeight="1" x14ac:dyDescent="0.2">
      <c r="A3508" s="31" t="s">
        <v>4717</v>
      </c>
      <c r="B3508" s="32" t="s">
        <v>4718</v>
      </c>
      <c r="C3508" s="32" t="s">
        <v>763</v>
      </c>
      <c r="D3508" s="32" t="s">
        <v>2562</v>
      </c>
      <c r="E3508" s="33" t="s">
        <v>764</v>
      </c>
      <c r="F3508" s="34">
        <v>5775693</v>
      </c>
      <c r="G3508" s="34">
        <v>6025693</v>
      </c>
      <c r="H3508" s="35" t="s">
        <v>4719</v>
      </c>
    </row>
    <row r="3509" spans="1:8" ht="27" customHeight="1" x14ac:dyDescent="0.2">
      <c r="A3509" s="31" t="s">
        <v>4717</v>
      </c>
      <c r="B3509" s="32" t="s">
        <v>4718</v>
      </c>
      <c r="C3509" s="32" t="s">
        <v>770</v>
      </c>
      <c r="D3509" s="32" t="s">
        <v>4720</v>
      </c>
      <c r="E3509" s="33" t="s">
        <v>772</v>
      </c>
      <c r="F3509" s="34">
        <v>1174522</v>
      </c>
      <c r="G3509" s="34">
        <v>1274522</v>
      </c>
      <c r="H3509" s="35" t="s">
        <v>4721</v>
      </c>
    </row>
    <row r="3510" spans="1:8" ht="27" customHeight="1" x14ac:dyDescent="0.2">
      <c r="A3510" s="31" t="s">
        <v>4717</v>
      </c>
      <c r="B3510" s="32" t="s">
        <v>4718</v>
      </c>
      <c r="C3510" s="32" t="s">
        <v>844</v>
      </c>
      <c r="D3510" s="32" t="s">
        <v>972</v>
      </c>
      <c r="E3510" s="33" t="s">
        <v>846</v>
      </c>
      <c r="F3510" s="34">
        <v>150528</v>
      </c>
      <c r="G3510" s="34">
        <v>150528</v>
      </c>
      <c r="H3510" s="35" t="s">
        <v>4330</v>
      </c>
    </row>
    <row r="3511" spans="1:8" ht="27" customHeight="1" x14ac:dyDescent="0.2">
      <c r="A3511" s="31" t="s">
        <v>4717</v>
      </c>
      <c r="B3511" s="32" t="s">
        <v>4718</v>
      </c>
      <c r="C3511" s="32" t="s">
        <v>860</v>
      </c>
      <c r="D3511" s="32" t="s">
        <v>911</v>
      </c>
      <c r="E3511" s="33" t="s">
        <v>861</v>
      </c>
      <c r="F3511" s="34">
        <v>595814</v>
      </c>
      <c r="G3511" s="34">
        <v>696307</v>
      </c>
      <c r="H3511" s="35" t="s">
        <v>4722</v>
      </c>
    </row>
    <row r="3512" spans="1:8" ht="27" customHeight="1" x14ac:dyDescent="0.2">
      <c r="A3512" s="31" t="s">
        <v>4717</v>
      </c>
      <c r="B3512" s="32" t="s">
        <v>4718</v>
      </c>
      <c r="C3512" s="32" t="s">
        <v>796</v>
      </c>
      <c r="D3512" s="32" t="s">
        <v>1095</v>
      </c>
      <c r="E3512" s="33" t="s">
        <v>823</v>
      </c>
      <c r="F3512" s="34">
        <v>426913</v>
      </c>
      <c r="G3512" s="34">
        <v>426913</v>
      </c>
      <c r="H3512" s="35" t="s">
        <v>4723</v>
      </c>
    </row>
    <row r="3513" spans="1:8" ht="27" customHeight="1" x14ac:dyDescent="0.2">
      <c r="A3513" s="31" t="s">
        <v>4717</v>
      </c>
      <c r="B3513" s="32" t="s">
        <v>4718</v>
      </c>
      <c r="C3513" s="32" t="s">
        <v>779</v>
      </c>
      <c r="D3513" s="32" t="s">
        <v>826</v>
      </c>
      <c r="E3513" s="33" t="s">
        <v>780</v>
      </c>
      <c r="F3513" s="34">
        <v>126899</v>
      </c>
      <c r="G3513" s="34">
        <v>126899</v>
      </c>
      <c r="H3513" s="35" t="s">
        <v>4724</v>
      </c>
    </row>
    <row r="3514" spans="1:8" ht="27" customHeight="1" x14ac:dyDescent="0.2">
      <c r="A3514" s="31" t="s">
        <v>4717</v>
      </c>
      <c r="B3514" s="32" t="s">
        <v>4718</v>
      </c>
      <c r="C3514" s="32" t="s">
        <v>782</v>
      </c>
      <c r="D3514" s="32" t="s">
        <v>839</v>
      </c>
      <c r="E3514" s="33" t="s">
        <v>784</v>
      </c>
      <c r="F3514" s="34">
        <v>165396</v>
      </c>
      <c r="G3514" s="34">
        <v>165396</v>
      </c>
      <c r="H3514" s="35" t="s">
        <v>4725</v>
      </c>
    </row>
    <row r="3515" spans="1:8" ht="27" customHeight="1" x14ac:dyDescent="0.2">
      <c r="A3515" s="31" t="s">
        <v>4726</v>
      </c>
      <c r="B3515" s="32" t="s">
        <v>4727</v>
      </c>
      <c r="C3515" s="32" t="s">
        <v>763</v>
      </c>
      <c r="D3515" s="32" t="s">
        <v>1416</v>
      </c>
      <c r="E3515" s="33" t="s">
        <v>764</v>
      </c>
      <c r="F3515" s="34">
        <v>1434196</v>
      </c>
      <c r="G3515" s="34">
        <v>1434916</v>
      </c>
      <c r="H3515" s="35" t="s">
        <v>859</v>
      </c>
    </row>
    <row r="3516" spans="1:8" ht="27" customHeight="1" x14ac:dyDescent="0.2">
      <c r="A3516" s="31" t="s">
        <v>4726</v>
      </c>
      <c r="B3516" s="32" t="s">
        <v>4727</v>
      </c>
      <c r="C3516" s="32" t="s">
        <v>766</v>
      </c>
      <c r="D3516" s="32" t="s">
        <v>832</v>
      </c>
      <c r="E3516" s="33" t="s">
        <v>768</v>
      </c>
      <c r="F3516" s="34">
        <v>452986</v>
      </c>
      <c r="G3516" s="34">
        <v>107316</v>
      </c>
      <c r="H3516" s="35" t="s">
        <v>4728</v>
      </c>
    </row>
    <row r="3517" spans="1:8" ht="27" customHeight="1" x14ac:dyDescent="0.2">
      <c r="A3517" s="31" t="s">
        <v>4726</v>
      </c>
      <c r="B3517" s="32" t="s">
        <v>4727</v>
      </c>
      <c r="C3517" s="32" t="s">
        <v>770</v>
      </c>
      <c r="D3517" s="32" t="s">
        <v>810</v>
      </c>
      <c r="E3517" s="33" t="s">
        <v>772</v>
      </c>
      <c r="F3517" s="34">
        <v>361731</v>
      </c>
      <c r="G3517" s="34">
        <v>361907</v>
      </c>
      <c r="H3517" s="35" t="s">
        <v>859</v>
      </c>
    </row>
    <row r="3518" spans="1:8" ht="27" customHeight="1" x14ac:dyDescent="0.2">
      <c r="A3518" s="31" t="s">
        <v>4726</v>
      </c>
      <c r="B3518" s="32" t="s">
        <v>4727</v>
      </c>
      <c r="C3518" s="32" t="s">
        <v>844</v>
      </c>
      <c r="D3518" s="32" t="s">
        <v>972</v>
      </c>
      <c r="E3518" s="33" t="s">
        <v>846</v>
      </c>
      <c r="F3518" s="34">
        <v>1495362</v>
      </c>
      <c r="G3518" s="34">
        <v>1496122</v>
      </c>
      <c r="H3518" s="35" t="s">
        <v>859</v>
      </c>
    </row>
    <row r="3519" spans="1:8" ht="27" customHeight="1" x14ac:dyDescent="0.2">
      <c r="A3519" s="31" t="s">
        <v>4726</v>
      </c>
      <c r="B3519" s="32" t="s">
        <v>4727</v>
      </c>
      <c r="C3519" s="32" t="s">
        <v>831</v>
      </c>
      <c r="D3519" s="32" t="s">
        <v>4729</v>
      </c>
      <c r="E3519" s="33" t="s">
        <v>4730</v>
      </c>
      <c r="F3519" s="34">
        <v>1902829</v>
      </c>
      <c r="G3519" s="34">
        <v>1903789</v>
      </c>
      <c r="H3519" s="35" t="s">
        <v>859</v>
      </c>
    </row>
    <row r="3520" spans="1:8" ht="27" customHeight="1" x14ac:dyDescent="0.2">
      <c r="A3520" s="31" t="s">
        <v>4726</v>
      </c>
      <c r="B3520" s="32" t="s">
        <v>4727</v>
      </c>
      <c r="C3520" s="32" t="s">
        <v>860</v>
      </c>
      <c r="D3520" s="32" t="s">
        <v>911</v>
      </c>
      <c r="E3520" s="33" t="s">
        <v>861</v>
      </c>
      <c r="F3520" s="34">
        <v>1503300</v>
      </c>
      <c r="G3520" s="34">
        <v>1503800</v>
      </c>
      <c r="H3520" s="35" t="s">
        <v>859</v>
      </c>
    </row>
    <row r="3521" spans="1:8" ht="27" customHeight="1" x14ac:dyDescent="0.2">
      <c r="A3521" s="31" t="s">
        <v>4726</v>
      </c>
      <c r="B3521" s="32" t="s">
        <v>4727</v>
      </c>
      <c r="C3521" s="32" t="s">
        <v>796</v>
      </c>
      <c r="D3521" s="32" t="s">
        <v>811</v>
      </c>
      <c r="E3521" s="33" t="s">
        <v>823</v>
      </c>
      <c r="F3521" s="34">
        <v>2168627</v>
      </c>
      <c r="G3521" s="34">
        <v>1669427</v>
      </c>
      <c r="H3521" s="35" t="s">
        <v>4731</v>
      </c>
    </row>
    <row r="3522" spans="1:8" ht="27" customHeight="1" x14ac:dyDescent="0.2">
      <c r="A3522" s="31" t="s">
        <v>4726</v>
      </c>
      <c r="B3522" s="32" t="s">
        <v>4727</v>
      </c>
      <c r="C3522" s="32" t="s">
        <v>779</v>
      </c>
      <c r="D3522" s="32" t="s">
        <v>826</v>
      </c>
      <c r="E3522" s="33" t="s">
        <v>780</v>
      </c>
      <c r="F3522" s="34">
        <v>100607</v>
      </c>
      <c r="G3522" s="34">
        <v>100655</v>
      </c>
      <c r="H3522" s="35" t="s">
        <v>859</v>
      </c>
    </row>
    <row r="3523" spans="1:8" ht="27" customHeight="1" x14ac:dyDescent="0.2">
      <c r="A3523" s="31" t="s">
        <v>4726</v>
      </c>
      <c r="B3523" s="32" t="s">
        <v>4727</v>
      </c>
      <c r="C3523" s="32" t="s">
        <v>782</v>
      </c>
      <c r="D3523" s="32" t="s">
        <v>964</v>
      </c>
      <c r="E3523" s="33" t="s">
        <v>784</v>
      </c>
      <c r="F3523" s="34">
        <v>501728</v>
      </c>
      <c r="G3523" s="34">
        <v>501968</v>
      </c>
      <c r="H3523" s="35" t="s">
        <v>859</v>
      </c>
    </row>
    <row r="3524" spans="1:8" ht="27" customHeight="1" x14ac:dyDescent="0.2">
      <c r="A3524" s="31" t="s">
        <v>4732</v>
      </c>
      <c r="B3524" s="32" t="s">
        <v>4733</v>
      </c>
      <c r="C3524" s="32" t="s">
        <v>770</v>
      </c>
      <c r="D3524" s="32" t="s">
        <v>4734</v>
      </c>
      <c r="E3524" s="33" t="s">
        <v>772</v>
      </c>
      <c r="F3524" s="34">
        <v>1192311</v>
      </c>
      <c r="G3524" s="34">
        <v>1192500</v>
      </c>
      <c r="H3524" s="35" t="s">
        <v>4735</v>
      </c>
    </row>
    <row r="3525" spans="1:8" ht="27" customHeight="1" x14ac:dyDescent="0.2">
      <c r="A3525" s="31" t="s">
        <v>4732</v>
      </c>
      <c r="B3525" s="32" t="s">
        <v>4733</v>
      </c>
      <c r="C3525" s="32" t="s">
        <v>796</v>
      </c>
      <c r="D3525" s="32" t="s">
        <v>796</v>
      </c>
      <c r="E3525" s="33" t="s">
        <v>823</v>
      </c>
      <c r="F3525" s="34">
        <v>650223</v>
      </c>
      <c r="G3525" s="34">
        <v>650223</v>
      </c>
      <c r="H3525" s="35" t="s">
        <v>4736</v>
      </c>
    </row>
    <row r="3526" spans="1:8" ht="27" customHeight="1" x14ac:dyDescent="0.2">
      <c r="A3526" s="31" t="s">
        <v>4732</v>
      </c>
      <c r="B3526" s="32" t="s">
        <v>4733</v>
      </c>
      <c r="C3526" s="32" t="s">
        <v>782</v>
      </c>
      <c r="D3526" s="32" t="s">
        <v>4737</v>
      </c>
      <c r="E3526" s="33" t="s">
        <v>784</v>
      </c>
      <c r="F3526" s="34">
        <v>281578</v>
      </c>
      <c r="G3526" s="34">
        <v>281585</v>
      </c>
      <c r="H3526" s="35" t="s">
        <v>4738</v>
      </c>
    </row>
    <row r="3527" spans="1:8" ht="27" customHeight="1" x14ac:dyDescent="0.2">
      <c r="A3527" s="31" t="s">
        <v>4739</v>
      </c>
      <c r="B3527" s="32" t="s">
        <v>4740</v>
      </c>
      <c r="C3527" s="32" t="s">
        <v>763</v>
      </c>
      <c r="D3527" s="32" t="s">
        <v>4741</v>
      </c>
      <c r="E3527" s="33" t="s">
        <v>764</v>
      </c>
      <c r="F3527" s="34">
        <v>0</v>
      </c>
      <c r="G3527" s="34">
        <v>500000</v>
      </c>
      <c r="H3527" s="35" t="s">
        <v>4742</v>
      </c>
    </row>
    <row r="3528" spans="1:8" ht="27" customHeight="1" x14ac:dyDescent="0.2">
      <c r="A3528" s="31" t="s">
        <v>4739</v>
      </c>
      <c r="B3528" s="32" t="s">
        <v>4740</v>
      </c>
      <c r="C3528" s="32" t="s">
        <v>766</v>
      </c>
      <c r="D3528" s="32" t="s">
        <v>767</v>
      </c>
      <c r="E3528" s="33" t="s">
        <v>768</v>
      </c>
      <c r="F3528" s="34">
        <v>15726</v>
      </c>
      <c r="G3528" s="34">
        <v>15801</v>
      </c>
      <c r="H3528" s="35" t="s">
        <v>829</v>
      </c>
    </row>
    <row r="3529" spans="1:8" ht="27" customHeight="1" x14ac:dyDescent="0.2">
      <c r="A3529" s="31" t="s">
        <v>4739</v>
      </c>
      <c r="B3529" s="32" t="s">
        <v>4740</v>
      </c>
      <c r="C3529" s="32" t="s">
        <v>770</v>
      </c>
      <c r="D3529" s="32" t="s">
        <v>1011</v>
      </c>
      <c r="E3529" s="33" t="s">
        <v>772</v>
      </c>
      <c r="F3529" s="34">
        <v>1238529</v>
      </c>
      <c r="G3529" s="34">
        <v>1244400</v>
      </c>
      <c r="H3529" s="35" t="s">
        <v>829</v>
      </c>
    </row>
    <row r="3530" spans="1:8" ht="27" customHeight="1" x14ac:dyDescent="0.2">
      <c r="A3530" s="31" t="s">
        <v>4739</v>
      </c>
      <c r="B3530" s="32" t="s">
        <v>4740</v>
      </c>
      <c r="C3530" s="32" t="s">
        <v>796</v>
      </c>
      <c r="D3530" s="32" t="s">
        <v>796</v>
      </c>
      <c r="E3530" s="33" t="s">
        <v>772</v>
      </c>
      <c r="F3530" s="34">
        <v>1790029</v>
      </c>
      <c r="G3530" s="34">
        <v>2225025</v>
      </c>
      <c r="H3530" s="35" t="s">
        <v>4743</v>
      </c>
    </row>
    <row r="3531" spans="1:8" ht="27" customHeight="1" x14ac:dyDescent="0.2">
      <c r="A3531" s="31" t="s">
        <v>4739</v>
      </c>
      <c r="B3531" s="32" t="s">
        <v>4740</v>
      </c>
      <c r="C3531" s="32" t="s">
        <v>779</v>
      </c>
      <c r="D3531" s="32" t="s">
        <v>779</v>
      </c>
      <c r="E3531" s="33" t="s">
        <v>780</v>
      </c>
      <c r="F3531" s="34">
        <v>13553</v>
      </c>
      <c r="G3531" s="34">
        <v>13617</v>
      </c>
      <c r="H3531" s="35" t="s">
        <v>829</v>
      </c>
    </row>
    <row r="3532" spans="1:8" ht="27" customHeight="1" x14ac:dyDescent="0.2">
      <c r="A3532" s="31" t="s">
        <v>4744</v>
      </c>
      <c r="B3532" s="32" t="s">
        <v>4745</v>
      </c>
      <c r="C3532" s="32" t="s">
        <v>763</v>
      </c>
      <c r="D3532" s="32" t="s">
        <v>4746</v>
      </c>
      <c r="E3532" s="33" t="s">
        <v>764</v>
      </c>
      <c r="F3532" s="34">
        <v>1549280</v>
      </c>
      <c r="G3532" s="34">
        <v>1774280</v>
      </c>
      <c r="H3532" s="35" t="s">
        <v>4747</v>
      </c>
    </row>
    <row r="3533" spans="1:8" ht="27" customHeight="1" x14ac:dyDescent="0.2">
      <c r="A3533" s="31" t="s">
        <v>4744</v>
      </c>
      <c r="B3533" s="32" t="s">
        <v>4745</v>
      </c>
      <c r="C3533" s="32" t="s">
        <v>770</v>
      </c>
      <c r="D3533" s="32" t="s">
        <v>4748</v>
      </c>
      <c r="E3533" s="33" t="s">
        <v>772</v>
      </c>
      <c r="F3533" s="34">
        <v>1424463</v>
      </c>
      <c r="G3533" s="34">
        <v>1871345</v>
      </c>
      <c r="H3533" s="35" t="s">
        <v>4749</v>
      </c>
    </row>
    <row r="3534" spans="1:8" ht="27" customHeight="1" x14ac:dyDescent="0.2">
      <c r="A3534" s="31" t="s">
        <v>4744</v>
      </c>
      <c r="B3534" s="32" t="s">
        <v>4745</v>
      </c>
      <c r="C3534" s="32" t="s">
        <v>796</v>
      </c>
      <c r="D3534" s="32" t="s">
        <v>4750</v>
      </c>
      <c r="E3534" s="33" t="s">
        <v>772</v>
      </c>
      <c r="F3534" s="34">
        <v>0</v>
      </c>
      <c r="G3534" s="34">
        <v>1424464</v>
      </c>
      <c r="H3534" s="35" t="s">
        <v>4751</v>
      </c>
    </row>
    <row r="3535" spans="1:8" ht="27" customHeight="1" x14ac:dyDescent="0.2">
      <c r="A3535" s="31" t="s">
        <v>4744</v>
      </c>
      <c r="B3535" s="32" t="s">
        <v>4745</v>
      </c>
      <c r="C3535" s="32" t="s">
        <v>779</v>
      </c>
      <c r="D3535" s="32" t="s">
        <v>876</v>
      </c>
      <c r="E3535" s="33" t="s">
        <v>780</v>
      </c>
      <c r="F3535" s="34">
        <v>275081</v>
      </c>
      <c r="G3535" s="34">
        <v>275081</v>
      </c>
      <c r="H3535" s="35" t="s">
        <v>4752</v>
      </c>
    </row>
    <row r="3536" spans="1:8" ht="27" customHeight="1" x14ac:dyDescent="0.2">
      <c r="A3536" s="31" t="s">
        <v>4744</v>
      </c>
      <c r="B3536" s="32" t="s">
        <v>4745</v>
      </c>
      <c r="C3536" s="32" t="s">
        <v>782</v>
      </c>
      <c r="D3536" s="32" t="s">
        <v>813</v>
      </c>
      <c r="E3536" s="33" t="s">
        <v>784</v>
      </c>
      <c r="F3536" s="34">
        <v>700082</v>
      </c>
      <c r="G3536" s="34">
        <v>700082</v>
      </c>
      <c r="H3536" s="35" t="s">
        <v>4753</v>
      </c>
    </row>
    <row r="3537" spans="1:8" ht="27" customHeight="1" x14ac:dyDescent="0.2">
      <c r="A3537" s="31" t="s">
        <v>4754</v>
      </c>
      <c r="B3537" s="32" t="s">
        <v>4755</v>
      </c>
      <c r="C3537" s="32" t="s">
        <v>763</v>
      </c>
      <c r="D3537" s="32" t="s">
        <v>1041</v>
      </c>
      <c r="E3537" s="33" t="s">
        <v>764</v>
      </c>
      <c r="F3537" s="34">
        <v>672864</v>
      </c>
      <c r="G3537" s="34">
        <v>673114</v>
      </c>
      <c r="H3537" s="35" t="s">
        <v>4756</v>
      </c>
    </row>
    <row r="3538" spans="1:8" ht="27" customHeight="1" x14ac:dyDescent="0.2">
      <c r="A3538" s="31" t="s">
        <v>4754</v>
      </c>
      <c r="B3538" s="32" t="s">
        <v>4755</v>
      </c>
      <c r="C3538" s="32" t="s">
        <v>763</v>
      </c>
      <c r="D3538" s="32" t="s">
        <v>4757</v>
      </c>
      <c r="E3538" s="33" t="s">
        <v>764</v>
      </c>
      <c r="F3538" s="34">
        <v>7297104</v>
      </c>
      <c r="G3538" s="34">
        <v>534436</v>
      </c>
      <c r="H3538" s="35" t="s">
        <v>4758</v>
      </c>
    </row>
    <row r="3539" spans="1:8" ht="27" customHeight="1" x14ac:dyDescent="0.2">
      <c r="A3539" s="31" t="s">
        <v>4754</v>
      </c>
      <c r="B3539" s="32" t="s">
        <v>4755</v>
      </c>
      <c r="C3539" s="32" t="s">
        <v>763</v>
      </c>
      <c r="D3539" s="32" t="s">
        <v>1295</v>
      </c>
      <c r="E3539" s="33" t="s">
        <v>764</v>
      </c>
      <c r="F3539" s="34">
        <v>386244</v>
      </c>
      <c r="G3539" s="34">
        <v>550</v>
      </c>
      <c r="H3539" s="35" t="s">
        <v>4759</v>
      </c>
    </row>
    <row r="3540" spans="1:8" ht="27" customHeight="1" x14ac:dyDescent="0.2">
      <c r="A3540" s="31" t="s">
        <v>4754</v>
      </c>
      <c r="B3540" s="32" t="s">
        <v>4755</v>
      </c>
      <c r="C3540" s="32" t="s">
        <v>763</v>
      </c>
      <c r="D3540" s="32" t="s">
        <v>868</v>
      </c>
      <c r="E3540" s="33" t="s">
        <v>764</v>
      </c>
      <c r="F3540" s="34">
        <v>0</v>
      </c>
      <c r="G3540" s="34">
        <v>363364</v>
      </c>
      <c r="H3540" s="35" t="s">
        <v>4760</v>
      </c>
    </row>
    <row r="3541" spans="1:8" ht="27" customHeight="1" x14ac:dyDescent="0.2">
      <c r="A3541" s="31" t="s">
        <v>4754</v>
      </c>
      <c r="B3541" s="32" t="s">
        <v>4755</v>
      </c>
      <c r="C3541" s="32" t="s">
        <v>770</v>
      </c>
      <c r="D3541" s="32" t="s">
        <v>810</v>
      </c>
      <c r="E3541" s="33" t="s">
        <v>772</v>
      </c>
      <c r="F3541" s="34">
        <v>3189139</v>
      </c>
      <c r="G3541" s="34">
        <v>2815364</v>
      </c>
      <c r="H3541" s="35" t="s">
        <v>4761</v>
      </c>
    </row>
    <row r="3542" spans="1:8" ht="27" customHeight="1" x14ac:dyDescent="0.2">
      <c r="A3542" s="31" t="s">
        <v>4754</v>
      </c>
      <c r="B3542" s="32" t="s">
        <v>4755</v>
      </c>
      <c r="C3542" s="32" t="s">
        <v>860</v>
      </c>
      <c r="D3542" s="32" t="s">
        <v>911</v>
      </c>
      <c r="E3542" s="33" t="s">
        <v>861</v>
      </c>
      <c r="F3542" s="34">
        <v>363251</v>
      </c>
      <c r="G3542" s="34">
        <v>0</v>
      </c>
      <c r="H3542" s="35" t="s">
        <v>4762</v>
      </c>
    </row>
    <row r="3543" spans="1:8" ht="27" customHeight="1" x14ac:dyDescent="0.2">
      <c r="A3543" s="31" t="s">
        <v>4754</v>
      </c>
      <c r="B3543" s="32" t="s">
        <v>4755</v>
      </c>
      <c r="C3543" s="32" t="s">
        <v>796</v>
      </c>
      <c r="D3543" s="32" t="s">
        <v>811</v>
      </c>
      <c r="E3543" s="33" t="s">
        <v>772</v>
      </c>
      <c r="F3543" s="34">
        <v>4872137</v>
      </c>
      <c r="G3543" s="34">
        <v>4238875</v>
      </c>
      <c r="H3543" s="35" t="s">
        <v>4763</v>
      </c>
    </row>
    <row r="3544" spans="1:8" ht="27" customHeight="1" x14ac:dyDescent="0.2">
      <c r="A3544" s="31" t="s">
        <v>4754</v>
      </c>
      <c r="B3544" s="32" t="s">
        <v>4755</v>
      </c>
      <c r="C3544" s="32" t="s">
        <v>779</v>
      </c>
      <c r="D3544" s="32" t="s">
        <v>4764</v>
      </c>
      <c r="E3544" s="33" t="s">
        <v>780</v>
      </c>
      <c r="F3544" s="34">
        <v>250943</v>
      </c>
      <c r="G3544" s="34">
        <v>226040</v>
      </c>
      <c r="H3544" s="35" t="s">
        <v>4765</v>
      </c>
    </row>
    <row r="3545" spans="1:8" ht="27" customHeight="1" x14ac:dyDescent="0.2">
      <c r="A3545" s="31" t="s">
        <v>4754</v>
      </c>
      <c r="B3545" s="32" t="s">
        <v>4755</v>
      </c>
      <c r="C3545" s="32" t="s">
        <v>782</v>
      </c>
      <c r="D3545" s="32" t="s">
        <v>813</v>
      </c>
      <c r="E3545" s="33" t="s">
        <v>784</v>
      </c>
      <c r="F3545" s="34">
        <v>2366154</v>
      </c>
      <c r="G3545" s="34">
        <v>1767156</v>
      </c>
      <c r="H3545" s="35" t="s">
        <v>4766</v>
      </c>
    </row>
    <row r="3546" spans="1:8" ht="27" customHeight="1" x14ac:dyDescent="0.2">
      <c r="A3546" s="31" t="s">
        <v>4767</v>
      </c>
      <c r="B3546" s="32" t="s">
        <v>4768</v>
      </c>
      <c r="C3546" s="32" t="s">
        <v>763</v>
      </c>
      <c r="D3546" s="32" t="s">
        <v>1283</v>
      </c>
      <c r="E3546" s="33" t="s">
        <v>764</v>
      </c>
      <c r="F3546" s="34">
        <v>1132490</v>
      </c>
      <c r="G3546" s="34">
        <v>1132523</v>
      </c>
      <c r="H3546" s="35" t="s">
        <v>4769</v>
      </c>
    </row>
    <row r="3547" spans="1:8" ht="27" customHeight="1" x14ac:dyDescent="0.2">
      <c r="A3547" s="31" t="s">
        <v>4767</v>
      </c>
      <c r="B3547" s="32" t="s">
        <v>4768</v>
      </c>
      <c r="C3547" s="32" t="s">
        <v>763</v>
      </c>
      <c r="D3547" s="32" t="s">
        <v>4770</v>
      </c>
      <c r="E3547" s="33" t="s">
        <v>764</v>
      </c>
      <c r="F3547" s="34">
        <v>2069215</v>
      </c>
      <c r="G3547" s="34">
        <v>2169276</v>
      </c>
      <c r="H3547" s="35" t="s">
        <v>4771</v>
      </c>
    </row>
    <row r="3548" spans="1:8" ht="27" customHeight="1" x14ac:dyDescent="0.2">
      <c r="A3548" s="31" t="s">
        <v>4767</v>
      </c>
      <c r="B3548" s="32" t="s">
        <v>4768</v>
      </c>
      <c r="C3548" s="32" t="s">
        <v>763</v>
      </c>
      <c r="D3548" s="32" t="s">
        <v>4028</v>
      </c>
      <c r="E3548" s="33" t="s">
        <v>764</v>
      </c>
      <c r="F3548" s="34">
        <v>0</v>
      </c>
      <c r="G3548" s="34">
        <v>750022</v>
      </c>
      <c r="H3548" s="35" t="s">
        <v>4772</v>
      </c>
    </row>
    <row r="3549" spans="1:8" ht="27" customHeight="1" x14ac:dyDescent="0.2">
      <c r="A3549" s="31" t="s">
        <v>4767</v>
      </c>
      <c r="B3549" s="32" t="s">
        <v>4768</v>
      </c>
      <c r="C3549" s="32" t="s">
        <v>770</v>
      </c>
      <c r="D3549" s="32" t="s">
        <v>1196</v>
      </c>
      <c r="E3549" s="33" t="s">
        <v>772</v>
      </c>
      <c r="F3549" s="34">
        <v>3795515</v>
      </c>
      <c r="G3549" s="34">
        <v>3095626</v>
      </c>
      <c r="H3549" s="35" t="s">
        <v>4773</v>
      </c>
    </row>
    <row r="3550" spans="1:8" ht="27" customHeight="1" x14ac:dyDescent="0.2">
      <c r="A3550" s="31" t="s">
        <v>4767</v>
      </c>
      <c r="B3550" s="32" t="s">
        <v>4768</v>
      </c>
      <c r="C3550" s="32" t="s">
        <v>844</v>
      </c>
      <c r="D3550" s="32" t="s">
        <v>3228</v>
      </c>
      <c r="E3550" s="33" t="s">
        <v>846</v>
      </c>
      <c r="F3550" s="34">
        <v>49824</v>
      </c>
      <c r="G3550" s="34">
        <v>49826</v>
      </c>
      <c r="H3550" s="35" t="s">
        <v>4774</v>
      </c>
    </row>
    <row r="3551" spans="1:8" ht="27" customHeight="1" x14ac:dyDescent="0.2">
      <c r="A3551" s="31" t="s">
        <v>4767</v>
      </c>
      <c r="B3551" s="32" t="s">
        <v>4768</v>
      </c>
      <c r="C3551" s="32" t="s">
        <v>796</v>
      </c>
      <c r="D3551" s="32" t="s">
        <v>1422</v>
      </c>
      <c r="E3551" s="33" t="s">
        <v>823</v>
      </c>
      <c r="F3551" s="34">
        <v>2461431</v>
      </c>
      <c r="G3551" s="34">
        <v>2461503</v>
      </c>
      <c r="H3551" s="35" t="s">
        <v>4775</v>
      </c>
    </row>
    <row r="3552" spans="1:8" ht="27" customHeight="1" x14ac:dyDescent="0.2">
      <c r="A3552" s="31" t="s">
        <v>4767</v>
      </c>
      <c r="B3552" s="32" t="s">
        <v>4768</v>
      </c>
      <c r="C3552" s="32" t="s">
        <v>779</v>
      </c>
      <c r="D3552" s="32" t="s">
        <v>1426</v>
      </c>
      <c r="E3552" s="33" t="s">
        <v>780</v>
      </c>
      <c r="F3552" s="34">
        <v>818834</v>
      </c>
      <c r="G3552" s="34">
        <v>818858</v>
      </c>
      <c r="H3552" s="35" t="s">
        <v>4776</v>
      </c>
    </row>
    <row r="3553" spans="1:8" ht="27" customHeight="1" x14ac:dyDescent="0.2">
      <c r="A3553" s="31" t="s">
        <v>4767</v>
      </c>
      <c r="B3553" s="32" t="s">
        <v>4768</v>
      </c>
      <c r="C3553" s="32" t="s">
        <v>782</v>
      </c>
      <c r="D3553" s="32" t="s">
        <v>1428</v>
      </c>
      <c r="E3553" s="33" t="s">
        <v>784</v>
      </c>
      <c r="F3553" s="34">
        <v>2289593</v>
      </c>
      <c r="G3553" s="34">
        <v>2289660</v>
      </c>
      <c r="H3553" s="35" t="s">
        <v>4777</v>
      </c>
    </row>
    <row r="3554" spans="1:8" ht="27" customHeight="1" x14ac:dyDescent="0.2">
      <c r="A3554" s="31" t="s">
        <v>4778</v>
      </c>
      <c r="B3554" s="32" t="s">
        <v>4779</v>
      </c>
      <c r="C3554" s="32" t="s">
        <v>770</v>
      </c>
      <c r="D3554" s="32" t="s">
        <v>770</v>
      </c>
      <c r="E3554" s="33" t="s">
        <v>772</v>
      </c>
      <c r="F3554" s="34">
        <v>15281624</v>
      </c>
      <c r="G3554" s="34">
        <v>16749424</v>
      </c>
      <c r="H3554" s="35" t="s">
        <v>4780</v>
      </c>
    </row>
    <row r="3555" spans="1:8" ht="27" customHeight="1" x14ac:dyDescent="0.2">
      <c r="A3555" s="31" t="s">
        <v>4778</v>
      </c>
      <c r="B3555" s="32" t="s">
        <v>4779</v>
      </c>
      <c r="C3555" s="32" t="s">
        <v>773</v>
      </c>
      <c r="D3555" s="32" t="s">
        <v>773</v>
      </c>
      <c r="E3555" s="33" t="s">
        <v>775</v>
      </c>
      <c r="F3555" s="34">
        <v>18147</v>
      </c>
      <c r="G3555" s="34">
        <v>18147</v>
      </c>
      <c r="H3555" s="35" t="s">
        <v>829</v>
      </c>
    </row>
    <row r="3556" spans="1:8" ht="27" customHeight="1" x14ac:dyDescent="0.2">
      <c r="A3556" s="31" t="s">
        <v>4778</v>
      </c>
      <c r="B3556" s="32" t="s">
        <v>4779</v>
      </c>
      <c r="C3556" s="32" t="s">
        <v>886</v>
      </c>
      <c r="D3556" s="32" t="s">
        <v>886</v>
      </c>
      <c r="E3556" s="33" t="s">
        <v>887</v>
      </c>
      <c r="F3556" s="34">
        <v>489676</v>
      </c>
      <c r="G3556" s="34">
        <v>489676</v>
      </c>
      <c r="H3556" s="35" t="s">
        <v>829</v>
      </c>
    </row>
    <row r="3557" spans="1:8" ht="27" customHeight="1" x14ac:dyDescent="0.2">
      <c r="A3557" s="31" t="s">
        <v>4778</v>
      </c>
      <c r="B3557" s="32" t="s">
        <v>4779</v>
      </c>
      <c r="C3557" s="32" t="s">
        <v>796</v>
      </c>
      <c r="D3557" s="32" t="s">
        <v>796</v>
      </c>
      <c r="E3557" s="33" t="s">
        <v>823</v>
      </c>
      <c r="F3557" s="34">
        <v>6959359</v>
      </c>
      <c r="G3557" s="34">
        <v>5011693</v>
      </c>
      <c r="H3557" s="35" t="s">
        <v>4781</v>
      </c>
    </row>
    <row r="3558" spans="1:8" ht="27" customHeight="1" x14ac:dyDescent="0.2">
      <c r="A3558" s="31" t="s">
        <v>4778</v>
      </c>
      <c r="B3558" s="32" t="s">
        <v>4779</v>
      </c>
      <c r="C3558" s="32" t="s">
        <v>779</v>
      </c>
      <c r="D3558" s="32" t="s">
        <v>779</v>
      </c>
      <c r="E3558" s="33" t="s">
        <v>780</v>
      </c>
      <c r="F3558" s="34">
        <v>2882487</v>
      </c>
      <c r="G3558" s="34">
        <v>2732487</v>
      </c>
      <c r="H3558" s="35" t="s">
        <v>3367</v>
      </c>
    </row>
    <row r="3559" spans="1:8" ht="27" customHeight="1" x14ac:dyDescent="0.2">
      <c r="A3559" s="31" t="s">
        <v>4778</v>
      </c>
      <c r="B3559" s="32" t="s">
        <v>4779</v>
      </c>
      <c r="C3559" s="32" t="s">
        <v>782</v>
      </c>
      <c r="D3559" s="32" t="s">
        <v>783</v>
      </c>
      <c r="E3559" s="33" t="s">
        <v>784</v>
      </c>
      <c r="F3559" s="34">
        <v>6102919</v>
      </c>
      <c r="G3559" s="34">
        <v>6002919</v>
      </c>
      <c r="H3559" s="35" t="s">
        <v>4782</v>
      </c>
    </row>
    <row r="3560" spans="1:8" ht="27" customHeight="1" x14ac:dyDescent="0.2">
      <c r="A3560" s="31" t="s">
        <v>4783</v>
      </c>
      <c r="B3560" s="32" t="s">
        <v>4784</v>
      </c>
      <c r="C3560" s="32" t="s">
        <v>763</v>
      </c>
      <c r="D3560" s="32" t="s">
        <v>4785</v>
      </c>
      <c r="E3560" s="33" t="s">
        <v>764</v>
      </c>
      <c r="F3560" s="34">
        <v>1054345</v>
      </c>
      <c r="G3560" s="34">
        <v>1056311</v>
      </c>
      <c r="H3560" s="35" t="s">
        <v>4786</v>
      </c>
    </row>
    <row r="3561" spans="1:8" ht="27" customHeight="1" x14ac:dyDescent="0.2">
      <c r="A3561" s="31" t="s">
        <v>4783</v>
      </c>
      <c r="B3561" s="32" t="s">
        <v>4784</v>
      </c>
      <c r="C3561" s="32" t="s">
        <v>770</v>
      </c>
      <c r="D3561" s="32" t="s">
        <v>4787</v>
      </c>
      <c r="E3561" s="33" t="s">
        <v>772</v>
      </c>
      <c r="F3561" s="34">
        <v>642899</v>
      </c>
      <c r="G3561" s="34">
        <v>527374</v>
      </c>
      <c r="H3561" s="35" t="s">
        <v>4788</v>
      </c>
    </row>
    <row r="3562" spans="1:8" ht="27" customHeight="1" x14ac:dyDescent="0.2">
      <c r="A3562" s="31" t="s">
        <v>4783</v>
      </c>
      <c r="B3562" s="32" t="s">
        <v>4784</v>
      </c>
      <c r="C3562" s="32" t="s">
        <v>860</v>
      </c>
      <c r="D3562" s="32" t="s">
        <v>1124</v>
      </c>
      <c r="E3562" s="33" t="s">
        <v>861</v>
      </c>
      <c r="F3562" s="34">
        <v>0</v>
      </c>
      <c r="G3562" s="34">
        <v>0</v>
      </c>
      <c r="H3562" s="35" t="s">
        <v>1049</v>
      </c>
    </row>
    <row r="3563" spans="1:8" ht="27" customHeight="1" x14ac:dyDescent="0.2">
      <c r="A3563" s="31" t="s">
        <v>4783</v>
      </c>
      <c r="B3563" s="32" t="s">
        <v>4784</v>
      </c>
      <c r="C3563" s="32" t="s">
        <v>796</v>
      </c>
      <c r="D3563" s="32" t="s">
        <v>4789</v>
      </c>
      <c r="E3563" s="33" t="s">
        <v>772</v>
      </c>
      <c r="F3563" s="34">
        <v>1509679</v>
      </c>
      <c r="G3563" s="34">
        <v>1412494</v>
      </c>
      <c r="H3563" s="35" t="s">
        <v>4790</v>
      </c>
    </row>
    <row r="3564" spans="1:8" ht="27" customHeight="1" x14ac:dyDescent="0.2">
      <c r="A3564" s="31" t="s">
        <v>4783</v>
      </c>
      <c r="B3564" s="32" t="s">
        <v>4784</v>
      </c>
      <c r="C3564" s="32" t="s">
        <v>779</v>
      </c>
      <c r="D3564" s="32" t="s">
        <v>1126</v>
      </c>
      <c r="E3564" s="33" t="s">
        <v>780</v>
      </c>
      <c r="F3564" s="34">
        <v>133624</v>
      </c>
      <c r="G3564" s="34">
        <v>113873</v>
      </c>
      <c r="H3564" s="35" t="s">
        <v>4791</v>
      </c>
    </row>
    <row r="3565" spans="1:8" ht="27" customHeight="1" x14ac:dyDescent="0.2">
      <c r="A3565" s="31" t="s">
        <v>4792</v>
      </c>
      <c r="B3565" s="32" t="s">
        <v>4793</v>
      </c>
      <c r="C3565" s="32" t="s">
        <v>770</v>
      </c>
      <c r="D3565" s="32" t="s">
        <v>4794</v>
      </c>
      <c r="E3565" s="33" t="s">
        <v>772</v>
      </c>
      <c r="F3565" s="34">
        <v>7253714</v>
      </c>
      <c r="G3565" s="34">
        <v>6476382</v>
      </c>
      <c r="H3565" s="35" t="s">
        <v>2953</v>
      </c>
    </row>
    <row r="3566" spans="1:8" ht="27" customHeight="1" x14ac:dyDescent="0.2">
      <c r="A3566" s="31" t="s">
        <v>4792</v>
      </c>
      <c r="B3566" s="32" t="s">
        <v>4793</v>
      </c>
      <c r="C3566" s="32" t="s">
        <v>844</v>
      </c>
      <c r="D3566" s="32" t="s">
        <v>972</v>
      </c>
      <c r="E3566" s="33" t="s">
        <v>846</v>
      </c>
      <c r="F3566" s="34">
        <v>190650</v>
      </c>
      <c r="G3566" s="34">
        <v>191246</v>
      </c>
      <c r="H3566" s="35" t="s">
        <v>859</v>
      </c>
    </row>
    <row r="3567" spans="1:8" ht="27" customHeight="1" x14ac:dyDescent="0.2">
      <c r="A3567" s="31" t="s">
        <v>4792</v>
      </c>
      <c r="B3567" s="32" t="s">
        <v>4793</v>
      </c>
      <c r="C3567" s="32" t="s">
        <v>860</v>
      </c>
      <c r="D3567" s="32" t="s">
        <v>1027</v>
      </c>
      <c r="E3567" s="33" t="s">
        <v>861</v>
      </c>
      <c r="F3567" s="34">
        <v>17396</v>
      </c>
      <c r="G3567" s="34">
        <v>17450</v>
      </c>
      <c r="H3567" s="35" t="s">
        <v>859</v>
      </c>
    </row>
    <row r="3568" spans="1:8" ht="27" customHeight="1" x14ac:dyDescent="0.2">
      <c r="A3568" s="31" t="s">
        <v>4792</v>
      </c>
      <c r="B3568" s="32" t="s">
        <v>4793</v>
      </c>
      <c r="C3568" s="32" t="s">
        <v>796</v>
      </c>
      <c r="D3568" s="32" t="s">
        <v>811</v>
      </c>
      <c r="E3568" s="33" t="s">
        <v>772</v>
      </c>
      <c r="F3568" s="34">
        <v>763866</v>
      </c>
      <c r="G3568" s="34">
        <v>766253</v>
      </c>
      <c r="H3568" s="35" t="s">
        <v>1218</v>
      </c>
    </row>
    <row r="3569" spans="1:8" ht="27" customHeight="1" x14ac:dyDescent="0.2">
      <c r="A3569" s="31" t="s">
        <v>4792</v>
      </c>
      <c r="B3569" s="32" t="s">
        <v>4793</v>
      </c>
      <c r="C3569" s="32" t="s">
        <v>779</v>
      </c>
      <c r="D3569" s="32" t="s">
        <v>876</v>
      </c>
      <c r="E3569" s="33" t="s">
        <v>780</v>
      </c>
      <c r="F3569" s="34">
        <v>322890</v>
      </c>
      <c r="G3569" s="34">
        <v>323899</v>
      </c>
      <c r="H3569" s="35" t="s">
        <v>859</v>
      </c>
    </row>
    <row r="3570" spans="1:8" ht="27" customHeight="1" x14ac:dyDescent="0.2">
      <c r="A3570" s="31" t="s">
        <v>4792</v>
      </c>
      <c r="B3570" s="32" t="s">
        <v>4793</v>
      </c>
      <c r="C3570" s="32" t="s">
        <v>782</v>
      </c>
      <c r="D3570" s="32" t="s">
        <v>964</v>
      </c>
      <c r="E3570" s="33" t="s">
        <v>784</v>
      </c>
      <c r="F3570" s="34">
        <v>1814930</v>
      </c>
      <c r="G3570" s="34">
        <v>1820602</v>
      </c>
      <c r="H3570" s="35" t="s">
        <v>859</v>
      </c>
    </row>
    <row r="3571" spans="1:8" ht="27" customHeight="1" x14ac:dyDescent="0.2">
      <c r="A3571" s="31" t="s">
        <v>4795</v>
      </c>
      <c r="B3571" s="32" t="s">
        <v>4796</v>
      </c>
      <c r="C3571" s="32" t="s">
        <v>770</v>
      </c>
      <c r="D3571" s="32" t="s">
        <v>810</v>
      </c>
      <c r="E3571" s="33" t="s">
        <v>772</v>
      </c>
      <c r="F3571" s="34">
        <v>8213731</v>
      </c>
      <c r="G3571" s="34">
        <v>7913732</v>
      </c>
      <c r="H3571" s="35" t="s">
        <v>4797</v>
      </c>
    </row>
    <row r="3572" spans="1:8" ht="27" customHeight="1" x14ac:dyDescent="0.2">
      <c r="A3572" s="31" t="s">
        <v>4795</v>
      </c>
      <c r="B3572" s="32" t="s">
        <v>4796</v>
      </c>
      <c r="C3572" s="32" t="s">
        <v>844</v>
      </c>
      <c r="D3572" s="32" t="s">
        <v>972</v>
      </c>
      <c r="E3572" s="33" t="s">
        <v>846</v>
      </c>
      <c r="F3572" s="34">
        <v>667740</v>
      </c>
      <c r="G3572" s="34">
        <v>667740</v>
      </c>
      <c r="H3572" s="35" t="s">
        <v>1130</v>
      </c>
    </row>
    <row r="3573" spans="1:8" ht="27" customHeight="1" x14ac:dyDescent="0.2">
      <c r="A3573" s="31" t="s">
        <v>4795</v>
      </c>
      <c r="B3573" s="32" t="s">
        <v>4796</v>
      </c>
      <c r="C3573" s="32" t="s">
        <v>796</v>
      </c>
      <c r="D3573" s="32" t="s">
        <v>835</v>
      </c>
      <c r="E3573" s="33" t="s">
        <v>823</v>
      </c>
      <c r="F3573" s="34">
        <v>7742205</v>
      </c>
      <c r="G3573" s="34">
        <v>6742205</v>
      </c>
      <c r="H3573" s="35" t="s">
        <v>4798</v>
      </c>
    </row>
    <row r="3574" spans="1:8" ht="27" customHeight="1" x14ac:dyDescent="0.2">
      <c r="A3574" s="31" t="s">
        <v>4795</v>
      </c>
      <c r="B3574" s="32" t="s">
        <v>4796</v>
      </c>
      <c r="C3574" s="32" t="s">
        <v>798</v>
      </c>
      <c r="D3574" s="32" t="s">
        <v>1014</v>
      </c>
      <c r="E3574" s="33" t="s">
        <v>800</v>
      </c>
      <c r="F3574" s="34">
        <v>161832</v>
      </c>
      <c r="G3574" s="34">
        <v>0</v>
      </c>
      <c r="H3574" s="35" t="s">
        <v>1130</v>
      </c>
    </row>
    <row r="3575" spans="1:8" ht="27" customHeight="1" x14ac:dyDescent="0.2">
      <c r="A3575" s="31" t="s">
        <v>4795</v>
      </c>
      <c r="B3575" s="32" t="s">
        <v>4796</v>
      </c>
      <c r="C3575" s="32" t="s">
        <v>779</v>
      </c>
      <c r="D3575" s="32" t="s">
        <v>4799</v>
      </c>
      <c r="E3575" s="33" t="s">
        <v>780</v>
      </c>
      <c r="F3575" s="34">
        <v>328502</v>
      </c>
      <c r="G3575" s="34">
        <v>328502</v>
      </c>
      <c r="H3575" s="35" t="s">
        <v>1130</v>
      </c>
    </row>
    <row r="3576" spans="1:8" ht="27" customHeight="1" x14ac:dyDescent="0.2">
      <c r="A3576" s="31" t="s">
        <v>4795</v>
      </c>
      <c r="B3576" s="32" t="s">
        <v>4796</v>
      </c>
      <c r="C3576" s="32" t="s">
        <v>782</v>
      </c>
      <c r="D3576" s="32" t="s">
        <v>813</v>
      </c>
      <c r="E3576" s="33" t="s">
        <v>784</v>
      </c>
      <c r="F3576" s="34">
        <v>3215834</v>
      </c>
      <c r="G3576" s="34">
        <v>2783596</v>
      </c>
      <c r="H3576" s="35" t="s">
        <v>4800</v>
      </c>
    </row>
    <row r="3577" spans="1:8" ht="27" customHeight="1" x14ac:dyDescent="0.2">
      <c r="A3577" s="31" t="s">
        <v>4801</v>
      </c>
      <c r="B3577" s="32" t="s">
        <v>130</v>
      </c>
      <c r="C3577" s="32" t="s">
        <v>770</v>
      </c>
      <c r="D3577" s="32" t="s">
        <v>1011</v>
      </c>
      <c r="E3577" s="33" t="s">
        <v>772</v>
      </c>
      <c r="F3577" s="34">
        <v>6947373</v>
      </c>
      <c r="G3577" s="34">
        <v>7000000</v>
      </c>
      <c r="H3577" s="35" t="s">
        <v>4802</v>
      </c>
    </row>
    <row r="3578" spans="1:8" ht="27" customHeight="1" x14ac:dyDescent="0.2">
      <c r="A3578" s="31" t="s">
        <v>4801</v>
      </c>
      <c r="B3578" s="32" t="s">
        <v>130</v>
      </c>
      <c r="C3578" s="32" t="s">
        <v>844</v>
      </c>
      <c r="D3578" s="32" t="s">
        <v>972</v>
      </c>
      <c r="E3578" s="33" t="s">
        <v>846</v>
      </c>
      <c r="F3578" s="34">
        <v>718320</v>
      </c>
      <c r="G3578" s="34">
        <v>500000</v>
      </c>
      <c r="H3578" s="35" t="s">
        <v>4803</v>
      </c>
    </row>
    <row r="3579" spans="1:8" ht="27" customHeight="1" x14ac:dyDescent="0.2">
      <c r="A3579" s="31" t="s">
        <v>4801</v>
      </c>
      <c r="B3579" s="32" t="s">
        <v>130</v>
      </c>
      <c r="C3579" s="32" t="s">
        <v>796</v>
      </c>
      <c r="D3579" s="32" t="s">
        <v>1116</v>
      </c>
      <c r="E3579" s="33" t="s">
        <v>772</v>
      </c>
      <c r="F3579" s="34">
        <v>2495808</v>
      </c>
      <c r="G3579" s="34">
        <v>3000000</v>
      </c>
      <c r="H3579" s="35" t="s">
        <v>4804</v>
      </c>
    </row>
    <row r="3580" spans="1:8" ht="27" customHeight="1" x14ac:dyDescent="0.2">
      <c r="A3580" s="31" t="s">
        <v>4801</v>
      </c>
      <c r="B3580" s="32" t="s">
        <v>130</v>
      </c>
      <c r="C3580" s="32" t="s">
        <v>779</v>
      </c>
      <c r="D3580" s="32" t="s">
        <v>1126</v>
      </c>
      <c r="E3580" s="33" t="s">
        <v>780</v>
      </c>
      <c r="F3580" s="34">
        <v>793993</v>
      </c>
      <c r="G3580" s="34">
        <v>500000</v>
      </c>
      <c r="H3580" s="35" t="s">
        <v>4805</v>
      </c>
    </row>
    <row r="3581" spans="1:8" ht="27" customHeight="1" x14ac:dyDescent="0.2">
      <c r="A3581" s="31" t="s">
        <v>4801</v>
      </c>
      <c r="B3581" s="32" t="s">
        <v>130</v>
      </c>
      <c r="C3581" s="32" t="s">
        <v>782</v>
      </c>
      <c r="D3581" s="32" t="s">
        <v>839</v>
      </c>
      <c r="E3581" s="33" t="s">
        <v>784</v>
      </c>
      <c r="F3581" s="34">
        <v>2978334</v>
      </c>
      <c r="G3581" s="34">
        <v>3000000</v>
      </c>
      <c r="H3581" s="35" t="s">
        <v>4806</v>
      </c>
    </row>
    <row r="3582" spans="1:8" ht="27" customHeight="1" x14ac:dyDescent="0.2">
      <c r="A3582" s="31" t="s">
        <v>4807</v>
      </c>
      <c r="B3582" s="32" t="s">
        <v>4808</v>
      </c>
      <c r="C3582" s="32" t="s">
        <v>770</v>
      </c>
      <c r="D3582" s="32" t="s">
        <v>1011</v>
      </c>
      <c r="E3582" s="33" t="s">
        <v>772</v>
      </c>
      <c r="F3582" s="34">
        <v>2032528</v>
      </c>
      <c r="G3582" s="34">
        <v>2032528</v>
      </c>
      <c r="H3582" s="35" t="s">
        <v>4809</v>
      </c>
    </row>
    <row r="3583" spans="1:8" ht="27" customHeight="1" x14ac:dyDescent="0.2">
      <c r="A3583" s="31" t="s">
        <v>4807</v>
      </c>
      <c r="B3583" s="32" t="s">
        <v>4808</v>
      </c>
      <c r="C3583" s="32" t="s">
        <v>796</v>
      </c>
      <c r="D3583" s="32" t="s">
        <v>1095</v>
      </c>
      <c r="E3583" s="33" t="s">
        <v>823</v>
      </c>
      <c r="F3583" s="34">
        <v>2270970</v>
      </c>
      <c r="G3583" s="34">
        <v>2270970</v>
      </c>
      <c r="H3583" s="35" t="s">
        <v>4810</v>
      </c>
    </row>
    <row r="3584" spans="1:8" ht="27" customHeight="1" x14ac:dyDescent="0.2">
      <c r="A3584" s="31" t="s">
        <v>4807</v>
      </c>
      <c r="B3584" s="32" t="s">
        <v>4808</v>
      </c>
      <c r="C3584" s="32" t="s">
        <v>782</v>
      </c>
      <c r="D3584" s="32" t="s">
        <v>3673</v>
      </c>
      <c r="E3584" s="33" t="s">
        <v>784</v>
      </c>
      <c r="F3584" s="34">
        <v>779972</v>
      </c>
      <c r="G3584" s="34">
        <v>779972</v>
      </c>
      <c r="H3584" s="35" t="s">
        <v>4811</v>
      </c>
    </row>
    <row r="3585" spans="1:8" ht="27" customHeight="1" x14ac:dyDescent="0.2">
      <c r="A3585" s="31" t="s">
        <v>4812</v>
      </c>
      <c r="B3585" s="32" t="s">
        <v>4813</v>
      </c>
      <c r="C3585" s="32" t="s">
        <v>763</v>
      </c>
      <c r="D3585" s="32" t="s">
        <v>816</v>
      </c>
      <c r="E3585" s="33" t="s">
        <v>764</v>
      </c>
      <c r="F3585" s="34">
        <v>2000843</v>
      </c>
      <c r="G3585" s="34">
        <v>2012480</v>
      </c>
      <c r="H3585" s="35" t="s">
        <v>4814</v>
      </c>
    </row>
    <row r="3586" spans="1:8" ht="27" customHeight="1" x14ac:dyDescent="0.2">
      <c r="A3586" s="31" t="s">
        <v>4812</v>
      </c>
      <c r="B3586" s="32" t="s">
        <v>4813</v>
      </c>
      <c r="C3586" s="32" t="s">
        <v>770</v>
      </c>
      <c r="D3586" s="32" t="s">
        <v>2267</v>
      </c>
      <c r="E3586" s="33" t="s">
        <v>772</v>
      </c>
      <c r="F3586" s="34">
        <v>2439030</v>
      </c>
      <c r="G3586" s="34">
        <v>3529038</v>
      </c>
      <c r="H3586" s="35" t="s">
        <v>4815</v>
      </c>
    </row>
    <row r="3587" spans="1:8" ht="27" customHeight="1" x14ac:dyDescent="0.2">
      <c r="A3587" s="31" t="s">
        <v>4812</v>
      </c>
      <c r="B3587" s="32" t="s">
        <v>4813</v>
      </c>
      <c r="C3587" s="32" t="s">
        <v>844</v>
      </c>
      <c r="D3587" s="32" t="s">
        <v>972</v>
      </c>
      <c r="E3587" s="33" t="s">
        <v>846</v>
      </c>
      <c r="F3587" s="34">
        <v>35030</v>
      </c>
      <c r="G3587" s="34">
        <v>35234</v>
      </c>
      <c r="H3587" s="35" t="s">
        <v>4815</v>
      </c>
    </row>
    <row r="3588" spans="1:8" ht="27" customHeight="1" x14ac:dyDescent="0.2">
      <c r="A3588" s="31" t="s">
        <v>4812</v>
      </c>
      <c r="B3588" s="32" t="s">
        <v>4813</v>
      </c>
      <c r="C3588" s="32" t="s">
        <v>796</v>
      </c>
      <c r="D3588" s="32" t="s">
        <v>811</v>
      </c>
      <c r="E3588" s="33" t="s">
        <v>823</v>
      </c>
      <c r="F3588" s="34">
        <v>1493095</v>
      </c>
      <c r="G3588" s="34">
        <v>1948072</v>
      </c>
      <c r="H3588" s="35" t="s">
        <v>4815</v>
      </c>
    </row>
    <row r="3589" spans="1:8" ht="27" customHeight="1" x14ac:dyDescent="0.2">
      <c r="A3589" s="31" t="s">
        <v>4812</v>
      </c>
      <c r="B3589" s="32" t="s">
        <v>4813</v>
      </c>
      <c r="C3589" s="32" t="s">
        <v>779</v>
      </c>
      <c r="D3589" s="32" t="s">
        <v>876</v>
      </c>
      <c r="E3589" s="33" t="s">
        <v>780</v>
      </c>
      <c r="F3589" s="34">
        <v>273391</v>
      </c>
      <c r="G3589" s="34">
        <v>410238</v>
      </c>
      <c r="H3589" s="35" t="s">
        <v>4816</v>
      </c>
    </row>
    <row r="3590" spans="1:8" ht="27" customHeight="1" x14ac:dyDescent="0.2">
      <c r="A3590" s="31" t="s">
        <v>4812</v>
      </c>
      <c r="B3590" s="32" t="s">
        <v>4813</v>
      </c>
      <c r="C3590" s="32" t="s">
        <v>782</v>
      </c>
      <c r="D3590" s="32" t="s">
        <v>964</v>
      </c>
      <c r="E3590" s="33" t="s">
        <v>784</v>
      </c>
      <c r="F3590" s="34">
        <v>1142744</v>
      </c>
      <c r="G3590" s="34">
        <v>1350554</v>
      </c>
      <c r="H3590" s="35" t="s">
        <v>4815</v>
      </c>
    </row>
    <row r="3591" spans="1:8" ht="27" customHeight="1" x14ac:dyDescent="0.2">
      <c r="A3591" s="31" t="s">
        <v>4817</v>
      </c>
      <c r="B3591" s="32" t="s">
        <v>4818</v>
      </c>
      <c r="C3591" s="32" t="s">
        <v>766</v>
      </c>
      <c r="D3591" s="32" t="s">
        <v>4819</v>
      </c>
      <c r="E3591" s="33" t="s">
        <v>768</v>
      </c>
      <c r="F3591" s="34">
        <v>195905</v>
      </c>
      <c r="G3591" s="34">
        <v>196404</v>
      </c>
      <c r="H3591" s="35" t="s">
        <v>4820</v>
      </c>
    </row>
    <row r="3592" spans="1:8" ht="27" customHeight="1" x14ac:dyDescent="0.2">
      <c r="A3592" s="31" t="s">
        <v>4817</v>
      </c>
      <c r="B3592" s="32" t="s">
        <v>4818</v>
      </c>
      <c r="C3592" s="32" t="s">
        <v>770</v>
      </c>
      <c r="D3592" s="32" t="s">
        <v>858</v>
      </c>
      <c r="E3592" s="33" t="s">
        <v>772</v>
      </c>
      <c r="F3592" s="34">
        <v>7299040</v>
      </c>
      <c r="G3592" s="34">
        <v>7247555</v>
      </c>
      <c r="H3592" s="35" t="s">
        <v>4821</v>
      </c>
    </row>
    <row r="3593" spans="1:8" ht="27" customHeight="1" x14ac:dyDescent="0.2">
      <c r="A3593" s="31" t="s">
        <v>4817</v>
      </c>
      <c r="B3593" s="32" t="s">
        <v>4818</v>
      </c>
      <c r="C3593" s="32" t="s">
        <v>796</v>
      </c>
      <c r="D3593" s="32" t="s">
        <v>835</v>
      </c>
      <c r="E3593" s="33" t="s">
        <v>772</v>
      </c>
      <c r="F3593" s="34">
        <v>7920144</v>
      </c>
      <c r="G3593" s="34">
        <v>7948644</v>
      </c>
      <c r="H3593" s="35" t="s">
        <v>4822</v>
      </c>
    </row>
    <row r="3594" spans="1:8" ht="27" customHeight="1" x14ac:dyDescent="0.2">
      <c r="A3594" s="31" t="s">
        <v>4817</v>
      </c>
      <c r="B3594" s="32" t="s">
        <v>4818</v>
      </c>
      <c r="C3594" s="32" t="s">
        <v>798</v>
      </c>
      <c r="D3594" s="32" t="s">
        <v>1014</v>
      </c>
      <c r="E3594" s="33" t="s">
        <v>800</v>
      </c>
      <c r="F3594" s="34">
        <v>622550</v>
      </c>
      <c r="G3594" s="34">
        <v>578800</v>
      </c>
      <c r="H3594" s="35" t="s">
        <v>4823</v>
      </c>
    </row>
    <row r="3595" spans="1:8" ht="27" customHeight="1" x14ac:dyDescent="0.2">
      <c r="A3595" s="31" t="s">
        <v>4817</v>
      </c>
      <c r="B3595" s="32" t="s">
        <v>4818</v>
      </c>
      <c r="C3595" s="32" t="s">
        <v>779</v>
      </c>
      <c r="D3595" s="32" t="s">
        <v>876</v>
      </c>
      <c r="E3595" s="33" t="s">
        <v>780</v>
      </c>
      <c r="F3595" s="34">
        <v>704591</v>
      </c>
      <c r="G3595" s="34">
        <v>700310</v>
      </c>
      <c r="H3595" s="35" t="s">
        <v>4824</v>
      </c>
    </row>
    <row r="3596" spans="1:8" ht="27" customHeight="1" x14ac:dyDescent="0.2">
      <c r="A3596" s="31" t="s">
        <v>4817</v>
      </c>
      <c r="B3596" s="32" t="s">
        <v>4818</v>
      </c>
      <c r="C3596" s="32" t="s">
        <v>782</v>
      </c>
      <c r="D3596" s="32" t="s">
        <v>2206</v>
      </c>
      <c r="E3596" s="33" t="s">
        <v>784</v>
      </c>
      <c r="F3596" s="34">
        <v>1948255</v>
      </c>
      <c r="G3596" s="34">
        <v>1854946</v>
      </c>
      <c r="H3596" s="35" t="s">
        <v>4825</v>
      </c>
    </row>
    <row r="3597" spans="1:8" ht="27" customHeight="1" x14ac:dyDescent="0.2">
      <c r="A3597" s="31" t="s">
        <v>4826</v>
      </c>
      <c r="B3597" s="32" t="s">
        <v>4827</v>
      </c>
      <c r="C3597" s="32" t="s">
        <v>770</v>
      </c>
      <c r="D3597" s="32" t="s">
        <v>4828</v>
      </c>
      <c r="E3597" s="33" t="s">
        <v>772</v>
      </c>
      <c r="F3597" s="34">
        <v>2508231</v>
      </c>
      <c r="G3597" s="34">
        <v>2732167</v>
      </c>
      <c r="H3597" s="35" t="s">
        <v>859</v>
      </c>
    </row>
    <row r="3598" spans="1:8" ht="27" customHeight="1" x14ac:dyDescent="0.2">
      <c r="A3598" s="31" t="s">
        <v>4826</v>
      </c>
      <c r="B3598" s="32" t="s">
        <v>4827</v>
      </c>
      <c r="C3598" s="32" t="s">
        <v>796</v>
      </c>
      <c r="D3598" s="32" t="s">
        <v>4829</v>
      </c>
      <c r="E3598" s="33" t="s">
        <v>772</v>
      </c>
      <c r="F3598" s="34">
        <v>2228112</v>
      </c>
      <c r="G3598" s="34">
        <v>2344823</v>
      </c>
      <c r="H3598" s="35" t="s">
        <v>859</v>
      </c>
    </row>
    <row r="3599" spans="1:8" ht="27" customHeight="1" x14ac:dyDescent="0.2">
      <c r="A3599" s="31" t="s">
        <v>4826</v>
      </c>
      <c r="B3599" s="32" t="s">
        <v>4827</v>
      </c>
      <c r="C3599" s="32" t="s">
        <v>779</v>
      </c>
      <c r="D3599" s="32" t="s">
        <v>2829</v>
      </c>
      <c r="E3599" s="33" t="s">
        <v>780</v>
      </c>
      <c r="F3599" s="34">
        <v>343388</v>
      </c>
      <c r="G3599" s="34">
        <v>345963</v>
      </c>
      <c r="H3599" s="35" t="s">
        <v>859</v>
      </c>
    </row>
    <row r="3600" spans="1:8" ht="27" customHeight="1" x14ac:dyDescent="0.2">
      <c r="A3600" s="31" t="s">
        <v>4826</v>
      </c>
      <c r="B3600" s="32" t="s">
        <v>4827</v>
      </c>
      <c r="C3600" s="32" t="s">
        <v>782</v>
      </c>
      <c r="D3600" s="32" t="s">
        <v>4830</v>
      </c>
      <c r="E3600" s="33" t="s">
        <v>784</v>
      </c>
      <c r="F3600" s="34">
        <v>834738</v>
      </c>
      <c r="G3600" s="34">
        <v>840999</v>
      </c>
      <c r="H3600" s="35" t="s">
        <v>859</v>
      </c>
    </row>
    <row r="3601" spans="1:8" ht="27" customHeight="1" x14ac:dyDescent="0.2">
      <c r="A3601" s="31" t="s">
        <v>4831</v>
      </c>
      <c r="B3601" s="32" t="s">
        <v>352</v>
      </c>
      <c r="C3601" s="32" t="s">
        <v>763</v>
      </c>
      <c r="D3601" s="32" t="s">
        <v>4832</v>
      </c>
      <c r="E3601" s="33" t="s">
        <v>764</v>
      </c>
      <c r="F3601" s="34">
        <v>1967188</v>
      </c>
      <c r="G3601" s="34">
        <v>2972438</v>
      </c>
      <c r="H3601" s="35" t="s">
        <v>4833</v>
      </c>
    </row>
    <row r="3602" spans="1:8" ht="27" customHeight="1" x14ac:dyDescent="0.2">
      <c r="A3602" s="31" t="s">
        <v>4831</v>
      </c>
      <c r="B3602" s="32" t="s">
        <v>352</v>
      </c>
      <c r="C3602" s="32" t="s">
        <v>763</v>
      </c>
      <c r="D3602" s="32" t="s">
        <v>4834</v>
      </c>
      <c r="E3602" s="33" t="s">
        <v>764</v>
      </c>
      <c r="F3602" s="34">
        <v>3801597</v>
      </c>
      <c r="G3602" s="34">
        <v>7874292</v>
      </c>
      <c r="H3602" s="35" t="s">
        <v>4835</v>
      </c>
    </row>
    <row r="3603" spans="1:8" ht="27" customHeight="1" x14ac:dyDescent="0.2">
      <c r="A3603" s="31" t="s">
        <v>4831</v>
      </c>
      <c r="B3603" s="32" t="s">
        <v>352</v>
      </c>
      <c r="C3603" s="32" t="s">
        <v>770</v>
      </c>
      <c r="D3603" s="32" t="s">
        <v>1720</v>
      </c>
      <c r="E3603" s="33" t="s">
        <v>772</v>
      </c>
      <c r="F3603" s="34">
        <v>7601000</v>
      </c>
      <c r="G3603" s="34">
        <v>7609250</v>
      </c>
      <c r="H3603" s="35" t="s">
        <v>4836</v>
      </c>
    </row>
    <row r="3604" spans="1:8" ht="27" customHeight="1" x14ac:dyDescent="0.2">
      <c r="A3604" s="31" t="s">
        <v>4831</v>
      </c>
      <c r="B3604" s="32" t="s">
        <v>352</v>
      </c>
      <c r="C3604" s="32" t="s">
        <v>773</v>
      </c>
      <c r="D3604" s="32" t="s">
        <v>973</v>
      </c>
      <c r="E3604" s="33" t="s">
        <v>775</v>
      </c>
      <c r="F3604" s="34">
        <v>430186</v>
      </c>
      <c r="G3604" s="34">
        <v>430711</v>
      </c>
      <c r="H3604" s="35" t="s">
        <v>4836</v>
      </c>
    </row>
    <row r="3605" spans="1:8" ht="27" customHeight="1" x14ac:dyDescent="0.2">
      <c r="A3605" s="31" t="s">
        <v>4831</v>
      </c>
      <c r="B3605" s="32" t="s">
        <v>352</v>
      </c>
      <c r="C3605" s="32" t="s">
        <v>860</v>
      </c>
      <c r="D3605" s="32" t="s">
        <v>911</v>
      </c>
      <c r="E3605" s="33" t="s">
        <v>861</v>
      </c>
      <c r="F3605" s="34">
        <v>405429</v>
      </c>
      <c r="G3605" s="34">
        <v>405929</v>
      </c>
      <c r="H3605" s="35" t="s">
        <v>4836</v>
      </c>
    </row>
    <row r="3606" spans="1:8" ht="27" customHeight="1" x14ac:dyDescent="0.2">
      <c r="A3606" s="31" t="s">
        <v>4831</v>
      </c>
      <c r="B3606" s="32" t="s">
        <v>352</v>
      </c>
      <c r="C3606" s="32" t="s">
        <v>796</v>
      </c>
      <c r="D3606" s="32" t="s">
        <v>1252</v>
      </c>
      <c r="E3606" s="33" t="s">
        <v>823</v>
      </c>
      <c r="F3606" s="34">
        <v>3635568</v>
      </c>
      <c r="G3606" s="34">
        <v>3639568</v>
      </c>
      <c r="H3606" s="35" t="s">
        <v>4836</v>
      </c>
    </row>
    <row r="3607" spans="1:8" ht="27" customHeight="1" x14ac:dyDescent="0.2">
      <c r="A3607" s="31" t="s">
        <v>4831</v>
      </c>
      <c r="B3607" s="32" t="s">
        <v>352</v>
      </c>
      <c r="C3607" s="32" t="s">
        <v>779</v>
      </c>
      <c r="D3607" s="32" t="s">
        <v>876</v>
      </c>
      <c r="E3607" s="33" t="s">
        <v>780</v>
      </c>
      <c r="F3607" s="34">
        <v>169756</v>
      </c>
      <c r="G3607" s="34">
        <v>169956</v>
      </c>
      <c r="H3607" s="35" t="s">
        <v>4836</v>
      </c>
    </row>
    <row r="3608" spans="1:8" ht="27" customHeight="1" x14ac:dyDescent="0.2">
      <c r="A3608" s="31" t="s">
        <v>4831</v>
      </c>
      <c r="B3608" s="32" t="s">
        <v>352</v>
      </c>
      <c r="C3608" s="32" t="s">
        <v>782</v>
      </c>
      <c r="D3608" s="32" t="s">
        <v>813</v>
      </c>
      <c r="E3608" s="33" t="s">
        <v>784</v>
      </c>
      <c r="F3608" s="34">
        <v>1071866</v>
      </c>
      <c r="G3608" s="34">
        <v>1072866</v>
      </c>
      <c r="H3608" s="35" t="s">
        <v>4836</v>
      </c>
    </row>
    <row r="3609" spans="1:8" ht="27" customHeight="1" x14ac:dyDescent="0.2">
      <c r="A3609" s="31" t="s">
        <v>4837</v>
      </c>
      <c r="B3609" s="32" t="s">
        <v>219</v>
      </c>
      <c r="C3609" s="32" t="s">
        <v>763</v>
      </c>
      <c r="D3609" s="32" t="s">
        <v>816</v>
      </c>
      <c r="E3609" s="33" t="s">
        <v>764</v>
      </c>
      <c r="F3609" s="34">
        <v>9516626</v>
      </c>
      <c r="G3609" s="34">
        <v>9516626</v>
      </c>
      <c r="H3609" s="35" t="s">
        <v>4838</v>
      </c>
    </row>
    <row r="3610" spans="1:8" ht="27" customHeight="1" x14ac:dyDescent="0.2">
      <c r="A3610" s="31" t="s">
        <v>4837</v>
      </c>
      <c r="B3610" s="32" t="s">
        <v>219</v>
      </c>
      <c r="C3610" s="32" t="s">
        <v>763</v>
      </c>
      <c r="D3610" s="32" t="s">
        <v>931</v>
      </c>
      <c r="E3610" s="33" t="s">
        <v>764</v>
      </c>
      <c r="F3610" s="34">
        <v>9516626</v>
      </c>
      <c r="G3610" s="34">
        <v>9516626</v>
      </c>
      <c r="H3610" s="35" t="s">
        <v>4838</v>
      </c>
    </row>
    <row r="3611" spans="1:8" ht="27" customHeight="1" x14ac:dyDescent="0.2">
      <c r="A3611" s="31" t="s">
        <v>4837</v>
      </c>
      <c r="B3611" s="32" t="s">
        <v>219</v>
      </c>
      <c r="C3611" s="32" t="s">
        <v>763</v>
      </c>
      <c r="D3611" s="32" t="s">
        <v>816</v>
      </c>
      <c r="E3611" s="33" t="s">
        <v>764</v>
      </c>
      <c r="F3611" s="34">
        <v>104316</v>
      </c>
      <c r="G3611" s="34">
        <v>104316</v>
      </c>
      <c r="H3611" s="35" t="s">
        <v>859</v>
      </c>
    </row>
    <row r="3612" spans="1:8" ht="27" customHeight="1" x14ac:dyDescent="0.2">
      <c r="A3612" s="31" t="s">
        <v>4837</v>
      </c>
      <c r="B3612" s="32" t="s">
        <v>219</v>
      </c>
      <c r="C3612" s="32" t="s">
        <v>763</v>
      </c>
      <c r="D3612" s="32" t="s">
        <v>816</v>
      </c>
      <c r="E3612" s="33" t="s">
        <v>764</v>
      </c>
      <c r="F3612" s="34">
        <v>9516626</v>
      </c>
      <c r="G3612" s="34">
        <v>9516626</v>
      </c>
      <c r="H3612" s="35" t="s">
        <v>4838</v>
      </c>
    </row>
    <row r="3613" spans="1:8" ht="27" customHeight="1" x14ac:dyDescent="0.2">
      <c r="A3613" s="31" t="s">
        <v>4837</v>
      </c>
      <c r="B3613" s="32" t="s">
        <v>219</v>
      </c>
      <c r="C3613" s="32" t="s">
        <v>763</v>
      </c>
      <c r="D3613" s="32" t="s">
        <v>816</v>
      </c>
      <c r="E3613" s="33" t="s">
        <v>764</v>
      </c>
      <c r="F3613" s="34">
        <v>9516626</v>
      </c>
      <c r="G3613" s="34">
        <v>9516626</v>
      </c>
      <c r="H3613" s="35" t="s">
        <v>4838</v>
      </c>
    </row>
    <row r="3614" spans="1:8" ht="27" customHeight="1" x14ac:dyDescent="0.2">
      <c r="A3614" s="31" t="s">
        <v>4837</v>
      </c>
      <c r="B3614" s="32" t="s">
        <v>219</v>
      </c>
      <c r="C3614" s="32" t="s">
        <v>770</v>
      </c>
      <c r="D3614" s="32" t="s">
        <v>810</v>
      </c>
      <c r="E3614" s="33" t="s">
        <v>772</v>
      </c>
      <c r="F3614" s="34">
        <v>7341423</v>
      </c>
      <c r="G3614" s="34">
        <v>8200000</v>
      </c>
      <c r="H3614" s="35" t="s">
        <v>4839</v>
      </c>
    </row>
    <row r="3615" spans="1:8" ht="27" customHeight="1" x14ac:dyDescent="0.2">
      <c r="A3615" s="31" t="s">
        <v>4837</v>
      </c>
      <c r="B3615" s="32" t="s">
        <v>219</v>
      </c>
      <c r="C3615" s="32" t="s">
        <v>844</v>
      </c>
      <c r="D3615" s="32" t="s">
        <v>972</v>
      </c>
      <c r="E3615" s="33" t="s">
        <v>846</v>
      </c>
      <c r="F3615" s="34">
        <v>365074</v>
      </c>
      <c r="G3615" s="34">
        <v>365074</v>
      </c>
      <c r="H3615" s="35" t="s">
        <v>859</v>
      </c>
    </row>
    <row r="3616" spans="1:8" ht="27" customHeight="1" x14ac:dyDescent="0.2">
      <c r="A3616" s="31" t="s">
        <v>4837</v>
      </c>
      <c r="B3616" s="32" t="s">
        <v>219</v>
      </c>
      <c r="C3616" s="32" t="s">
        <v>860</v>
      </c>
      <c r="D3616" s="32" t="s">
        <v>911</v>
      </c>
      <c r="E3616" s="33" t="s">
        <v>861</v>
      </c>
      <c r="F3616" s="34">
        <v>100473</v>
      </c>
      <c r="G3616" s="34">
        <v>100473</v>
      </c>
      <c r="H3616" s="35" t="s">
        <v>859</v>
      </c>
    </row>
    <row r="3617" spans="1:8" ht="27" customHeight="1" x14ac:dyDescent="0.2">
      <c r="A3617" s="31" t="s">
        <v>4837</v>
      </c>
      <c r="B3617" s="32" t="s">
        <v>219</v>
      </c>
      <c r="C3617" s="32" t="s">
        <v>796</v>
      </c>
      <c r="D3617" s="32" t="s">
        <v>811</v>
      </c>
      <c r="E3617" s="33" t="s">
        <v>823</v>
      </c>
      <c r="F3617" s="34">
        <v>7737504</v>
      </c>
      <c r="G3617" s="34">
        <v>10000000</v>
      </c>
      <c r="H3617" s="35" t="s">
        <v>4840</v>
      </c>
    </row>
    <row r="3618" spans="1:8" ht="27" customHeight="1" x14ac:dyDescent="0.2">
      <c r="A3618" s="31" t="s">
        <v>4837</v>
      </c>
      <c r="B3618" s="32" t="s">
        <v>219</v>
      </c>
      <c r="C3618" s="32" t="s">
        <v>779</v>
      </c>
      <c r="D3618" s="32" t="s">
        <v>876</v>
      </c>
      <c r="E3618" s="33" t="s">
        <v>780</v>
      </c>
      <c r="F3618" s="34">
        <v>167726</v>
      </c>
      <c r="G3618" s="34">
        <v>200000</v>
      </c>
      <c r="H3618" s="35" t="s">
        <v>4841</v>
      </c>
    </row>
    <row r="3619" spans="1:8" ht="27" customHeight="1" x14ac:dyDescent="0.2">
      <c r="A3619" s="31" t="s">
        <v>4837</v>
      </c>
      <c r="B3619" s="32" t="s">
        <v>219</v>
      </c>
      <c r="C3619" s="32" t="s">
        <v>782</v>
      </c>
      <c r="D3619" s="32" t="s">
        <v>4842</v>
      </c>
      <c r="E3619" s="33" t="s">
        <v>784</v>
      </c>
      <c r="F3619" s="34">
        <v>5608609</v>
      </c>
      <c r="G3619" s="34">
        <v>6000000</v>
      </c>
      <c r="H3619" s="35" t="s">
        <v>4843</v>
      </c>
    </row>
    <row r="3620" spans="1:8" ht="27" customHeight="1" x14ac:dyDescent="0.2">
      <c r="A3620" s="31" t="s">
        <v>4844</v>
      </c>
      <c r="B3620" s="32" t="s">
        <v>4845</v>
      </c>
      <c r="C3620" s="32" t="s">
        <v>770</v>
      </c>
      <c r="D3620" s="32" t="s">
        <v>1011</v>
      </c>
      <c r="E3620" s="33" t="s">
        <v>772</v>
      </c>
      <c r="F3620" s="34">
        <v>4606882</v>
      </c>
      <c r="G3620" s="34">
        <v>4166882</v>
      </c>
      <c r="H3620" s="35" t="s">
        <v>4846</v>
      </c>
    </row>
    <row r="3621" spans="1:8" ht="27" customHeight="1" x14ac:dyDescent="0.2">
      <c r="A3621" s="31" t="s">
        <v>4844</v>
      </c>
      <c r="B3621" s="32" t="s">
        <v>4845</v>
      </c>
      <c r="C3621" s="32" t="s">
        <v>796</v>
      </c>
      <c r="D3621" s="32" t="s">
        <v>822</v>
      </c>
      <c r="E3621" s="33" t="s">
        <v>823</v>
      </c>
      <c r="F3621" s="34">
        <v>5270325</v>
      </c>
      <c r="G3621" s="34">
        <v>5270325</v>
      </c>
      <c r="H3621" s="35" t="s">
        <v>4847</v>
      </c>
    </row>
    <row r="3622" spans="1:8" ht="27" customHeight="1" x14ac:dyDescent="0.2">
      <c r="A3622" s="31" t="s">
        <v>4844</v>
      </c>
      <c r="B3622" s="32" t="s">
        <v>4845</v>
      </c>
      <c r="C3622" s="32" t="s">
        <v>779</v>
      </c>
      <c r="D3622" s="32" t="s">
        <v>802</v>
      </c>
      <c r="E3622" s="33" t="s">
        <v>780</v>
      </c>
      <c r="F3622" s="34">
        <v>755655</v>
      </c>
      <c r="G3622" s="34">
        <v>755655</v>
      </c>
      <c r="H3622" s="35" t="s">
        <v>4848</v>
      </c>
    </row>
    <row r="3623" spans="1:8" ht="27" customHeight="1" x14ac:dyDescent="0.2">
      <c r="A3623" s="31" t="s">
        <v>4844</v>
      </c>
      <c r="B3623" s="32" t="s">
        <v>4845</v>
      </c>
      <c r="C3623" s="32" t="s">
        <v>782</v>
      </c>
      <c r="D3623" s="32" t="s">
        <v>901</v>
      </c>
      <c r="E3623" s="33" t="s">
        <v>784</v>
      </c>
      <c r="F3623" s="34">
        <v>1128499</v>
      </c>
      <c r="G3623" s="34">
        <v>1128499</v>
      </c>
      <c r="H3623" s="35" t="s">
        <v>4849</v>
      </c>
    </row>
    <row r="3624" spans="1:8" ht="27" customHeight="1" x14ac:dyDescent="0.2">
      <c r="A3624" s="31" t="s">
        <v>4850</v>
      </c>
      <c r="B3624" s="32" t="s">
        <v>151</v>
      </c>
      <c r="C3624" s="32" t="s">
        <v>770</v>
      </c>
      <c r="D3624" s="32" t="s">
        <v>4851</v>
      </c>
      <c r="E3624" s="33" t="s">
        <v>772</v>
      </c>
      <c r="F3624" s="34">
        <v>29267134</v>
      </c>
      <c r="G3624" s="34">
        <v>27772751</v>
      </c>
      <c r="H3624" s="35" t="s">
        <v>4852</v>
      </c>
    </row>
    <row r="3625" spans="1:8" ht="27" customHeight="1" x14ac:dyDescent="0.2">
      <c r="A3625" s="31" t="s">
        <v>4850</v>
      </c>
      <c r="B3625" s="32" t="s">
        <v>151</v>
      </c>
      <c r="C3625" s="32" t="s">
        <v>844</v>
      </c>
      <c r="D3625" s="32" t="s">
        <v>4853</v>
      </c>
      <c r="E3625" s="33" t="s">
        <v>846</v>
      </c>
      <c r="F3625" s="34">
        <v>2876409</v>
      </c>
      <c r="G3625" s="34">
        <v>2905173</v>
      </c>
      <c r="H3625" s="35" t="s">
        <v>4854</v>
      </c>
    </row>
    <row r="3626" spans="1:8" ht="27" customHeight="1" x14ac:dyDescent="0.2">
      <c r="A3626" s="31" t="s">
        <v>4850</v>
      </c>
      <c r="B3626" s="32" t="s">
        <v>151</v>
      </c>
      <c r="C3626" s="32" t="s">
        <v>796</v>
      </c>
      <c r="D3626" s="32" t="s">
        <v>4855</v>
      </c>
      <c r="E3626" s="33" t="s">
        <v>823</v>
      </c>
      <c r="F3626" s="34">
        <v>6297434</v>
      </c>
      <c r="G3626" s="34">
        <v>6360408</v>
      </c>
      <c r="H3626" s="35" t="s">
        <v>4856</v>
      </c>
    </row>
    <row r="3627" spans="1:8" ht="27" customHeight="1" x14ac:dyDescent="0.2">
      <c r="A3627" s="31" t="s">
        <v>4850</v>
      </c>
      <c r="B3627" s="32" t="s">
        <v>151</v>
      </c>
      <c r="C3627" s="32" t="s">
        <v>779</v>
      </c>
      <c r="D3627" s="32" t="s">
        <v>4857</v>
      </c>
      <c r="E3627" s="33" t="s">
        <v>780</v>
      </c>
      <c r="F3627" s="34">
        <v>86369</v>
      </c>
      <c r="G3627" s="34">
        <v>87233</v>
      </c>
      <c r="H3627" s="35" t="s">
        <v>4858</v>
      </c>
    </row>
    <row r="3628" spans="1:8" ht="27" customHeight="1" x14ac:dyDescent="0.2">
      <c r="A3628" s="31" t="s">
        <v>4850</v>
      </c>
      <c r="B3628" s="32" t="s">
        <v>151</v>
      </c>
      <c r="C3628" s="32" t="s">
        <v>782</v>
      </c>
      <c r="D3628" s="32" t="s">
        <v>4859</v>
      </c>
      <c r="E3628" s="33" t="s">
        <v>784</v>
      </c>
      <c r="F3628" s="34">
        <v>2897885</v>
      </c>
      <c r="G3628" s="34">
        <v>2926864</v>
      </c>
      <c r="H3628" s="35" t="s">
        <v>4860</v>
      </c>
    </row>
    <row r="3629" spans="1:8" ht="27" customHeight="1" x14ac:dyDescent="0.2">
      <c r="A3629" s="31" t="s">
        <v>4861</v>
      </c>
      <c r="B3629" s="32" t="s">
        <v>4862</v>
      </c>
      <c r="C3629" s="32" t="s">
        <v>763</v>
      </c>
      <c r="D3629" s="32" t="s">
        <v>1266</v>
      </c>
      <c r="E3629" s="33" t="s">
        <v>764</v>
      </c>
      <c r="F3629" s="34">
        <v>2303243</v>
      </c>
      <c r="G3629" s="34">
        <v>2303243</v>
      </c>
      <c r="H3629" s="35" t="s">
        <v>1040</v>
      </c>
    </row>
    <row r="3630" spans="1:8" ht="27" customHeight="1" x14ac:dyDescent="0.2">
      <c r="A3630" s="31" t="s">
        <v>4861</v>
      </c>
      <c r="B3630" s="32" t="s">
        <v>4862</v>
      </c>
      <c r="C3630" s="32" t="s">
        <v>770</v>
      </c>
      <c r="D3630" s="32" t="s">
        <v>4863</v>
      </c>
      <c r="E3630" s="33" t="s">
        <v>772</v>
      </c>
      <c r="F3630" s="34">
        <v>9628115</v>
      </c>
      <c r="G3630" s="34">
        <v>8812678</v>
      </c>
      <c r="H3630" s="35" t="s">
        <v>4864</v>
      </c>
    </row>
    <row r="3631" spans="1:8" ht="27" customHeight="1" x14ac:dyDescent="0.2">
      <c r="A3631" s="31" t="s">
        <v>4861</v>
      </c>
      <c r="B3631" s="32" t="s">
        <v>4862</v>
      </c>
      <c r="C3631" s="32" t="s">
        <v>773</v>
      </c>
      <c r="D3631" s="32" t="s">
        <v>4865</v>
      </c>
      <c r="E3631" s="33" t="s">
        <v>775</v>
      </c>
      <c r="F3631" s="34">
        <v>76225</v>
      </c>
      <c r="G3631" s="34">
        <v>76225</v>
      </c>
      <c r="H3631" s="35" t="s">
        <v>1040</v>
      </c>
    </row>
    <row r="3632" spans="1:8" ht="27" customHeight="1" x14ac:dyDescent="0.2">
      <c r="A3632" s="31" t="s">
        <v>4861</v>
      </c>
      <c r="B3632" s="32" t="s">
        <v>4862</v>
      </c>
      <c r="C3632" s="32" t="s">
        <v>796</v>
      </c>
      <c r="D3632" s="32" t="s">
        <v>796</v>
      </c>
      <c r="E3632" s="33" t="s">
        <v>772</v>
      </c>
      <c r="F3632" s="34">
        <v>5910902</v>
      </c>
      <c r="G3632" s="34">
        <v>5910902</v>
      </c>
      <c r="H3632" s="35" t="s">
        <v>1040</v>
      </c>
    </row>
    <row r="3633" spans="1:8" ht="27" customHeight="1" x14ac:dyDescent="0.2">
      <c r="A3633" s="31" t="s">
        <v>4861</v>
      </c>
      <c r="B3633" s="32" t="s">
        <v>4862</v>
      </c>
      <c r="C3633" s="32" t="s">
        <v>782</v>
      </c>
      <c r="D3633" s="32" t="s">
        <v>783</v>
      </c>
      <c r="E3633" s="33" t="s">
        <v>784</v>
      </c>
      <c r="F3633" s="34">
        <v>1816875</v>
      </c>
      <c r="G3633" s="34">
        <v>1816875</v>
      </c>
      <c r="H3633" s="35" t="s">
        <v>1040</v>
      </c>
    </row>
    <row r="3634" spans="1:8" ht="27" customHeight="1" x14ac:dyDescent="0.2">
      <c r="A3634" s="31" t="s">
        <v>4866</v>
      </c>
      <c r="B3634" s="32" t="s">
        <v>4867</v>
      </c>
      <c r="C3634" s="32" t="s">
        <v>763</v>
      </c>
      <c r="D3634" s="32" t="s">
        <v>816</v>
      </c>
      <c r="E3634" s="33" t="s">
        <v>764</v>
      </c>
      <c r="F3634" s="34">
        <v>2957533</v>
      </c>
      <c r="G3634" s="34">
        <v>2907533</v>
      </c>
      <c r="H3634" s="35" t="s">
        <v>4868</v>
      </c>
    </row>
    <row r="3635" spans="1:8" ht="27" customHeight="1" x14ac:dyDescent="0.2">
      <c r="A3635" s="31" t="s">
        <v>4866</v>
      </c>
      <c r="B3635" s="32" t="s">
        <v>4867</v>
      </c>
      <c r="C3635" s="32" t="s">
        <v>770</v>
      </c>
      <c r="D3635" s="32" t="s">
        <v>4869</v>
      </c>
      <c r="E3635" s="33" t="s">
        <v>772</v>
      </c>
      <c r="F3635" s="34">
        <v>122428</v>
      </c>
      <c r="G3635" s="34">
        <v>122428</v>
      </c>
      <c r="H3635" s="35" t="s">
        <v>771</v>
      </c>
    </row>
    <row r="3636" spans="1:8" ht="27" customHeight="1" x14ac:dyDescent="0.2">
      <c r="A3636" s="31" t="s">
        <v>4866</v>
      </c>
      <c r="B3636" s="32" t="s">
        <v>4867</v>
      </c>
      <c r="C3636" s="32" t="s">
        <v>860</v>
      </c>
      <c r="D3636" s="32" t="s">
        <v>911</v>
      </c>
      <c r="E3636" s="33" t="s">
        <v>861</v>
      </c>
      <c r="F3636" s="34">
        <v>128785</v>
      </c>
      <c r="G3636" s="34">
        <v>128785</v>
      </c>
      <c r="H3636" s="35" t="s">
        <v>4870</v>
      </c>
    </row>
    <row r="3637" spans="1:8" ht="27" customHeight="1" x14ac:dyDescent="0.2">
      <c r="A3637" s="31" t="s">
        <v>4866</v>
      </c>
      <c r="B3637" s="32" t="s">
        <v>4867</v>
      </c>
      <c r="C3637" s="32" t="s">
        <v>796</v>
      </c>
      <c r="D3637" s="32" t="s">
        <v>796</v>
      </c>
      <c r="E3637" s="33" t="s">
        <v>772</v>
      </c>
      <c r="F3637" s="34">
        <v>922261</v>
      </c>
      <c r="G3637" s="34">
        <v>922261</v>
      </c>
      <c r="H3637" s="35" t="s">
        <v>1050</v>
      </c>
    </row>
    <row r="3638" spans="1:8" ht="27" customHeight="1" x14ac:dyDescent="0.2">
      <c r="A3638" s="31" t="s">
        <v>4866</v>
      </c>
      <c r="B3638" s="32" t="s">
        <v>4867</v>
      </c>
      <c r="C3638" s="32" t="s">
        <v>779</v>
      </c>
      <c r="D3638" s="32" t="s">
        <v>779</v>
      </c>
      <c r="E3638" s="33" t="s">
        <v>780</v>
      </c>
      <c r="F3638" s="34">
        <v>50230</v>
      </c>
      <c r="G3638" s="34">
        <v>50230</v>
      </c>
      <c r="H3638" s="35" t="s">
        <v>2275</v>
      </c>
    </row>
    <row r="3639" spans="1:8" ht="27" customHeight="1" x14ac:dyDescent="0.2">
      <c r="A3639" s="31" t="s">
        <v>4866</v>
      </c>
      <c r="B3639" s="32" t="s">
        <v>4867</v>
      </c>
      <c r="C3639" s="32" t="s">
        <v>782</v>
      </c>
      <c r="D3639" s="32" t="s">
        <v>782</v>
      </c>
      <c r="E3639" s="33" t="s">
        <v>784</v>
      </c>
      <c r="F3639" s="34">
        <v>150000</v>
      </c>
      <c r="G3639" s="34">
        <v>150000</v>
      </c>
      <c r="H3639" s="35" t="s">
        <v>4871</v>
      </c>
    </row>
    <row r="3640" spans="1:8" ht="27" customHeight="1" x14ac:dyDescent="0.2">
      <c r="A3640" s="31" t="s">
        <v>4872</v>
      </c>
      <c r="B3640" s="32" t="s">
        <v>4873</v>
      </c>
      <c r="C3640" s="32" t="s">
        <v>763</v>
      </c>
      <c r="D3640" s="32" t="s">
        <v>816</v>
      </c>
      <c r="E3640" s="33" t="s">
        <v>764</v>
      </c>
      <c r="F3640" s="34">
        <v>2010500</v>
      </c>
      <c r="G3640" s="34">
        <v>5014000</v>
      </c>
      <c r="H3640" s="35" t="s">
        <v>829</v>
      </c>
    </row>
    <row r="3641" spans="1:8" ht="27" customHeight="1" x14ac:dyDescent="0.2">
      <c r="A3641" s="31" t="s">
        <v>4872</v>
      </c>
      <c r="B3641" s="32" t="s">
        <v>4873</v>
      </c>
      <c r="C3641" s="32" t="s">
        <v>770</v>
      </c>
      <c r="D3641" s="32" t="s">
        <v>919</v>
      </c>
      <c r="E3641" s="33" t="s">
        <v>772</v>
      </c>
      <c r="F3641" s="34">
        <v>2580552</v>
      </c>
      <c r="G3641" s="34">
        <v>2581502</v>
      </c>
      <c r="H3641" s="35" t="s">
        <v>829</v>
      </c>
    </row>
    <row r="3642" spans="1:8" ht="27" customHeight="1" x14ac:dyDescent="0.2">
      <c r="A3642" s="31" t="s">
        <v>4872</v>
      </c>
      <c r="B3642" s="32" t="s">
        <v>4873</v>
      </c>
      <c r="C3642" s="32" t="s">
        <v>860</v>
      </c>
      <c r="D3642" s="32" t="s">
        <v>911</v>
      </c>
      <c r="E3642" s="33" t="s">
        <v>861</v>
      </c>
      <c r="F3642" s="34">
        <v>26974</v>
      </c>
      <c r="G3642" s="34">
        <v>26984</v>
      </c>
      <c r="H3642" s="35" t="s">
        <v>829</v>
      </c>
    </row>
    <row r="3643" spans="1:8" ht="27" customHeight="1" x14ac:dyDescent="0.2">
      <c r="A3643" s="31" t="s">
        <v>4872</v>
      </c>
      <c r="B3643" s="32" t="s">
        <v>4873</v>
      </c>
      <c r="C3643" s="32" t="s">
        <v>796</v>
      </c>
      <c r="D3643" s="32" t="s">
        <v>796</v>
      </c>
      <c r="E3643" s="33" t="s">
        <v>772</v>
      </c>
      <c r="F3643" s="34">
        <v>5154941</v>
      </c>
      <c r="G3643" s="34">
        <v>6552326</v>
      </c>
      <c r="H3643" s="35" t="s">
        <v>4874</v>
      </c>
    </row>
    <row r="3644" spans="1:8" ht="27" customHeight="1" x14ac:dyDescent="0.2">
      <c r="A3644" s="31" t="s">
        <v>4872</v>
      </c>
      <c r="B3644" s="32" t="s">
        <v>4873</v>
      </c>
      <c r="C3644" s="32" t="s">
        <v>798</v>
      </c>
      <c r="D3644" s="32" t="s">
        <v>4875</v>
      </c>
      <c r="E3644" s="33" t="s">
        <v>800</v>
      </c>
      <c r="F3644" s="34">
        <v>3649115</v>
      </c>
      <c r="G3644" s="34">
        <v>3656365</v>
      </c>
      <c r="H3644" s="35" t="s">
        <v>829</v>
      </c>
    </row>
    <row r="3645" spans="1:8" ht="27" customHeight="1" x14ac:dyDescent="0.2">
      <c r="A3645" s="31" t="s">
        <v>4872</v>
      </c>
      <c r="B3645" s="32" t="s">
        <v>4873</v>
      </c>
      <c r="C3645" s="32" t="s">
        <v>779</v>
      </c>
      <c r="D3645" s="32" t="s">
        <v>876</v>
      </c>
      <c r="E3645" s="33" t="s">
        <v>780</v>
      </c>
      <c r="F3645" s="34">
        <v>1223718</v>
      </c>
      <c r="G3645" s="34">
        <v>1224168</v>
      </c>
      <c r="H3645" s="35" t="s">
        <v>4876</v>
      </c>
    </row>
    <row r="3646" spans="1:8" ht="27" customHeight="1" x14ac:dyDescent="0.2">
      <c r="A3646" s="31" t="s">
        <v>4872</v>
      </c>
      <c r="B3646" s="32" t="s">
        <v>4873</v>
      </c>
      <c r="C3646" s="32" t="s">
        <v>782</v>
      </c>
      <c r="D3646" s="32" t="s">
        <v>813</v>
      </c>
      <c r="E3646" s="33" t="s">
        <v>784</v>
      </c>
      <c r="F3646" s="34">
        <v>1628650</v>
      </c>
      <c r="G3646" s="34">
        <v>1629250</v>
      </c>
      <c r="H3646" s="35" t="s">
        <v>4877</v>
      </c>
    </row>
    <row r="3647" spans="1:8" ht="27" customHeight="1" x14ac:dyDescent="0.2">
      <c r="A3647" s="31" t="s">
        <v>4878</v>
      </c>
      <c r="B3647" s="32" t="s">
        <v>4879</v>
      </c>
      <c r="C3647" s="32" t="s">
        <v>766</v>
      </c>
      <c r="D3647" s="32" t="s">
        <v>818</v>
      </c>
      <c r="E3647" s="33" t="s">
        <v>768</v>
      </c>
      <c r="F3647" s="34">
        <v>16063</v>
      </c>
      <c r="G3647" s="34">
        <v>16063</v>
      </c>
      <c r="H3647" s="35" t="s">
        <v>4880</v>
      </c>
    </row>
    <row r="3648" spans="1:8" ht="27" customHeight="1" x14ac:dyDescent="0.2">
      <c r="A3648" s="31" t="s">
        <v>4878</v>
      </c>
      <c r="B3648" s="32" t="s">
        <v>4879</v>
      </c>
      <c r="C3648" s="32" t="s">
        <v>770</v>
      </c>
      <c r="D3648" s="32" t="s">
        <v>1136</v>
      </c>
      <c r="E3648" s="33" t="s">
        <v>772</v>
      </c>
      <c r="F3648" s="34">
        <v>4877107</v>
      </c>
      <c r="G3648" s="34">
        <v>4658942</v>
      </c>
      <c r="H3648" s="35" t="s">
        <v>4881</v>
      </c>
    </row>
    <row r="3649" spans="1:8" ht="27" customHeight="1" x14ac:dyDescent="0.2">
      <c r="A3649" s="31" t="s">
        <v>4878</v>
      </c>
      <c r="B3649" s="32" t="s">
        <v>4879</v>
      </c>
      <c r="C3649" s="32" t="s">
        <v>860</v>
      </c>
      <c r="D3649" s="32" t="s">
        <v>1027</v>
      </c>
      <c r="E3649" s="33" t="s">
        <v>861</v>
      </c>
      <c r="F3649" s="34">
        <v>451749</v>
      </c>
      <c r="G3649" s="34">
        <v>1301749</v>
      </c>
      <c r="H3649" s="35" t="s">
        <v>4882</v>
      </c>
    </row>
    <row r="3650" spans="1:8" ht="27" customHeight="1" x14ac:dyDescent="0.2">
      <c r="A3650" s="31" t="s">
        <v>4878</v>
      </c>
      <c r="B3650" s="32" t="s">
        <v>4879</v>
      </c>
      <c r="C3650" s="32" t="s">
        <v>796</v>
      </c>
      <c r="D3650" s="32" t="s">
        <v>1149</v>
      </c>
      <c r="E3650" s="33" t="s">
        <v>772</v>
      </c>
      <c r="F3650" s="34">
        <v>458543</v>
      </c>
      <c r="G3650" s="34">
        <v>458543</v>
      </c>
      <c r="H3650" s="35" t="s">
        <v>4883</v>
      </c>
    </row>
    <row r="3651" spans="1:8" ht="27" customHeight="1" x14ac:dyDescent="0.2">
      <c r="A3651" s="31" t="s">
        <v>4878</v>
      </c>
      <c r="B3651" s="32" t="s">
        <v>4879</v>
      </c>
      <c r="C3651" s="32" t="s">
        <v>779</v>
      </c>
      <c r="D3651" s="32" t="s">
        <v>802</v>
      </c>
      <c r="E3651" s="33" t="s">
        <v>780</v>
      </c>
      <c r="F3651" s="34">
        <v>1035471</v>
      </c>
      <c r="G3651" s="34">
        <v>1035471</v>
      </c>
      <c r="H3651" s="35" t="s">
        <v>4884</v>
      </c>
    </row>
    <row r="3652" spans="1:8" ht="27" customHeight="1" x14ac:dyDescent="0.2">
      <c r="A3652" s="31" t="s">
        <v>4878</v>
      </c>
      <c r="B3652" s="32" t="s">
        <v>4879</v>
      </c>
      <c r="C3652" s="32" t="s">
        <v>782</v>
      </c>
      <c r="D3652" s="32" t="s">
        <v>4885</v>
      </c>
      <c r="E3652" s="33" t="s">
        <v>784</v>
      </c>
      <c r="F3652" s="34">
        <v>897572</v>
      </c>
      <c r="G3652" s="34">
        <v>1603740</v>
      </c>
      <c r="H3652" s="35" t="s">
        <v>4886</v>
      </c>
    </row>
    <row r="3653" spans="1:8" ht="27" customHeight="1" x14ac:dyDescent="0.2">
      <c r="A3653" s="31" t="s">
        <v>4887</v>
      </c>
      <c r="B3653" s="32" t="s">
        <v>4888</v>
      </c>
      <c r="C3653" s="32" t="s">
        <v>763</v>
      </c>
      <c r="D3653" s="32" t="s">
        <v>763</v>
      </c>
      <c r="E3653" s="33" t="s">
        <v>764</v>
      </c>
      <c r="F3653" s="34">
        <v>167227</v>
      </c>
      <c r="G3653" s="34">
        <v>172806</v>
      </c>
      <c r="H3653" s="35" t="s">
        <v>859</v>
      </c>
    </row>
    <row r="3654" spans="1:8" ht="27" customHeight="1" x14ac:dyDescent="0.2">
      <c r="A3654" s="31" t="s">
        <v>4887</v>
      </c>
      <c r="B3654" s="32" t="s">
        <v>4888</v>
      </c>
      <c r="C3654" s="32" t="s">
        <v>770</v>
      </c>
      <c r="D3654" s="32" t="s">
        <v>770</v>
      </c>
      <c r="E3654" s="33" t="s">
        <v>772</v>
      </c>
      <c r="F3654" s="34">
        <v>286893</v>
      </c>
      <c r="G3654" s="34">
        <v>287886</v>
      </c>
      <c r="H3654" s="35" t="s">
        <v>859</v>
      </c>
    </row>
    <row r="3655" spans="1:8" ht="27" customHeight="1" x14ac:dyDescent="0.2">
      <c r="A3655" s="31" t="s">
        <v>4887</v>
      </c>
      <c r="B3655" s="32" t="s">
        <v>4888</v>
      </c>
      <c r="C3655" s="32" t="s">
        <v>796</v>
      </c>
      <c r="D3655" s="32" t="s">
        <v>796</v>
      </c>
      <c r="E3655" s="33" t="s">
        <v>823</v>
      </c>
      <c r="F3655" s="34">
        <v>66785</v>
      </c>
      <c r="G3655" s="34">
        <v>67016</v>
      </c>
      <c r="H3655" s="35" t="s">
        <v>859</v>
      </c>
    </row>
    <row r="3656" spans="1:8" ht="27" customHeight="1" x14ac:dyDescent="0.2">
      <c r="A3656" s="31" t="s">
        <v>4887</v>
      </c>
      <c r="B3656" s="32" t="s">
        <v>4888</v>
      </c>
      <c r="C3656" s="32" t="s">
        <v>779</v>
      </c>
      <c r="D3656" s="32" t="s">
        <v>779</v>
      </c>
      <c r="E3656" s="33" t="s">
        <v>780</v>
      </c>
      <c r="F3656" s="34">
        <v>143674</v>
      </c>
      <c r="G3656" s="34">
        <v>144171</v>
      </c>
      <c r="H3656" s="35" t="s">
        <v>859</v>
      </c>
    </row>
    <row r="3657" spans="1:8" ht="27" customHeight="1" x14ac:dyDescent="0.2">
      <c r="A3657" s="31" t="s">
        <v>4889</v>
      </c>
      <c r="B3657" s="32" t="s">
        <v>4890</v>
      </c>
      <c r="C3657" s="32" t="s">
        <v>763</v>
      </c>
      <c r="D3657" s="32" t="s">
        <v>3023</v>
      </c>
      <c r="E3657" s="33" t="s">
        <v>764</v>
      </c>
      <c r="F3657" s="34">
        <v>12990843</v>
      </c>
      <c r="G3657" s="34">
        <v>0</v>
      </c>
      <c r="H3657" s="35" t="s">
        <v>4891</v>
      </c>
    </row>
    <row r="3658" spans="1:8" ht="27" customHeight="1" x14ac:dyDescent="0.2">
      <c r="A3658" s="31" t="s">
        <v>4889</v>
      </c>
      <c r="B3658" s="32" t="s">
        <v>4890</v>
      </c>
      <c r="C3658" s="32" t="s">
        <v>763</v>
      </c>
      <c r="D3658" s="32" t="s">
        <v>1283</v>
      </c>
      <c r="E3658" s="33" t="s">
        <v>764</v>
      </c>
      <c r="F3658" s="34">
        <v>311477</v>
      </c>
      <c r="G3658" s="34">
        <v>0</v>
      </c>
      <c r="H3658" s="35" t="s">
        <v>4891</v>
      </c>
    </row>
    <row r="3659" spans="1:8" ht="27" customHeight="1" x14ac:dyDescent="0.2">
      <c r="A3659" s="31" t="s">
        <v>4889</v>
      </c>
      <c r="B3659" s="32" t="s">
        <v>4890</v>
      </c>
      <c r="C3659" s="32" t="s">
        <v>770</v>
      </c>
      <c r="D3659" s="32" t="s">
        <v>4892</v>
      </c>
      <c r="E3659" s="33" t="s">
        <v>772</v>
      </c>
      <c r="F3659" s="34">
        <v>7903702</v>
      </c>
      <c r="G3659" s="34">
        <v>9482739</v>
      </c>
      <c r="H3659" s="35" t="s">
        <v>829</v>
      </c>
    </row>
    <row r="3660" spans="1:8" ht="27" customHeight="1" x14ac:dyDescent="0.2">
      <c r="A3660" s="31" t="s">
        <v>4889</v>
      </c>
      <c r="B3660" s="32" t="s">
        <v>4890</v>
      </c>
      <c r="C3660" s="32" t="s">
        <v>773</v>
      </c>
      <c r="D3660" s="32" t="s">
        <v>4893</v>
      </c>
      <c r="E3660" s="33" t="s">
        <v>775</v>
      </c>
      <c r="F3660" s="34">
        <v>568558</v>
      </c>
      <c r="G3660" s="34">
        <v>574244</v>
      </c>
      <c r="H3660" s="35" t="s">
        <v>829</v>
      </c>
    </row>
    <row r="3661" spans="1:8" ht="27" customHeight="1" x14ac:dyDescent="0.2">
      <c r="A3661" s="31" t="s">
        <v>4889</v>
      </c>
      <c r="B3661" s="32" t="s">
        <v>4890</v>
      </c>
      <c r="C3661" s="32" t="s">
        <v>773</v>
      </c>
      <c r="D3661" s="32" t="s">
        <v>4894</v>
      </c>
      <c r="E3661" s="33" t="s">
        <v>775</v>
      </c>
      <c r="F3661" s="34">
        <v>1145439</v>
      </c>
      <c r="G3661" s="34">
        <v>1556893</v>
      </c>
      <c r="H3661" s="35" t="s">
        <v>829</v>
      </c>
    </row>
    <row r="3662" spans="1:8" ht="27" customHeight="1" x14ac:dyDescent="0.2">
      <c r="A3662" s="31" t="s">
        <v>4889</v>
      </c>
      <c r="B3662" s="32" t="s">
        <v>4890</v>
      </c>
      <c r="C3662" s="32" t="s">
        <v>773</v>
      </c>
      <c r="D3662" s="32" t="s">
        <v>4895</v>
      </c>
      <c r="E3662" s="33" t="s">
        <v>775</v>
      </c>
      <c r="F3662" s="34">
        <v>508886</v>
      </c>
      <c r="G3662" s="34">
        <v>513975</v>
      </c>
      <c r="H3662" s="35" t="s">
        <v>829</v>
      </c>
    </row>
    <row r="3663" spans="1:8" ht="27" customHeight="1" x14ac:dyDescent="0.2">
      <c r="A3663" s="31" t="s">
        <v>4889</v>
      </c>
      <c r="B3663" s="32" t="s">
        <v>4890</v>
      </c>
      <c r="C3663" s="32" t="s">
        <v>796</v>
      </c>
      <c r="D3663" s="32" t="s">
        <v>835</v>
      </c>
      <c r="E3663" s="33" t="s">
        <v>772</v>
      </c>
      <c r="F3663" s="34">
        <v>8345606</v>
      </c>
      <c r="G3663" s="34">
        <v>8929062</v>
      </c>
      <c r="H3663" s="35" t="s">
        <v>829</v>
      </c>
    </row>
    <row r="3664" spans="1:8" ht="27" customHeight="1" x14ac:dyDescent="0.2">
      <c r="A3664" s="31" t="s">
        <v>4889</v>
      </c>
      <c r="B3664" s="32" t="s">
        <v>4890</v>
      </c>
      <c r="C3664" s="32" t="s">
        <v>779</v>
      </c>
      <c r="D3664" s="32" t="s">
        <v>826</v>
      </c>
      <c r="E3664" s="33" t="s">
        <v>780</v>
      </c>
      <c r="F3664" s="34">
        <v>455676</v>
      </c>
      <c r="G3664" s="34">
        <v>460233</v>
      </c>
      <c r="H3664" s="35" t="s">
        <v>4896</v>
      </c>
    </row>
    <row r="3665" spans="1:8" ht="27" customHeight="1" x14ac:dyDescent="0.2">
      <c r="A3665" s="31" t="s">
        <v>4889</v>
      </c>
      <c r="B3665" s="32" t="s">
        <v>4890</v>
      </c>
      <c r="C3665" s="32" t="s">
        <v>782</v>
      </c>
      <c r="D3665" s="32" t="s">
        <v>964</v>
      </c>
      <c r="E3665" s="33" t="s">
        <v>784</v>
      </c>
      <c r="F3665" s="34">
        <v>3211695</v>
      </c>
      <c r="G3665" s="34">
        <v>4643812</v>
      </c>
      <c r="H3665" s="35" t="s">
        <v>829</v>
      </c>
    </row>
    <row r="3666" spans="1:8" ht="27" customHeight="1" x14ac:dyDescent="0.2">
      <c r="A3666" s="31" t="s">
        <v>4897</v>
      </c>
      <c r="B3666" s="32" t="s">
        <v>403</v>
      </c>
      <c r="C3666" s="32" t="s">
        <v>763</v>
      </c>
      <c r="D3666" s="32" t="s">
        <v>816</v>
      </c>
      <c r="E3666" s="33" t="s">
        <v>764</v>
      </c>
      <c r="F3666" s="34">
        <v>1098116</v>
      </c>
      <c r="G3666" s="34">
        <v>1100840</v>
      </c>
      <c r="H3666" s="35" t="s">
        <v>1049</v>
      </c>
    </row>
    <row r="3667" spans="1:8" ht="27" customHeight="1" x14ac:dyDescent="0.2">
      <c r="A3667" s="31" t="s">
        <v>4897</v>
      </c>
      <c r="B3667" s="32" t="s">
        <v>403</v>
      </c>
      <c r="C3667" s="32" t="s">
        <v>766</v>
      </c>
      <c r="D3667" s="32" t="s">
        <v>832</v>
      </c>
      <c r="E3667" s="33" t="s">
        <v>768</v>
      </c>
      <c r="F3667" s="34">
        <v>820227</v>
      </c>
      <c r="G3667" s="34">
        <v>822262</v>
      </c>
      <c r="H3667" s="35" t="s">
        <v>4898</v>
      </c>
    </row>
    <row r="3668" spans="1:8" ht="27" customHeight="1" x14ac:dyDescent="0.2">
      <c r="A3668" s="31" t="s">
        <v>4897</v>
      </c>
      <c r="B3668" s="32" t="s">
        <v>403</v>
      </c>
      <c r="C3668" s="32" t="s">
        <v>770</v>
      </c>
      <c r="D3668" s="32" t="s">
        <v>2267</v>
      </c>
      <c r="E3668" s="33" t="s">
        <v>772</v>
      </c>
      <c r="F3668" s="34">
        <v>2836763</v>
      </c>
      <c r="G3668" s="34">
        <v>2843802</v>
      </c>
      <c r="H3668" s="35" t="s">
        <v>4899</v>
      </c>
    </row>
    <row r="3669" spans="1:8" ht="27" customHeight="1" x14ac:dyDescent="0.2">
      <c r="A3669" s="31" t="s">
        <v>4897</v>
      </c>
      <c r="B3669" s="32" t="s">
        <v>403</v>
      </c>
      <c r="C3669" s="32" t="s">
        <v>796</v>
      </c>
      <c r="D3669" s="32" t="s">
        <v>811</v>
      </c>
      <c r="E3669" s="33" t="s">
        <v>823</v>
      </c>
      <c r="F3669" s="34">
        <v>2310930</v>
      </c>
      <c r="G3669" s="34">
        <v>2316664</v>
      </c>
      <c r="H3669" s="35" t="s">
        <v>1049</v>
      </c>
    </row>
    <row r="3670" spans="1:8" ht="27" customHeight="1" x14ac:dyDescent="0.2">
      <c r="A3670" s="31" t="s">
        <v>4897</v>
      </c>
      <c r="B3670" s="32" t="s">
        <v>403</v>
      </c>
      <c r="C3670" s="32" t="s">
        <v>779</v>
      </c>
      <c r="D3670" s="32" t="s">
        <v>1126</v>
      </c>
      <c r="E3670" s="33" t="s">
        <v>780</v>
      </c>
      <c r="F3670" s="34">
        <v>153339</v>
      </c>
      <c r="G3670" s="34">
        <v>153720</v>
      </c>
      <c r="H3670" s="35" t="s">
        <v>1049</v>
      </c>
    </row>
    <row r="3671" spans="1:8" ht="27" customHeight="1" x14ac:dyDescent="0.2">
      <c r="A3671" s="31" t="s">
        <v>4897</v>
      </c>
      <c r="B3671" s="32" t="s">
        <v>403</v>
      </c>
      <c r="C3671" s="32" t="s">
        <v>782</v>
      </c>
      <c r="D3671" s="32" t="s">
        <v>964</v>
      </c>
      <c r="E3671" s="33" t="s">
        <v>784</v>
      </c>
      <c r="F3671" s="34">
        <v>1724107</v>
      </c>
      <c r="G3671" s="34">
        <v>1728385</v>
      </c>
      <c r="H3671" s="35" t="s">
        <v>4900</v>
      </c>
    </row>
    <row r="3672" spans="1:8" ht="27" customHeight="1" x14ac:dyDescent="0.2">
      <c r="A3672" s="31" t="s">
        <v>4901</v>
      </c>
      <c r="B3672" s="32" t="s">
        <v>4902</v>
      </c>
      <c r="C3672" s="32" t="s">
        <v>763</v>
      </c>
      <c r="D3672" s="32" t="s">
        <v>4903</v>
      </c>
      <c r="E3672" s="33" t="s">
        <v>764</v>
      </c>
      <c r="F3672" s="34">
        <v>325783</v>
      </c>
      <c r="G3672" s="34">
        <v>326884</v>
      </c>
      <c r="H3672" s="35" t="s">
        <v>4904</v>
      </c>
    </row>
    <row r="3673" spans="1:8" ht="27" customHeight="1" x14ac:dyDescent="0.2">
      <c r="A3673" s="31" t="s">
        <v>4901</v>
      </c>
      <c r="B3673" s="32" t="s">
        <v>4902</v>
      </c>
      <c r="C3673" s="32" t="s">
        <v>763</v>
      </c>
      <c r="D3673" s="32" t="s">
        <v>4905</v>
      </c>
      <c r="E3673" s="33" t="s">
        <v>764</v>
      </c>
      <c r="F3673" s="34">
        <v>130998</v>
      </c>
      <c r="G3673" s="34">
        <v>131391</v>
      </c>
      <c r="H3673" s="35" t="s">
        <v>4906</v>
      </c>
    </row>
    <row r="3674" spans="1:8" ht="27" customHeight="1" x14ac:dyDescent="0.2">
      <c r="A3674" s="31" t="s">
        <v>4901</v>
      </c>
      <c r="B3674" s="32" t="s">
        <v>4902</v>
      </c>
      <c r="C3674" s="32" t="s">
        <v>860</v>
      </c>
      <c r="D3674" s="32" t="s">
        <v>911</v>
      </c>
      <c r="E3674" s="33" t="s">
        <v>861</v>
      </c>
      <c r="F3674" s="34">
        <v>71086</v>
      </c>
      <c r="G3674" s="34">
        <v>52772</v>
      </c>
      <c r="H3674" s="35" t="s">
        <v>4907</v>
      </c>
    </row>
    <row r="3675" spans="1:8" ht="27" customHeight="1" x14ac:dyDescent="0.2">
      <c r="A3675" s="31" t="s">
        <v>4901</v>
      </c>
      <c r="B3675" s="32" t="s">
        <v>4902</v>
      </c>
      <c r="C3675" s="32" t="s">
        <v>796</v>
      </c>
      <c r="D3675" s="32" t="s">
        <v>3202</v>
      </c>
      <c r="E3675" s="33" t="s">
        <v>823</v>
      </c>
      <c r="F3675" s="34">
        <v>296834</v>
      </c>
      <c r="G3675" s="34">
        <v>296984</v>
      </c>
      <c r="H3675" s="35" t="s">
        <v>4908</v>
      </c>
    </row>
    <row r="3676" spans="1:8" ht="27" customHeight="1" x14ac:dyDescent="0.2">
      <c r="A3676" s="31" t="s">
        <v>4901</v>
      </c>
      <c r="B3676" s="32" t="s">
        <v>4902</v>
      </c>
      <c r="C3676" s="32" t="s">
        <v>779</v>
      </c>
      <c r="D3676" s="32" t="s">
        <v>826</v>
      </c>
      <c r="E3676" s="33" t="s">
        <v>780</v>
      </c>
      <c r="F3676" s="34">
        <v>21159</v>
      </c>
      <c r="G3676" s="34">
        <v>21243</v>
      </c>
      <c r="H3676" s="35" t="s">
        <v>4909</v>
      </c>
    </row>
    <row r="3677" spans="1:8" ht="27" customHeight="1" x14ac:dyDescent="0.2">
      <c r="A3677" s="31" t="s">
        <v>4901</v>
      </c>
      <c r="B3677" s="32" t="s">
        <v>4902</v>
      </c>
      <c r="C3677" s="32" t="s">
        <v>782</v>
      </c>
      <c r="D3677" s="32" t="s">
        <v>1887</v>
      </c>
      <c r="E3677" s="33" t="s">
        <v>784</v>
      </c>
      <c r="F3677" s="34">
        <v>256433</v>
      </c>
      <c r="G3677" s="34">
        <v>257282</v>
      </c>
      <c r="H3677" s="35" t="s">
        <v>4910</v>
      </c>
    </row>
    <row r="3678" spans="1:8" ht="27" customHeight="1" x14ac:dyDescent="0.2">
      <c r="A3678" s="31" t="s">
        <v>4911</v>
      </c>
      <c r="B3678" s="32" t="s">
        <v>4912</v>
      </c>
      <c r="C3678" s="32" t="s">
        <v>770</v>
      </c>
      <c r="D3678" s="32" t="s">
        <v>1011</v>
      </c>
      <c r="E3678" s="33" t="s">
        <v>772</v>
      </c>
      <c r="F3678" s="34">
        <v>3136454</v>
      </c>
      <c r="G3678" s="34">
        <v>2998454</v>
      </c>
      <c r="H3678" s="35" t="s">
        <v>4913</v>
      </c>
    </row>
    <row r="3679" spans="1:8" ht="27" customHeight="1" x14ac:dyDescent="0.2">
      <c r="A3679" s="31" t="s">
        <v>4911</v>
      </c>
      <c r="B3679" s="32" t="s">
        <v>4912</v>
      </c>
      <c r="C3679" s="32" t="s">
        <v>796</v>
      </c>
      <c r="D3679" s="32" t="s">
        <v>796</v>
      </c>
      <c r="E3679" s="33" t="s">
        <v>772</v>
      </c>
      <c r="F3679" s="34">
        <v>1708811</v>
      </c>
      <c r="G3679" s="34">
        <v>1245376</v>
      </c>
      <c r="H3679" s="35" t="s">
        <v>4914</v>
      </c>
    </row>
    <row r="3680" spans="1:8" ht="27" customHeight="1" x14ac:dyDescent="0.2">
      <c r="A3680" s="31" t="s">
        <v>4911</v>
      </c>
      <c r="B3680" s="32" t="s">
        <v>4912</v>
      </c>
      <c r="C3680" s="32" t="s">
        <v>779</v>
      </c>
      <c r="D3680" s="32" t="s">
        <v>876</v>
      </c>
      <c r="E3680" s="33" t="s">
        <v>780</v>
      </c>
      <c r="F3680" s="34">
        <v>363180</v>
      </c>
      <c r="G3680" s="34">
        <v>233780</v>
      </c>
      <c r="H3680" s="35" t="s">
        <v>4915</v>
      </c>
    </row>
    <row r="3681" spans="1:8" ht="27" customHeight="1" x14ac:dyDescent="0.2">
      <c r="A3681" s="31" t="s">
        <v>4911</v>
      </c>
      <c r="B3681" s="32" t="s">
        <v>4912</v>
      </c>
      <c r="C3681" s="32" t="s">
        <v>782</v>
      </c>
      <c r="D3681" s="32" t="s">
        <v>964</v>
      </c>
      <c r="E3681" s="33" t="s">
        <v>784</v>
      </c>
      <c r="F3681" s="34">
        <v>152457</v>
      </c>
      <c r="G3681" s="34">
        <v>113257</v>
      </c>
      <c r="H3681" s="35" t="s">
        <v>4916</v>
      </c>
    </row>
    <row r="3682" spans="1:8" ht="27" customHeight="1" x14ac:dyDescent="0.2">
      <c r="A3682" s="31" t="s">
        <v>4917</v>
      </c>
      <c r="B3682" s="32" t="s">
        <v>4918</v>
      </c>
      <c r="C3682" s="32" t="s">
        <v>763</v>
      </c>
      <c r="D3682" s="32" t="s">
        <v>763</v>
      </c>
      <c r="E3682" s="33" t="s">
        <v>764</v>
      </c>
      <c r="F3682" s="34">
        <v>0</v>
      </c>
      <c r="G3682" s="34">
        <v>400000</v>
      </c>
      <c r="H3682" s="35" t="s">
        <v>765</v>
      </c>
    </row>
    <row r="3683" spans="1:8" ht="27" customHeight="1" x14ac:dyDescent="0.2">
      <c r="A3683" s="31" t="s">
        <v>4917</v>
      </c>
      <c r="B3683" s="32" t="s">
        <v>4918</v>
      </c>
      <c r="C3683" s="32" t="s">
        <v>770</v>
      </c>
      <c r="D3683" s="32" t="s">
        <v>1136</v>
      </c>
      <c r="E3683" s="33" t="s">
        <v>772</v>
      </c>
      <c r="F3683" s="34">
        <v>123200</v>
      </c>
      <c r="G3683" s="34">
        <v>123500</v>
      </c>
      <c r="H3683" s="35" t="s">
        <v>1049</v>
      </c>
    </row>
    <row r="3684" spans="1:8" ht="27" customHeight="1" x14ac:dyDescent="0.2">
      <c r="A3684" s="31" t="s">
        <v>4917</v>
      </c>
      <c r="B3684" s="32" t="s">
        <v>4918</v>
      </c>
      <c r="C3684" s="32" t="s">
        <v>860</v>
      </c>
      <c r="D3684" s="32" t="s">
        <v>911</v>
      </c>
      <c r="E3684" s="33" t="s">
        <v>861</v>
      </c>
      <c r="F3684" s="34">
        <v>20900</v>
      </c>
      <c r="G3684" s="34">
        <v>20950</v>
      </c>
      <c r="H3684" s="35" t="s">
        <v>765</v>
      </c>
    </row>
    <row r="3685" spans="1:8" ht="27" customHeight="1" x14ac:dyDescent="0.2">
      <c r="A3685" s="31" t="s">
        <v>4917</v>
      </c>
      <c r="B3685" s="32" t="s">
        <v>4918</v>
      </c>
      <c r="C3685" s="32" t="s">
        <v>796</v>
      </c>
      <c r="D3685" s="32" t="s">
        <v>4919</v>
      </c>
      <c r="E3685" s="33" t="s">
        <v>772</v>
      </c>
      <c r="F3685" s="34">
        <v>283000</v>
      </c>
      <c r="G3685" s="34">
        <v>283500</v>
      </c>
      <c r="H3685" s="35" t="s">
        <v>765</v>
      </c>
    </row>
    <row r="3686" spans="1:8" ht="27" customHeight="1" x14ac:dyDescent="0.2">
      <c r="A3686" s="31" t="s">
        <v>4917</v>
      </c>
      <c r="B3686" s="32" t="s">
        <v>4918</v>
      </c>
      <c r="C3686" s="32" t="s">
        <v>782</v>
      </c>
      <c r="D3686" s="32" t="s">
        <v>813</v>
      </c>
      <c r="E3686" s="33" t="s">
        <v>784</v>
      </c>
      <c r="F3686" s="34">
        <v>233000</v>
      </c>
      <c r="G3686" s="34">
        <v>233500</v>
      </c>
      <c r="H3686" s="35" t="s">
        <v>765</v>
      </c>
    </row>
    <row r="3687" spans="1:8" ht="27" customHeight="1" x14ac:dyDescent="0.2">
      <c r="A3687" s="31" t="s">
        <v>4920</v>
      </c>
      <c r="B3687" s="32" t="s">
        <v>4921</v>
      </c>
      <c r="C3687" s="32" t="s">
        <v>763</v>
      </c>
      <c r="D3687" s="32" t="s">
        <v>816</v>
      </c>
      <c r="E3687" s="33" t="s">
        <v>764</v>
      </c>
      <c r="F3687" s="34">
        <v>158929</v>
      </c>
      <c r="G3687" s="34">
        <v>158929</v>
      </c>
      <c r="H3687" s="35" t="s">
        <v>4922</v>
      </c>
    </row>
    <row r="3688" spans="1:8" ht="27" customHeight="1" x14ac:dyDescent="0.2">
      <c r="A3688" s="31" t="s">
        <v>4920</v>
      </c>
      <c r="B3688" s="32" t="s">
        <v>4921</v>
      </c>
      <c r="C3688" s="32" t="s">
        <v>770</v>
      </c>
      <c r="D3688" s="32" t="s">
        <v>1136</v>
      </c>
      <c r="E3688" s="33" t="s">
        <v>772</v>
      </c>
      <c r="F3688" s="34">
        <v>1243938</v>
      </c>
      <c r="G3688" s="34">
        <v>1243938</v>
      </c>
      <c r="H3688" s="35" t="s">
        <v>4923</v>
      </c>
    </row>
    <row r="3689" spans="1:8" ht="27" customHeight="1" x14ac:dyDescent="0.2">
      <c r="A3689" s="31" t="s">
        <v>4920</v>
      </c>
      <c r="B3689" s="32" t="s">
        <v>4921</v>
      </c>
      <c r="C3689" s="32" t="s">
        <v>796</v>
      </c>
      <c r="D3689" s="32" t="s">
        <v>796</v>
      </c>
      <c r="E3689" s="33" t="s">
        <v>823</v>
      </c>
      <c r="F3689" s="34">
        <v>1647253</v>
      </c>
      <c r="G3689" s="34">
        <v>1647253</v>
      </c>
      <c r="H3689" s="35" t="s">
        <v>4924</v>
      </c>
    </row>
    <row r="3690" spans="1:8" ht="27" customHeight="1" x14ac:dyDescent="0.2">
      <c r="A3690" s="31" t="s">
        <v>4920</v>
      </c>
      <c r="B3690" s="32" t="s">
        <v>4921</v>
      </c>
      <c r="C3690" s="32" t="s">
        <v>782</v>
      </c>
      <c r="D3690" s="32" t="s">
        <v>1975</v>
      </c>
      <c r="E3690" s="33" t="s">
        <v>784</v>
      </c>
      <c r="F3690" s="34">
        <v>609100</v>
      </c>
      <c r="G3690" s="34">
        <v>609100</v>
      </c>
      <c r="H3690" s="35" t="s">
        <v>4925</v>
      </c>
    </row>
    <row r="3691" spans="1:8" ht="27" customHeight="1" x14ac:dyDescent="0.2">
      <c r="A3691" s="31" t="s">
        <v>4926</v>
      </c>
      <c r="B3691" s="32" t="s">
        <v>4927</v>
      </c>
      <c r="C3691" s="32" t="s">
        <v>763</v>
      </c>
      <c r="D3691" s="32" t="s">
        <v>4928</v>
      </c>
      <c r="E3691" s="33" t="s">
        <v>764</v>
      </c>
      <c r="F3691" s="34">
        <v>1233474</v>
      </c>
      <c r="G3691" s="34">
        <v>1242725</v>
      </c>
      <c r="H3691" s="35" t="s">
        <v>4929</v>
      </c>
    </row>
    <row r="3692" spans="1:8" ht="27" customHeight="1" x14ac:dyDescent="0.2">
      <c r="A3692" s="31" t="s">
        <v>4926</v>
      </c>
      <c r="B3692" s="32" t="s">
        <v>4927</v>
      </c>
      <c r="C3692" s="32" t="s">
        <v>763</v>
      </c>
      <c r="D3692" s="32" t="s">
        <v>4930</v>
      </c>
      <c r="E3692" s="33" t="s">
        <v>764</v>
      </c>
      <c r="F3692" s="34">
        <v>5044472</v>
      </c>
      <c r="G3692" s="34">
        <v>5082306</v>
      </c>
      <c r="H3692" s="35" t="s">
        <v>4929</v>
      </c>
    </row>
    <row r="3693" spans="1:8" ht="27" customHeight="1" x14ac:dyDescent="0.2">
      <c r="A3693" s="31" t="s">
        <v>4926</v>
      </c>
      <c r="B3693" s="32" t="s">
        <v>4927</v>
      </c>
      <c r="C3693" s="32" t="s">
        <v>763</v>
      </c>
      <c r="D3693" s="32" t="s">
        <v>4931</v>
      </c>
      <c r="E3693" s="33" t="s">
        <v>764</v>
      </c>
      <c r="F3693" s="34">
        <v>8262566</v>
      </c>
      <c r="G3693" s="34">
        <v>8324535</v>
      </c>
      <c r="H3693" s="35" t="s">
        <v>4932</v>
      </c>
    </row>
    <row r="3694" spans="1:8" ht="27" customHeight="1" x14ac:dyDescent="0.2">
      <c r="A3694" s="31" t="s">
        <v>4926</v>
      </c>
      <c r="B3694" s="32" t="s">
        <v>4927</v>
      </c>
      <c r="C3694" s="32" t="s">
        <v>763</v>
      </c>
      <c r="D3694" s="32" t="s">
        <v>4933</v>
      </c>
      <c r="E3694" s="33" t="s">
        <v>764</v>
      </c>
      <c r="F3694" s="34">
        <v>1298814</v>
      </c>
      <c r="G3694" s="34">
        <v>1308555</v>
      </c>
      <c r="H3694" s="35" t="s">
        <v>4934</v>
      </c>
    </row>
    <row r="3695" spans="1:8" ht="27" customHeight="1" x14ac:dyDescent="0.2">
      <c r="A3695" s="31" t="s">
        <v>4926</v>
      </c>
      <c r="B3695" s="32" t="s">
        <v>4927</v>
      </c>
      <c r="C3695" s="32" t="s">
        <v>770</v>
      </c>
      <c r="D3695" s="32" t="s">
        <v>2421</v>
      </c>
      <c r="E3695" s="33" t="s">
        <v>772</v>
      </c>
      <c r="F3695" s="34">
        <v>5044472</v>
      </c>
      <c r="G3695" s="34">
        <v>5082306</v>
      </c>
      <c r="H3695" s="35" t="s">
        <v>1468</v>
      </c>
    </row>
    <row r="3696" spans="1:8" ht="27" customHeight="1" x14ac:dyDescent="0.2">
      <c r="A3696" s="31" t="s">
        <v>4926</v>
      </c>
      <c r="B3696" s="32" t="s">
        <v>4927</v>
      </c>
      <c r="C3696" s="32" t="s">
        <v>844</v>
      </c>
      <c r="D3696" s="32" t="s">
        <v>972</v>
      </c>
      <c r="E3696" s="33" t="s">
        <v>846</v>
      </c>
      <c r="F3696" s="34">
        <v>1911759</v>
      </c>
      <c r="G3696" s="34">
        <v>1926097</v>
      </c>
      <c r="H3696" s="35" t="s">
        <v>4288</v>
      </c>
    </row>
    <row r="3697" spans="1:8" ht="27" customHeight="1" x14ac:dyDescent="0.2">
      <c r="A3697" s="31" t="s">
        <v>4926</v>
      </c>
      <c r="B3697" s="32" t="s">
        <v>4927</v>
      </c>
      <c r="C3697" s="32" t="s">
        <v>860</v>
      </c>
      <c r="D3697" s="32" t="s">
        <v>911</v>
      </c>
      <c r="E3697" s="33" t="s">
        <v>861</v>
      </c>
      <c r="F3697" s="34">
        <v>501476</v>
      </c>
      <c r="G3697" s="34">
        <v>505237</v>
      </c>
      <c r="H3697" s="35" t="s">
        <v>4935</v>
      </c>
    </row>
    <row r="3698" spans="1:8" ht="27" customHeight="1" x14ac:dyDescent="0.2">
      <c r="A3698" s="31" t="s">
        <v>4926</v>
      </c>
      <c r="B3698" s="32" t="s">
        <v>4927</v>
      </c>
      <c r="C3698" s="32" t="s">
        <v>796</v>
      </c>
      <c r="D3698" s="32" t="s">
        <v>811</v>
      </c>
      <c r="E3698" s="33" t="s">
        <v>772</v>
      </c>
      <c r="F3698" s="34">
        <v>287981</v>
      </c>
      <c r="G3698" s="34">
        <v>290140</v>
      </c>
      <c r="H3698" s="35" t="s">
        <v>4936</v>
      </c>
    </row>
    <row r="3699" spans="1:8" ht="27" customHeight="1" x14ac:dyDescent="0.2">
      <c r="A3699" s="31" t="s">
        <v>4926</v>
      </c>
      <c r="B3699" s="32" t="s">
        <v>4927</v>
      </c>
      <c r="C3699" s="32" t="s">
        <v>779</v>
      </c>
      <c r="D3699" s="32" t="s">
        <v>876</v>
      </c>
      <c r="E3699" s="33" t="s">
        <v>780</v>
      </c>
      <c r="F3699" s="34">
        <v>58519</v>
      </c>
      <c r="G3699" s="34">
        <v>58958</v>
      </c>
      <c r="H3699" s="35" t="s">
        <v>4937</v>
      </c>
    </row>
    <row r="3700" spans="1:8" ht="27" customHeight="1" x14ac:dyDescent="0.2">
      <c r="A3700" s="31" t="s">
        <v>4926</v>
      </c>
      <c r="B3700" s="32" t="s">
        <v>4927</v>
      </c>
      <c r="C3700" s="32" t="s">
        <v>782</v>
      </c>
      <c r="D3700" s="32" t="s">
        <v>813</v>
      </c>
      <c r="E3700" s="33" t="s">
        <v>784</v>
      </c>
      <c r="F3700" s="34">
        <v>400000</v>
      </c>
      <c r="G3700" s="34">
        <v>403000</v>
      </c>
      <c r="H3700" s="35" t="s">
        <v>4938</v>
      </c>
    </row>
    <row r="3701" spans="1:8" ht="27" customHeight="1" x14ac:dyDescent="0.2">
      <c r="A3701" s="31" t="s">
        <v>4939</v>
      </c>
      <c r="B3701" s="32" t="s">
        <v>4940</v>
      </c>
      <c r="C3701" s="32" t="s">
        <v>770</v>
      </c>
      <c r="D3701" s="32" t="s">
        <v>4941</v>
      </c>
      <c r="E3701" s="33" t="s">
        <v>772</v>
      </c>
      <c r="F3701" s="34">
        <v>754016</v>
      </c>
      <c r="G3701" s="34">
        <v>755654</v>
      </c>
      <c r="H3701" s="35" t="s">
        <v>859</v>
      </c>
    </row>
    <row r="3702" spans="1:8" ht="27" customHeight="1" x14ac:dyDescent="0.2">
      <c r="A3702" s="31" t="s">
        <v>4939</v>
      </c>
      <c r="B3702" s="32" t="s">
        <v>4940</v>
      </c>
      <c r="C3702" s="32" t="s">
        <v>860</v>
      </c>
      <c r="D3702" s="32" t="s">
        <v>911</v>
      </c>
      <c r="E3702" s="33" t="s">
        <v>861</v>
      </c>
      <c r="F3702" s="34">
        <v>42567</v>
      </c>
      <c r="G3702" s="34">
        <v>42567</v>
      </c>
      <c r="H3702" s="35" t="s">
        <v>859</v>
      </c>
    </row>
    <row r="3703" spans="1:8" ht="27" customHeight="1" x14ac:dyDescent="0.2">
      <c r="A3703" s="31" t="s">
        <v>4939</v>
      </c>
      <c r="B3703" s="32" t="s">
        <v>4940</v>
      </c>
      <c r="C3703" s="32" t="s">
        <v>796</v>
      </c>
      <c r="D3703" s="32" t="s">
        <v>4942</v>
      </c>
      <c r="E3703" s="33" t="s">
        <v>823</v>
      </c>
      <c r="F3703" s="34">
        <v>814768</v>
      </c>
      <c r="G3703" s="34">
        <v>816495</v>
      </c>
      <c r="H3703" s="35" t="s">
        <v>4943</v>
      </c>
    </row>
    <row r="3704" spans="1:8" ht="27" customHeight="1" x14ac:dyDescent="0.2">
      <c r="A3704" s="31" t="s">
        <v>4939</v>
      </c>
      <c r="B3704" s="32" t="s">
        <v>4940</v>
      </c>
      <c r="C3704" s="32" t="s">
        <v>779</v>
      </c>
      <c r="D3704" s="32" t="s">
        <v>927</v>
      </c>
      <c r="E3704" s="33" t="s">
        <v>780</v>
      </c>
      <c r="F3704" s="34">
        <v>185948</v>
      </c>
      <c r="G3704" s="34">
        <v>186413</v>
      </c>
      <c r="H3704" s="35" t="s">
        <v>4944</v>
      </c>
    </row>
    <row r="3705" spans="1:8" ht="27" customHeight="1" x14ac:dyDescent="0.2">
      <c r="A3705" s="31" t="s">
        <v>4939</v>
      </c>
      <c r="B3705" s="32" t="s">
        <v>4940</v>
      </c>
      <c r="C3705" s="32" t="s">
        <v>782</v>
      </c>
      <c r="D3705" s="32" t="s">
        <v>2662</v>
      </c>
      <c r="E3705" s="33" t="s">
        <v>784</v>
      </c>
      <c r="F3705" s="34">
        <v>147329</v>
      </c>
      <c r="G3705" s="34">
        <v>147671</v>
      </c>
      <c r="H3705" s="35" t="s">
        <v>4945</v>
      </c>
    </row>
    <row r="3706" spans="1:8" ht="27" customHeight="1" x14ac:dyDescent="0.2">
      <c r="A3706" s="31" t="s">
        <v>4946</v>
      </c>
      <c r="B3706" s="32" t="s">
        <v>4947</v>
      </c>
      <c r="C3706" s="32" t="s">
        <v>770</v>
      </c>
      <c r="D3706" s="32" t="s">
        <v>1136</v>
      </c>
      <c r="E3706" s="33" t="s">
        <v>772</v>
      </c>
      <c r="F3706" s="34">
        <v>45113</v>
      </c>
      <c r="G3706" s="34">
        <v>45113</v>
      </c>
      <c r="H3706" s="35" t="s">
        <v>4433</v>
      </c>
    </row>
    <row r="3707" spans="1:8" ht="27" customHeight="1" x14ac:dyDescent="0.2">
      <c r="A3707" s="31" t="s">
        <v>4946</v>
      </c>
      <c r="B3707" s="32" t="s">
        <v>4947</v>
      </c>
      <c r="C3707" s="32" t="s">
        <v>844</v>
      </c>
      <c r="D3707" s="32" t="s">
        <v>844</v>
      </c>
      <c r="E3707" s="33" t="s">
        <v>846</v>
      </c>
      <c r="F3707" s="34">
        <v>33000</v>
      </c>
      <c r="G3707" s="34">
        <v>33000</v>
      </c>
      <c r="H3707" s="35" t="s">
        <v>4433</v>
      </c>
    </row>
    <row r="3708" spans="1:8" ht="27" customHeight="1" x14ac:dyDescent="0.2">
      <c r="A3708" s="31" t="s">
        <v>4946</v>
      </c>
      <c r="B3708" s="32" t="s">
        <v>4947</v>
      </c>
      <c r="C3708" s="32" t="s">
        <v>860</v>
      </c>
      <c r="D3708" s="32" t="s">
        <v>860</v>
      </c>
      <c r="E3708" s="33" t="s">
        <v>861</v>
      </c>
      <c r="F3708" s="34">
        <v>300000</v>
      </c>
      <c r="G3708" s="34">
        <v>300000</v>
      </c>
      <c r="H3708" s="35" t="s">
        <v>4433</v>
      </c>
    </row>
    <row r="3709" spans="1:8" ht="27" customHeight="1" x14ac:dyDescent="0.2">
      <c r="A3709" s="31" t="s">
        <v>4946</v>
      </c>
      <c r="B3709" s="32" t="s">
        <v>4947</v>
      </c>
      <c r="C3709" s="32" t="s">
        <v>779</v>
      </c>
      <c r="D3709" s="32" t="s">
        <v>802</v>
      </c>
      <c r="E3709" s="33" t="s">
        <v>780</v>
      </c>
      <c r="F3709" s="34">
        <v>50000</v>
      </c>
      <c r="G3709" s="34">
        <v>50000</v>
      </c>
      <c r="H3709" s="35" t="s">
        <v>4433</v>
      </c>
    </row>
    <row r="3710" spans="1:8" ht="27" customHeight="1" x14ac:dyDescent="0.2">
      <c r="A3710" s="31" t="s">
        <v>4946</v>
      </c>
      <c r="B3710" s="32" t="s">
        <v>4947</v>
      </c>
      <c r="C3710" s="32" t="s">
        <v>782</v>
      </c>
      <c r="D3710" s="32" t="s">
        <v>901</v>
      </c>
      <c r="E3710" s="33" t="s">
        <v>784</v>
      </c>
      <c r="F3710" s="34">
        <v>50000</v>
      </c>
      <c r="G3710" s="34">
        <v>50000</v>
      </c>
      <c r="H3710" s="35" t="s">
        <v>4433</v>
      </c>
    </row>
    <row r="3711" spans="1:8" ht="27" customHeight="1" x14ac:dyDescent="0.2">
      <c r="A3711" s="31" t="s">
        <v>4948</v>
      </c>
      <c r="B3711" s="32" t="s">
        <v>4949</v>
      </c>
      <c r="C3711" s="32" t="s">
        <v>770</v>
      </c>
      <c r="D3711" s="32" t="s">
        <v>770</v>
      </c>
      <c r="E3711" s="33" t="s">
        <v>772</v>
      </c>
      <c r="F3711" s="34">
        <v>2114937</v>
      </c>
      <c r="G3711" s="34">
        <v>2114937</v>
      </c>
      <c r="H3711" s="35" t="s">
        <v>4950</v>
      </c>
    </row>
    <row r="3712" spans="1:8" ht="27" customHeight="1" x14ac:dyDescent="0.2">
      <c r="A3712" s="31" t="s">
        <v>4951</v>
      </c>
      <c r="B3712" s="32" t="s">
        <v>4952</v>
      </c>
      <c r="C3712" s="32" t="s">
        <v>763</v>
      </c>
      <c r="D3712" s="32" t="s">
        <v>816</v>
      </c>
      <c r="E3712" s="33" t="s">
        <v>764</v>
      </c>
      <c r="F3712" s="34">
        <v>1035309</v>
      </c>
      <c r="G3712" s="34">
        <v>1035309</v>
      </c>
      <c r="H3712" s="35" t="s">
        <v>4953</v>
      </c>
    </row>
    <row r="3713" spans="1:8" ht="27" customHeight="1" x14ac:dyDescent="0.2">
      <c r="A3713" s="31" t="s">
        <v>4951</v>
      </c>
      <c r="B3713" s="32" t="s">
        <v>4952</v>
      </c>
      <c r="C3713" s="32" t="s">
        <v>770</v>
      </c>
      <c r="D3713" s="32" t="s">
        <v>1136</v>
      </c>
      <c r="E3713" s="33" t="s">
        <v>772</v>
      </c>
      <c r="F3713" s="34">
        <v>290526</v>
      </c>
      <c r="G3713" s="34">
        <v>290526</v>
      </c>
      <c r="H3713" s="35" t="s">
        <v>1547</v>
      </c>
    </row>
    <row r="3714" spans="1:8" ht="27" customHeight="1" x14ac:dyDescent="0.2">
      <c r="A3714" s="31" t="s">
        <v>4951</v>
      </c>
      <c r="B3714" s="32" t="s">
        <v>4952</v>
      </c>
      <c r="C3714" s="32" t="s">
        <v>796</v>
      </c>
      <c r="D3714" s="32" t="s">
        <v>1444</v>
      </c>
      <c r="E3714" s="33" t="s">
        <v>772</v>
      </c>
      <c r="F3714" s="34">
        <v>892567</v>
      </c>
      <c r="G3714" s="34">
        <v>892567</v>
      </c>
      <c r="H3714" s="35" t="s">
        <v>1547</v>
      </c>
    </row>
    <row r="3715" spans="1:8" ht="27" customHeight="1" x14ac:dyDescent="0.2">
      <c r="A3715" s="31" t="s">
        <v>4951</v>
      </c>
      <c r="B3715" s="32" t="s">
        <v>4952</v>
      </c>
      <c r="C3715" s="32" t="s">
        <v>779</v>
      </c>
      <c r="D3715" s="32" t="s">
        <v>802</v>
      </c>
      <c r="E3715" s="33" t="s">
        <v>780</v>
      </c>
      <c r="F3715" s="34">
        <v>507743</v>
      </c>
      <c r="G3715" s="34">
        <v>507743</v>
      </c>
      <c r="H3715" s="35" t="s">
        <v>4954</v>
      </c>
    </row>
    <row r="3716" spans="1:8" ht="27" customHeight="1" x14ac:dyDescent="0.2">
      <c r="A3716" s="31" t="s">
        <v>4951</v>
      </c>
      <c r="B3716" s="32" t="s">
        <v>4952</v>
      </c>
      <c r="C3716" s="32" t="s">
        <v>782</v>
      </c>
      <c r="D3716" s="32" t="s">
        <v>782</v>
      </c>
      <c r="E3716" s="33" t="s">
        <v>784</v>
      </c>
      <c r="F3716" s="34">
        <v>930419</v>
      </c>
      <c r="G3716" s="34">
        <v>930419</v>
      </c>
      <c r="H3716" s="35" t="s">
        <v>4955</v>
      </c>
    </row>
    <row r="3717" spans="1:8" ht="27" customHeight="1" x14ac:dyDescent="0.2">
      <c r="A3717" s="31" t="s">
        <v>4956</v>
      </c>
      <c r="B3717" s="32" t="s">
        <v>4957</v>
      </c>
      <c r="C3717" s="32" t="s">
        <v>763</v>
      </c>
      <c r="D3717" s="32" t="s">
        <v>4958</v>
      </c>
      <c r="E3717" s="33" t="s">
        <v>764</v>
      </c>
      <c r="F3717" s="34">
        <v>150000</v>
      </c>
      <c r="G3717" s="34">
        <v>150000</v>
      </c>
      <c r="H3717" s="35" t="s">
        <v>859</v>
      </c>
    </row>
    <row r="3718" spans="1:8" ht="27" customHeight="1" x14ac:dyDescent="0.2">
      <c r="A3718" s="31" t="s">
        <v>4956</v>
      </c>
      <c r="B3718" s="32" t="s">
        <v>4957</v>
      </c>
      <c r="C3718" s="32" t="s">
        <v>763</v>
      </c>
      <c r="D3718" s="32" t="s">
        <v>4959</v>
      </c>
      <c r="E3718" s="33" t="s">
        <v>764</v>
      </c>
      <c r="F3718" s="34">
        <v>0</v>
      </c>
      <c r="G3718" s="34">
        <v>150000</v>
      </c>
      <c r="H3718" s="35" t="s">
        <v>4960</v>
      </c>
    </row>
    <row r="3719" spans="1:8" ht="27" customHeight="1" x14ac:dyDescent="0.2">
      <c r="A3719" s="31" t="s">
        <v>4956</v>
      </c>
      <c r="B3719" s="32" t="s">
        <v>4957</v>
      </c>
      <c r="C3719" s="32" t="s">
        <v>770</v>
      </c>
      <c r="D3719" s="32" t="s">
        <v>1136</v>
      </c>
      <c r="E3719" s="33" t="s">
        <v>772</v>
      </c>
      <c r="F3719" s="34">
        <v>555038</v>
      </c>
      <c r="G3719" s="34">
        <v>555038</v>
      </c>
      <c r="H3719" s="35" t="s">
        <v>859</v>
      </c>
    </row>
    <row r="3720" spans="1:8" ht="27" customHeight="1" x14ac:dyDescent="0.2">
      <c r="A3720" s="31" t="s">
        <v>4956</v>
      </c>
      <c r="B3720" s="32" t="s">
        <v>4957</v>
      </c>
      <c r="C3720" s="32" t="s">
        <v>796</v>
      </c>
      <c r="D3720" s="32" t="s">
        <v>794</v>
      </c>
      <c r="E3720" s="33" t="s">
        <v>823</v>
      </c>
      <c r="F3720" s="34">
        <v>547901</v>
      </c>
      <c r="G3720" s="34">
        <v>547901</v>
      </c>
      <c r="H3720" s="35" t="s">
        <v>859</v>
      </c>
    </row>
    <row r="3721" spans="1:8" ht="27" customHeight="1" x14ac:dyDescent="0.2">
      <c r="A3721" s="31" t="s">
        <v>4956</v>
      </c>
      <c r="B3721" s="32" t="s">
        <v>4957</v>
      </c>
      <c r="C3721" s="32" t="s">
        <v>779</v>
      </c>
      <c r="D3721" s="32" t="s">
        <v>802</v>
      </c>
      <c r="E3721" s="33" t="s">
        <v>780</v>
      </c>
      <c r="F3721" s="34">
        <v>100000</v>
      </c>
      <c r="G3721" s="34">
        <v>100000</v>
      </c>
      <c r="H3721" s="35" t="s">
        <v>859</v>
      </c>
    </row>
    <row r="3722" spans="1:8" ht="27" customHeight="1" x14ac:dyDescent="0.2">
      <c r="A3722" s="31" t="s">
        <v>4956</v>
      </c>
      <c r="B3722" s="32" t="s">
        <v>4957</v>
      </c>
      <c r="C3722" s="32" t="s">
        <v>782</v>
      </c>
      <c r="D3722" s="32" t="s">
        <v>4961</v>
      </c>
      <c r="E3722" s="33" t="s">
        <v>784</v>
      </c>
      <c r="F3722" s="34">
        <v>641674</v>
      </c>
      <c r="G3722" s="34">
        <v>641674</v>
      </c>
      <c r="H3722" s="35" t="s">
        <v>859</v>
      </c>
    </row>
    <row r="3723" spans="1:8" ht="27" customHeight="1" x14ac:dyDescent="0.2">
      <c r="A3723" s="31" t="s">
        <v>4962</v>
      </c>
      <c r="B3723" s="32" t="s">
        <v>4963</v>
      </c>
      <c r="C3723" s="32" t="s">
        <v>763</v>
      </c>
      <c r="D3723" s="32" t="s">
        <v>816</v>
      </c>
      <c r="E3723" s="33" t="s">
        <v>764</v>
      </c>
      <c r="F3723" s="34">
        <v>350361</v>
      </c>
      <c r="G3723" s="34">
        <v>450361</v>
      </c>
      <c r="H3723" s="35" t="s">
        <v>4964</v>
      </c>
    </row>
    <row r="3724" spans="1:8" ht="27" customHeight="1" x14ac:dyDescent="0.2">
      <c r="A3724" s="31" t="s">
        <v>4962</v>
      </c>
      <c r="B3724" s="32" t="s">
        <v>4963</v>
      </c>
      <c r="C3724" s="32" t="s">
        <v>770</v>
      </c>
      <c r="D3724" s="32" t="s">
        <v>4965</v>
      </c>
      <c r="E3724" s="33" t="s">
        <v>772</v>
      </c>
      <c r="F3724" s="34">
        <v>102755</v>
      </c>
      <c r="G3724" s="34">
        <v>102755</v>
      </c>
      <c r="H3724" s="35" t="s">
        <v>4964</v>
      </c>
    </row>
    <row r="3725" spans="1:8" ht="27" customHeight="1" x14ac:dyDescent="0.2">
      <c r="A3725" s="31" t="s">
        <v>4962</v>
      </c>
      <c r="B3725" s="32" t="s">
        <v>4963</v>
      </c>
      <c r="C3725" s="32" t="s">
        <v>860</v>
      </c>
      <c r="D3725" s="32" t="s">
        <v>4966</v>
      </c>
      <c r="E3725" s="33" t="s">
        <v>861</v>
      </c>
      <c r="F3725" s="34">
        <v>48828</v>
      </c>
      <c r="G3725" s="34">
        <v>48828</v>
      </c>
      <c r="H3725" s="35" t="s">
        <v>4964</v>
      </c>
    </row>
    <row r="3726" spans="1:8" ht="27" customHeight="1" x14ac:dyDescent="0.2">
      <c r="A3726" s="31" t="s">
        <v>4962</v>
      </c>
      <c r="B3726" s="32" t="s">
        <v>4963</v>
      </c>
      <c r="C3726" s="32" t="s">
        <v>796</v>
      </c>
      <c r="D3726" s="32" t="s">
        <v>4967</v>
      </c>
      <c r="E3726" s="33" t="s">
        <v>772</v>
      </c>
      <c r="F3726" s="34">
        <v>160822</v>
      </c>
      <c r="G3726" s="34">
        <v>160822</v>
      </c>
      <c r="H3726" s="35" t="s">
        <v>4964</v>
      </c>
    </row>
    <row r="3727" spans="1:8" ht="27" customHeight="1" x14ac:dyDescent="0.2">
      <c r="A3727" s="31" t="s">
        <v>4962</v>
      </c>
      <c r="B3727" s="32" t="s">
        <v>4963</v>
      </c>
      <c r="C3727" s="32" t="s">
        <v>779</v>
      </c>
      <c r="D3727" s="32" t="s">
        <v>927</v>
      </c>
      <c r="E3727" s="33" t="s">
        <v>780</v>
      </c>
      <c r="F3727" s="34">
        <v>50221</v>
      </c>
      <c r="G3727" s="34">
        <v>50221</v>
      </c>
      <c r="H3727" s="35" t="s">
        <v>4964</v>
      </c>
    </row>
    <row r="3728" spans="1:8" ht="27" customHeight="1" x14ac:dyDescent="0.2">
      <c r="A3728" s="31" t="s">
        <v>4962</v>
      </c>
      <c r="B3728" s="32" t="s">
        <v>4963</v>
      </c>
      <c r="C3728" s="32" t="s">
        <v>782</v>
      </c>
      <c r="D3728" s="32" t="s">
        <v>4968</v>
      </c>
      <c r="E3728" s="33" t="s">
        <v>784</v>
      </c>
      <c r="F3728" s="34">
        <v>114229</v>
      </c>
      <c r="G3728" s="34">
        <v>114229</v>
      </c>
      <c r="H3728" s="35" t="s">
        <v>4964</v>
      </c>
    </row>
    <row r="3729" spans="1:8" ht="27" customHeight="1" x14ac:dyDescent="0.2">
      <c r="A3729" s="31" t="s">
        <v>4969</v>
      </c>
      <c r="B3729" s="32" t="s">
        <v>4970</v>
      </c>
      <c r="C3729" s="32" t="s">
        <v>763</v>
      </c>
      <c r="D3729" s="32" t="s">
        <v>763</v>
      </c>
      <c r="E3729" s="33" t="s">
        <v>764</v>
      </c>
      <c r="F3729" s="34">
        <v>1701955</v>
      </c>
      <c r="G3729" s="34">
        <v>2301955</v>
      </c>
      <c r="H3729" s="35" t="s">
        <v>4971</v>
      </c>
    </row>
    <row r="3730" spans="1:8" ht="27" customHeight="1" x14ac:dyDescent="0.2">
      <c r="A3730" s="31" t="s">
        <v>4969</v>
      </c>
      <c r="B3730" s="32" t="s">
        <v>4970</v>
      </c>
      <c r="C3730" s="32" t="s">
        <v>770</v>
      </c>
      <c r="D3730" s="32" t="s">
        <v>770</v>
      </c>
      <c r="E3730" s="33" t="s">
        <v>772</v>
      </c>
      <c r="F3730" s="34">
        <v>1588818</v>
      </c>
      <c r="G3730" s="34">
        <v>1600000</v>
      </c>
      <c r="H3730" s="35" t="s">
        <v>4972</v>
      </c>
    </row>
    <row r="3731" spans="1:8" ht="27" customHeight="1" x14ac:dyDescent="0.2">
      <c r="A3731" s="31" t="s">
        <v>4969</v>
      </c>
      <c r="B3731" s="32" t="s">
        <v>4970</v>
      </c>
      <c r="C3731" s="32" t="s">
        <v>844</v>
      </c>
      <c r="D3731" s="32" t="s">
        <v>844</v>
      </c>
      <c r="E3731" s="33" t="s">
        <v>846</v>
      </c>
      <c r="F3731" s="34">
        <v>1166318</v>
      </c>
      <c r="G3731" s="34">
        <v>1166318</v>
      </c>
      <c r="H3731" s="35" t="s">
        <v>4973</v>
      </c>
    </row>
    <row r="3732" spans="1:8" ht="27" customHeight="1" x14ac:dyDescent="0.2">
      <c r="A3732" s="31" t="s">
        <v>4969</v>
      </c>
      <c r="B3732" s="32" t="s">
        <v>4970</v>
      </c>
      <c r="C3732" s="32" t="s">
        <v>860</v>
      </c>
      <c r="D3732" s="32" t="s">
        <v>860</v>
      </c>
      <c r="E3732" s="33" t="s">
        <v>861</v>
      </c>
      <c r="F3732" s="34">
        <v>1569719</v>
      </c>
      <c r="G3732" s="34">
        <v>1600000</v>
      </c>
      <c r="H3732" s="35" t="s">
        <v>4974</v>
      </c>
    </row>
    <row r="3733" spans="1:8" ht="27" customHeight="1" x14ac:dyDescent="0.2">
      <c r="A3733" s="31" t="s">
        <v>4969</v>
      </c>
      <c r="B3733" s="32" t="s">
        <v>4970</v>
      </c>
      <c r="C3733" s="32" t="s">
        <v>796</v>
      </c>
      <c r="D3733" s="32" t="s">
        <v>1050</v>
      </c>
      <c r="E3733" s="33" t="s">
        <v>823</v>
      </c>
      <c r="F3733" s="34">
        <v>916164</v>
      </c>
      <c r="G3733" s="34">
        <v>950000</v>
      </c>
      <c r="H3733" s="35" t="s">
        <v>4975</v>
      </c>
    </row>
    <row r="3734" spans="1:8" ht="27" customHeight="1" x14ac:dyDescent="0.2">
      <c r="A3734" s="31" t="s">
        <v>4969</v>
      </c>
      <c r="B3734" s="32" t="s">
        <v>4970</v>
      </c>
      <c r="C3734" s="32" t="s">
        <v>779</v>
      </c>
      <c r="D3734" s="32" t="s">
        <v>802</v>
      </c>
      <c r="E3734" s="33" t="s">
        <v>780</v>
      </c>
      <c r="F3734" s="34">
        <v>129356</v>
      </c>
      <c r="G3734" s="34">
        <v>129356</v>
      </c>
      <c r="H3734" s="35" t="s">
        <v>4976</v>
      </c>
    </row>
    <row r="3735" spans="1:8" ht="27" customHeight="1" x14ac:dyDescent="0.2">
      <c r="A3735" s="31" t="s">
        <v>4969</v>
      </c>
      <c r="B3735" s="32" t="s">
        <v>4970</v>
      </c>
      <c r="C3735" s="32" t="s">
        <v>782</v>
      </c>
      <c r="D3735" s="32" t="s">
        <v>782</v>
      </c>
      <c r="E3735" s="33" t="s">
        <v>784</v>
      </c>
      <c r="F3735" s="34">
        <v>587860</v>
      </c>
      <c r="G3735" s="34">
        <v>587860</v>
      </c>
      <c r="H3735" s="35" t="s">
        <v>4977</v>
      </c>
    </row>
    <row r="3736" spans="1:8" ht="27" customHeight="1" x14ac:dyDescent="0.2">
      <c r="A3736" s="31" t="s">
        <v>4978</v>
      </c>
      <c r="B3736" s="32" t="s">
        <v>330</v>
      </c>
      <c r="C3736" s="32" t="s">
        <v>763</v>
      </c>
      <c r="D3736" s="32" t="s">
        <v>763</v>
      </c>
      <c r="E3736" s="33" t="s">
        <v>764</v>
      </c>
      <c r="F3736" s="34">
        <v>500000</v>
      </c>
      <c r="G3736" s="34">
        <v>750000</v>
      </c>
      <c r="H3736" s="35" t="s">
        <v>4979</v>
      </c>
    </row>
    <row r="3737" spans="1:8" ht="27" customHeight="1" x14ac:dyDescent="0.2">
      <c r="A3737" s="31" t="s">
        <v>4978</v>
      </c>
      <c r="B3737" s="32" t="s">
        <v>330</v>
      </c>
      <c r="C3737" s="32" t="s">
        <v>770</v>
      </c>
      <c r="D3737" s="32" t="s">
        <v>770</v>
      </c>
      <c r="E3737" s="33" t="s">
        <v>772</v>
      </c>
      <c r="F3737" s="34">
        <v>1307432</v>
      </c>
      <c r="G3737" s="34">
        <v>1300000</v>
      </c>
      <c r="H3737" s="35" t="s">
        <v>3291</v>
      </c>
    </row>
    <row r="3738" spans="1:8" ht="27" customHeight="1" x14ac:dyDescent="0.2">
      <c r="A3738" s="31" t="s">
        <v>4978</v>
      </c>
      <c r="B3738" s="32" t="s">
        <v>330</v>
      </c>
      <c r="C3738" s="32" t="s">
        <v>844</v>
      </c>
      <c r="D3738" s="32" t="s">
        <v>844</v>
      </c>
      <c r="E3738" s="33" t="s">
        <v>846</v>
      </c>
      <c r="F3738" s="34">
        <v>21947</v>
      </c>
      <c r="G3738" s="34">
        <v>22000</v>
      </c>
      <c r="H3738" s="35" t="s">
        <v>4980</v>
      </c>
    </row>
    <row r="3739" spans="1:8" ht="27" customHeight="1" x14ac:dyDescent="0.2">
      <c r="A3739" s="31" t="s">
        <v>4978</v>
      </c>
      <c r="B3739" s="32" t="s">
        <v>330</v>
      </c>
      <c r="C3739" s="32" t="s">
        <v>886</v>
      </c>
      <c r="D3739" s="32" t="s">
        <v>886</v>
      </c>
      <c r="E3739" s="33" t="s">
        <v>887</v>
      </c>
      <c r="F3739" s="34">
        <v>11034</v>
      </c>
      <c r="G3739" s="34">
        <v>11250</v>
      </c>
      <c r="H3739" s="35" t="s">
        <v>3432</v>
      </c>
    </row>
    <row r="3740" spans="1:8" ht="27" customHeight="1" x14ac:dyDescent="0.2">
      <c r="A3740" s="31" t="s">
        <v>4978</v>
      </c>
      <c r="B3740" s="32" t="s">
        <v>330</v>
      </c>
      <c r="C3740" s="32" t="s">
        <v>860</v>
      </c>
      <c r="D3740" s="32" t="s">
        <v>860</v>
      </c>
      <c r="E3740" s="33" t="s">
        <v>861</v>
      </c>
      <c r="F3740" s="34">
        <v>486863</v>
      </c>
      <c r="G3740" s="34">
        <v>550000</v>
      </c>
      <c r="H3740" s="35" t="s">
        <v>3433</v>
      </c>
    </row>
    <row r="3741" spans="1:8" ht="27" customHeight="1" x14ac:dyDescent="0.2">
      <c r="A3741" s="31" t="s">
        <v>4978</v>
      </c>
      <c r="B3741" s="32" t="s">
        <v>330</v>
      </c>
      <c r="C3741" s="32" t="s">
        <v>796</v>
      </c>
      <c r="D3741" s="32" t="s">
        <v>796</v>
      </c>
      <c r="E3741" s="33" t="s">
        <v>823</v>
      </c>
      <c r="F3741" s="34">
        <v>566260</v>
      </c>
      <c r="G3741" s="34">
        <v>570000</v>
      </c>
      <c r="H3741" s="35" t="s">
        <v>2931</v>
      </c>
    </row>
    <row r="3742" spans="1:8" ht="27" customHeight="1" x14ac:dyDescent="0.2">
      <c r="A3742" s="31" t="s">
        <v>4978</v>
      </c>
      <c r="B3742" s="32" t="s">
        <v>330</v>
      </c>
      <c r="C3742" s="32" t="s">
        <v>779</v>
      </c>
      <c r="D3742" s="32" t="s">
        <v>779</v>
      </c>
      <c r="E3742" s="33" t="s">
        <v>780</v>
      </c>
      <c r="F3742" s="34">
        <v>36180</v>
      </c>
      <c r="G3742" s="34">
        <v>35500</v>
      </c>
      <c r="H3742" s="35" t="s">
        <v>4981</v>
      </c>
    </row>
    <row r="3743" spans="1:8" ht="27" customHeight="1" x14ac:dyDescent="0.2">
      <c r="A3743" s="31" t="s">
        <v>4978</v>
      </c>
      <c r="B3743" s="32" t="s">
        <v>330</v>
      </c>
      <c r="C3743" s="32" t="s">
        <v>782</v>
      </c>
      <c r="D3743" s="32" t="s">
        <v>782</v>
      </c>
      <c r="E3743" s="33" t="s">
        <v>784</v>
      </c>
      <c r="F3743" s="34">
        <v>297833</v>
      </c>
      <c r="G3743" s="34">
        <v>280000</v>
      </c>
      <c r="H3743" s="35" t="s">
        <v>4982</v>
      </c>
    </row>
    <row r="3744" spans="1:8" ht="27" customHeight="1" x14ac:dyDescent="0.2">
      <c r="A3744" s="31" t="s">
        <v>4983</v>
      </c>
      <c r="B3744" s="32" t="s">
        <v>4984</v>
      </c>
      <c r="C3744" s="32" t="s">
        <v>763</v>
      </c>
      <c r="D3744" s="32" t="s">
        <v>1951</v>
      </c>
      <c r="E3744" s="33" t="s">
        <v>764</v>
      </c>
      <c r="F3744" s="34">
        <v>0</v>
      </c>
      <c r="G3744" s="34">
        <v>3700000</v>
      </c>
      <c r="H3744" s="35" t="s">
        <v>4985</v>
      </c>
    </row>
    <row r="3745" spans="1:8" ht="27" customHeight="1" x14ac:dyDescent="0.2">
      <c r="A3745" s="31" t="s">
        <v>4983</v>
      </c>
      <c r="B3745" s="32" t="s">
        <v>4984</v>
      </c>
      <c r="C3745" s="32" t="s">
        <v>770</v>
      </c>
      <c r="D3745" s="32" t="s">
        <v>770</v>
      </c>
      <c r="E3745" s="33" t="s">
        <v>772</v>
      </c>
      <c r="F3745" s="34">
        <v>2061038</v>
      </c>
      <c r="G3745" s="34">
        <v>1561038</v>
      </c>
      <c r="H3745" s="35" t="s">
        <v>4986</v>
      </c>
    </row>
    <row r="3746" spans="1:8" ht="27" customHeight="1" x14ac:dyDescent="0.2">
      <c r="A3746" s="31" t="s">
        <v>4983</v>
      </c>
      <c r="B3746" s="32" t="s">
        <v>4984</v>
      </c>
      <c r="C3746" s="32" t="s">
        <v>796</v>
      </c>
      <c r="D3746" s="32" t="s">
        <v>862</v>
      </c>
      <c r="E3746" s="33" t="s">
        <v>823</v>
      </c>
      <c r="F3746" s="34">
        <v>4628840</v>
      </c>
      <c r="G3746" s="34">
        <v>2128840</v>
      </c>
      <c r="H3746" s="35" t="s">
        <v>4987</v>
      </c>
    </row>
    <row r="3747" spans="1:8" ht="27" customHeight="1" x14ac:dyDescent="0.2">
      <c r="A3747" s="31" t="s">
        <v>4983</v>
      </c>
      <c r="B3747" s="32" t="s">
        <v>4984</v>
      </c>
      <c r="C3747" s="32" t="s">
        <v>779</v>
      </c>
      <c r="D3747" s="32" t="s">
        <v>802</v>
      </c>
      <c r="E3747" s="33" t="s">
        <v>780</v>
      </c>
      <c r="F3747" s="34">
        <v>593523</v>
      </c>
      <c r="G3747" s="34">
        <v>93523</v>
      </c>
      <c r="H3747" s="35" t="s">
        <v>4988</v>
      </c>
    </row>
    <row r="3748" spans="1:8" ht="27" customHeight="1" x14ac:dyDescent="0.2">
      <c r="A3748" s="31" t="s">
        <v>4983</v>
      </c>
      <c r="B3748" s="32" t="s">
        <v>4984</v>
      </c>
      <c r="C3748" s="32" t="s">
        <v>782</v>
      </c>
      <c r="D3748" s="32" t="s">
        <v>901</v>
      </c>
      <c r="E3748" s="33" t="s">
        <v>784</v>
      </c>
      <c r="F3748" s="34">
        <v>770062</v>
      </c>
      <c r="G3748" s="34">
        <v>645062</v>
      </c>
      <c r="H3748" s="35" t="s">
        <v>4989</v>
      </c>
    </row>
    <row r="3749" spans="1:8" ht="27" customHeight="1" x14ac:dyDescent="0.2">
      <c r="A3749" s="31" t="s">
        <v>4990</v>
      </c>
      <c r="B3749" s="32" t="s">
        <v>4991</v>
      </c>
      <c r="C3749" s="32" t="s">
        <v>770</v>
      </c>
      <c r="D3749" s="32" t="s">
        <v>830</v>
      </c>
      <c r="E3749" s="33" t="s">
        <v>772</v>
      </c>
      <c r="F3749" s="34">
        <v>268203</v>
      </c>
      <c r="G3749" s="34">
        <v>268370</v>
      </c>
      <c r="H3749" s="35" t="s">
        <v>4992</v>
      </c>
    </row>
    <row r="3750" spans="1:8" ht="27" customHeight="1" x14ac:dyDescent="0.2">
      <c r="A3750" s="31" t="s">
        <v>4990</v>
      </c>
      <c r="B3750" s="32" t="s">
        <v>4991</v>
      </c>
      <c r="C3750" s="32" t="s">
        <v>860</v>
      </c>
      <c r="D3750" s="32" t="s">
        <v>911</v>
      </c>
      <c r="E3750" s="33" t="s">
        <v>861</v>
      </c>
      <c r="F3750" s="34">
        <v>434004</v>
      </c>
      <c r="G3750" s="34">
        <v>434275</v>
      </c>
      <c r="H3750" s="35" t="s">
        <v>4993</v>
      </c>
    </row>
    <row r="3751" spans="1:8" ht="27" customHeight="1" x14ac:dyDescent="0.2">
      <c r="A3751" s="31" t="s">
        <v>4990</v>
      </c>
      <c r="B3751" s="32" t="s">
        <v>4991</v>
      </c>
      <c r="C3751" s="32" t="s">
        <v>776</v>
      </c>
      <c r="D3751" s="32" t="s">
        <v>812</v>
      </c>
      <c r="E3751" s="33" t="s">
        <v>777</v>
      </c>
      <c r="F3751" s="34">
        <v>160544</v>
      </c>
      <c r="G3751" s="34">
        <v>160644</v>
      </c>
      <c r="H3751" s="35" t="s">
        <v>4994</v>
      </c>
    </row>
    <row r="3752" spans="1:8" ht="27" customHeight="1" x14ac:dyDescent="0.2">
      <c r="A3752" s="31" t="s">
        <v>4990</v>
      </c>
      <c r="B3752" s="32" t="s">
        <v>4991</v>
      </c>
      <c r="C3752" s="32" t="s">
        <v>779</v>
      </c>
      <c r="D3752" s="32" t="s">
        <v>826</v>
      </c>
      <c r="E3752" s="33" t="s">
        <v>780</v>
      </c>
      <c r="F3752" s="34">
        <v>103813</v>
      </c>
      <c r="G3752" s="34">
        <v>103878</v>
      </c>
      <c r="H3752" s="35" t="s">
        <v>4995</v>
      </c>
    </row>
    <row r="3753" spans="1:8" ht="27" customHeight="1" x14ac:dyDescent="0.2">
      <c r="A3753" s="31" t="s">
        <v>4990</v>
      </c>
      <c r="B3753" s="32" t="s">
        <v>4991</v>
      </c>
      <c r="C3753" s="32" t="s">
        <v>782</v>
      </c>
      <c r="D3753" s="32" t="s">
        <v>980</v>
      </c>
      <c r="E3753" s="33" t="s">
        <v>784</v>
      </c>
      <c r="F3753" s="34">
        <v>107124</v>
      </c>
      <c r="G3753" s="34">
        <v>107191</v>
      </c>
      <c r="H3753" s="35" t="s">
        <v>4996</v>
      </c>
    </row>
    <row r="3754" spans="1:8" ht="27" customHeight="1" x14ac:dyDescent="0.2">
      <c r="A3754" s="31" t="s">
        <v>4997</v>
      </c>
      <c r="B3754" s="32" t="s">
        <v>4998</v>
      </c>
      <c r="C3754" s="32" t="s">
        <v>770</v>
      </c>
      <c r="D3754" s="32" t="s">
        <v>4389</v>
      </c>
      <c r="E3754" s="33" t="s">
        <v>772</v>
      </c>
      <c r="F3754" s="34">
        <v>372777</v>
      </c>
      <c r="G3754" s="34">
        <v>372777</v>
      </c>
      <c r="H3754" s="35" t="s">
        <v>4999</v>
      </c>
    </row>
    <row r="3755" spans="1:8" ht="27" customHeight="1" x14ac:dyDescent="0.2">
      <c r="A3755" s="31" t="s">
        <v>4997</v>
      </c>
      <c r="B3755" s="32" t="s">
        <v>4998</v>
      </c>
      <c r="C3755" s="32" t="s">
        <v>886</v>
      </c>
      <c r="D3755" s="32" t="s">
        <v>951</v>
      </c>
      <c r="E3755" s="33" t="s">
        <v>887</v>
      </c>
      <c r="F3755" s="34">
        <v>100198</v>
      </c>
      <c r="G3755" s="34">
        <v>100198</v>
      </c>
      <c r="H3755" s="35" t="s">
        <v>829</v>
      </c>
    </row>
    <row r="3756" spans="1:8" ht="27" customHeight="1" x14ac:dyDescent="0.2">
      <c r="A3756" s="31" t="s">
        <v>4997</v>
      </c>
      <c r="B3756" s="32" t="s">
        <v>4998</v>
      </c>
      <c r="C3756" s="32" t="s">
        <v>860</v>
      </c>
      <c r="D3756" s="32" t="s">
        <v>1027</v>
      </c>
      <c r="E3756" s="33" t="s">
        <v>861</v>
      </c>
      <c r="F3756" s="34">
        <v>41499</v>
      </c>
      <c r="G3756" s="34">
        <v>41499</v>
      </c>
      <c r="H3756" s="35" t="s">
        <v>829</v>
      </c>
    </row>
    <row r="3757" spans="1:8" ht="27" customHeight="1" x14ac:dyDescent="0.2">
      <c r="A3757" s="31" t="s">
        <v>4997</v>
      </c>
      <c r="B3757" s="32" t="s">
        <v>4998</v>
      </c>
      <c r="C3757" s="32" t="s">
        <v>796</v>
      </c>
      <c r="D3757" s="32" t="s">
        <v>1694</v>
      </c>
      <c r="E3757" s="33" t="s">
        <v>823</v>
      </c>
      <c r="F3757" s="34">
        <v>125248</v>
      </c>
      <c r="G3757" s="34">
        <v>125248</v>
      </c>
      <c r="H3757" s="35" t="s">
        <v>829</v>
      </c>
    </row>
    <row r="3758" spans="1:8" ht="27" customHeight="1" x14ac:dyDescent="0.2">
      <c r="A3758" s="31" t="s">
        <v>4997</v>
      </c>
      <c r="B3758" s="32" t="s">
        <v>4998</v>
      </c>
      <c r="C3758" s="32" t="s">
        <v>779</v>
      </c>
      <c r="D3758" s="32" t="s">
        <v>876</v>
      </c>
      <c r="E3758" s="33" t="s">
        <v>780</v>
      </c>
      <c r="F3758" s="34">
        <v>175000</v>
      </c>
      <c r="G3758" s="34">
        <v>175000</v>
      </c>
      <c r="H3758" s="35" t="s">
        <v>829</v>
      </c>
    </row>
    <row r="3759" spans="1:8" ht="27" customHeight="1" x14ac:dyDescent="0.2">
      <c r="A3759" s="31" t="s">
        <v>4997</v>
      </c>
      <c r="B3759" s="32" t="s">
        <v>4998</v>
      </c>
      <c r="C3759" s="32" t="s">
        <v>782</v>
      </c>
      <c r="D3759" s="32" t="s">
        <v>1391</v>
      </c>
      <c r="E3759" s="33" t="s">
        <v>784</v>
      </c>
      <c r="F3759" s="34">
        <v>510556</v>
      </c>
      <c r="G3759" s="34">
        <v>510556</v>
      </c>
      <c r="H3759" s="35" t="s">
        <v>829</v>
      </c>
    </row>
    <row r="3760" spans="1:8" ht="27" customHeight="1" x14ac:dyDescent="0.2">
      <c r="A3760" s="31" t="s">
        <v>5000</v>
      </c>
      <c r="B3760" s="32" t="s">
        <v>5001</v>
      </c>
      <c r="C3760" s="32" t="s">
        <v>763</v>
      </c>
      <c r="D3760" s="32" t="s">
        <v>816</v>
      </c>
      <c r="E3760" s="33" t="s">
        <v>764</v>
      </c>
      <c r="F3760" s="34">
        <v>1718952</v>
      </c>
      <c r="G3760" s="34">
        <v>89127</v>
      </c>
      <c r="H3760" s="35" t="s">
        <v>5002</v>
      </c>
    </row>
    <row r="3761" spans="1:8" ht="27" customHeight="1" x14ac:dyDescent="0.2">
      <c r="A3761" s="31" t="s">
        <v>5000</v>
      </c>
      <c r="B3761" s="32" t="s">
        <v>5001</v>
      </c>
      <c r="C3761" s="32" t="s">
        <v>766</v>
      </c>
      <c r="D3761" s="32" t="s">
        <v>1301</v>
      </c>
      <c r="E3761" s="33" t="s">
        <v>768</v>
      </c>
      <c r="F3761" s="34">
        <v>0</v>
      </c>
      <c r="G3761" s="34">
        <v>0</v>
      </c>
      <c r="H3761" s="35" t="s">
        <v>5003</v>
      </c>
    </row>
    <row r="3762" spans="1:8" ht="27" customHeight="1" x14ac:dyDescent="0.2">
      <c r="A3762" s="31" t="s">
        <v>5000</v>
      </c>
      <c r="B3762" s="32" t="s">
        <v>5001</v>
      </c>
      <c r="C3762" s="32" t="s">
        <v>770</v>
      </c>
      <c r="D3762" s="32" t="s">
        <v>5004</v>
      </c>
      <c r="E3762" s="33" t="s">
        <v>772</v>
      </c>
      <c r="F3762" s="34">
        <v>1469308</v>
      </c>
      <c r="G3762" s="34">
        <v>1491348</v>
      </c>
      <c r="H3762" s="35" t="s">
        <v>5005</v>
      </c>
    </row>
    <row r="3763" spans="1:8" ht="27" customHeight="1" x14ac:dyDescent="0.2">
      <c r="A3763" s="31" t="s">
        <v>5000</v>
      </c>
      <c r="B3763" s="32" t="s">
        <v>5001</v>
      </c>
      <c r="C3763" s="32" t="s">
        <v>884</v>
      </c>
      <c r="D3763" s="32" t="s">
        <v>5006</v>
      </c>
      <c r="E3763" s="33" t="s">
        <v>885</v>
      </c>
      <c r="F3763" s="34">
        <v>0</v>
      </c>
      <c r="G3763" s="34">
        <v>0</v>
      </c>
      <c r="H3763" s="35" t="s">
        <v>5007</v>
      </c>
    </row>
    <row r="3764" spans="1:8" ht="27" customHeight="1" x14ac:dyDescent="0.2">
      <c r="A3764" s="31" t="s">
        <v>5000</v>
      </c>
      <c r="B3764" s="32" t="s">
        <v>5001</v>
      </c>
      <c r="C3764" s="32" t="s">
        <v>844</v>
      </c>
      <c r="D3764" s="32" t="s">
        <v>972</v>
      </c>
      <c r="E3764" s="33" t="s">
        <v>846</v>
      </c>
      <c r="F3764" s="34">
        <v>0</v>
      </c>
      <c r="G3764" s="34">
        <v>0</v>
      </c>
      <c r="H3764" s="35" t="s">
        <v>5007</v>
      </c>
    </row>
    <row r="3765" spans="1:8" ht="27" customHeight="1" x14ac:dyDescent="0.2">
      <c r="A3765" s="31" t="s">
        <v>5000</v>
      </c>
      <c r="B3765" s="32" t="s">
        <v>5001</v>
      </c>
      <c r="C3765" s="32" t="s">
        <v>773</v>
      </c>
      <c r="D3765" s="32" t="s">
        <v>5008</v>
      </c>
      <c r="E3765" s="33" t="s">
        <v>775</v>
      </c>
      <c r="F3765" s="34">
        <v>148710</v>
      </c>
      <c r="G3765" s="34">
        <v>148710</v>
      </c>
      <c r="H3765" s="35" t="s">
        <v>5005</v>
      </c>
    </row>
    <row r="3766" spans="1:8" ht="27" customHeight="1" x14ac:dyDescent="0.2">
      <c r="A3766" s="31" t="s">
        <v>5000</v>
      </c>
      <c r="B3766" s="32" t="s">
        <v>5001</v>
      </c>
      <c r="C3766" s="32" t="s">
        <v>886</v>
      </c>
      <c r="D3766" s="32" t="s">
        <v>886</v>
      </c>
      <c r="E3766" s="33" t="s">
        <v>887</v>
      </c>
      <c r="F3766" s="34">
        <v>0</v>
      </c>
      <c r="G3766" s="34">
        <v>0</v>
      </c>
      <c r="H3766" s="35" t="s">
        <v>5007</v>
      </c>
    </row>
    <row r="3767" spans="1:8" ht="27" customHeight="1" x14ac:dyDescent="0.2">
      <c r="A3767" s="31" t="s">
        <v>5000</v>
      </c>
      <c r="B3767" s="32" t="s">
        <v>5001</v>
      </c>
      <c r="C3767" s="32" t="s">
        <v>860</v>
      </c>
      <c r="D3767" s="32" t="s">
        <v>860</v>
      </c>
      <c r="E3767" s="33" t="s">
        <v>861</v>
      </c>
      <c r="F3767" s="34">
        <v>0</v>
      </c>
      <c r="G3767" s="34">
        <v>0</v>
      </c>
      <c r="H3767" s="35" t="s">
        <v>5009</v>
      </c>
    </row>
    <row r="3768" spans="1:8" ht="27" customHeight="1" x14ac:dyDescent="0.2">
      <c r="A3768" s="31" t="s">
        <v>5000</v>
      </c>
      <c r="B3768" s="32" t="s">
        <v>5001</v>
      </c>
      <c r="C3768" s="32" t="s">
        <v>796</v>
      </c>
      <c r="D3768" s="32" t="s">
        <v>1694</v>
      </c>
      <c r="E3768" s="33" t="s">
        <v>772</v>
      </c>
      <c r="F3768" s="34">
        <v>1664851</v>
      </c>
      <c r="G3768" s="34">
        <v>1664851</v>
      </c>
      <c r="H3768" s="35" t="s">
        <v>5005</v>
      </c>
    </row>
    <row r="3769" spans="1:8" ht="27" customHeight="1" x14ac:dyDescent="0.2">
      <c r="A3769" s="31" t="s">
        <v>5000</v>
      </c>
      <c r="B3769" s="32" t="s">
        <v>5001</v>
      </c>
      <c r="C3769" s="32" t="s">
        <v>776</v>
      </c>
      <c r="D3769" s="32" t="s">
        <v>3670</v>
      </c>
      <c r="E3769" s="33" t="s">
        <v>777</v>
      </c>
      <c r="F3769" s="34">
        <v>1133408</v>
      </c>
      <c r="G3769" s="34">
        <v>1150409</v>
      </c>
      <c r="H3769" s="35" t="s">
        <v>5005</v>
      </c>
    </row>
    <row r="3770" spans="1:8" ht="27" customHeight="1" x14ac:dyDescent="0.2">
      <c r="A3770" s="31" t="s">
        <v>5000</v>
      </c>
      <c r="B3770" s="32" t="s">
        <v>5001</v>
      </c>
      <c r="C3770" s="32" t="s">
        <v>798</v>
      </c>
      <c r="D3770" s="32" t="s">
        <v>5010</v>
      </c>
      <c r="E3770" s="33" t="s">
        <v>800</v>
      </c>
      <c r="F3770" s="34">
        <v>0</v>
      </c>
      <c r="G3770" s="34">
        <v>0</v>
      </c>
      <c r="H3770" s="35" t="s">
        <v>5007</v>
      </c>
    </row>
    <row r="3771" spans="1:8" ht="27" customHeight="1" x14ac:dyDescent="0.2">
      <c r="A3771" s="31" t="s">
        <v>5000</v>
      </c>
      <c r="B3771" s="32" t="s">
        <v>5001</v>
      </c>
      <c r="C3771" s="32" t="s">
        <v>892</v>
      </c>
      <c r="D3771" s="32" t="s">
        <v>1226</v>
      </c>
      <c r="E3771" s="33" t="s">
        <v>893</v>
      </c>
      <c r="F3771" s="34">
        <v>0</v>
      </c>
      <c r="G3771" s="34">
        <v>0</v>
      </c>
      <c r="H3771" s="35" t="s">
        <v>5011</v>
      </c>
    </row>
    <row r="3772" spans="1:8" ht="27" customHeight="1" x14ac:dyDescent="0.2">
      <c r="A3772" s="31" t="s">
        <v>5000</v>
      </c>
      <c r="B3772" s="32" t="s">
        <v>5001</v>
      </c>
      <c r="C3772" s="32" t="s">
        <v>779</v>
      </c>
      <c r="D3772" s="32" t="s">
        <v>1126</v>
      </c>
      <c r="E3772" s="33" t="s">
        <v>780</v>
      </c>
      <c r="F3772" s="34">
        <v>133758</v>
      </c>
      <c r="G3772" s="34">
        <v>135764</v>
      </c>
      <c r="H3772" s="35" t="s">
        <v>5005</v>
      </c>
    </row>
    <row r="3773" spans="1:8" ht="27" customHeight="1" x14ac:dyDescent="0.2">
      <c r="A3773" s="31" t="s">
        <v>5000</v>
      </c>
      <c r="B3773" s="32" t="s">
        <v>5001</v>
      </c>
      <c r="C3773" s="32" t="s">
        <v>782</v>
      </c>
      <c r="D3773" s="32" t="s">
        <v>901</v>
      </c>
      <c r="E3773" s="33" t="s">
        <v>784</v>
      </c>
      <c r="F3773" s="34">
        <v>0</v>
      </c>
      <c r="G3773" s="34">
        <v>0</v>
      </c>
      <c r="H3773" s="35" t="s">
        <v>5007</v>
      </c>
    </row>
    <row r="3774" spans="1:8" ht="27" customHeight="1" x14ac:dyDescent="0.2">
      <c r="A3774" s="31" t="s">
        <v>5012</v>
      </c>
      <c r="B3774" s="32" t="s">
        <v>680</v>
      </c>
      <c r="C3774" s="32" t="s">
        <v>763</v>
      </c>
      <c r="D3774" s="32" t="s">
        <v>5013</v>
      </c>
      <c r="E3774" s="33" t="s">
        <v>764</v>
      </c>
      <c r="F3774" s="34">
        <v>2818022</v>
      </c>
      <c r="G3774" s="34">
        <v>2821000</v>
      </c>
      <c r="H3774" s="35" t="s">
        <v>5014</v>
      </c>
    </row>
    <row r="3775" spans="1:8" ht="27" customHeight="1" x14ac:dyDescent="0.2">
      <c r="A3775" s="31" t="s">
        <v>5012</v>
      </c>
      <c r="B3775" s="32" t="s">
        <v>680</v>
      </c>
      <c r="C3775" s="32" t="s">
        <v>770</v>
      </c>
      <c r="D3775" s="32" t="s">
        <v>1136</v>
      </c>
      <c r="E3775" s="33" t="s">
        <v>772</v>
      </c>
      <c r="F3775" s="34">
        <v>1028571</v>
      </c>
      <c r="G3775" s="34">
        <v>1029250</v>
      </c>
      <c r="H3775" s="35" t="s">
        <v>5015</v>
      </c>
    </row>
    <row r="3776" spans="1:8" ht="27" customHeight="1" x14ac:dyDescent="0.2">
      <c r="A3776" s="31" t="s">
        <v>5012</v>
      </c>
      <c r="B3776" s="32" t="s">
        <v>680</v>
      </c>
      <c r="C3776" s="32" t="s">
        <v>860</v>
      </c>
      <c r="D3776" s="32" t="s">
        <v>911</v>
      </c>
      <c r="E3776" s="33" t="s">
        <v>861</v>
      </c>
      <c r="F3776" s="34">
        <v>186933</v>
      </c>
      <c r="G3776" s="34">
        <v>187125</v>
      </c>
      <c r="H3776" s="35" t="s">
        <v>5016</v>
      </c>
    </row>
    <row r="3777" spans="1:8" ht="27" customHeight="1" x14ac:dyDescent="0.2">
      <c r="A3777" s="31" t="s">
        <v>5012</v>
      </c>
      <c r="B3777" s="32" t="s">
        <v>680</v>
      </c>
      <c r="C3777" s="32" t="s">
        <v>796</v>
      </c>
      <c r="D3777" s="32" t="s">
        <v>1095</v>
      </c>
      <c r="E3777" s="33" t="s">
        <v>823</v>
      </c>
      <c r="F3777" s="34">
        <v>266083</v>
      </c>
      <c r="G3777" s="34">
        <v>266085</v>
      </c>
      <c r="H3777" s="35" t="s">
        <v>1261</v>
      </c>
    </row>
    <row r="3778" spans="1:8" ht="27" customHeight="1" x14ac:dyDescent="0.2">
      <c r="A3778" s="31" t="s">
        <v>5012</v>
      </c>
      <c r="B3778" s="32" t="s">
        <v>680</v>
      </c>
      <c r="C3778" s="32" t="s">
        <v>776</v>
      </c>
      <c r="D3778" s="32" t="s">
        <v>3670</v>
      </c>
      <c r="E3778" s="33" t="s">
        <v>777</v>
      </c>
      <c r="F3778" s="34">
        <v>2571400</v>
      </c>
      <c r="G3778" s="34">
        <v>1871500</v>
      </c>
      <c r="H3778" s="35" t="s">
        <v>1261</v>
      </c>
    </row>
    <row r="3779" spans="1:8" ht="27" customHeight="1" x14ac:dyDescent="0.2">
      <c r="A3779" s="31" t="s">
        <v>5012</v>
      </c>
      <c r="B3779" s="32" t="s">
        <v>680</v>
      </c>
      <c r="C3779" s="32" t="s">
        <v>779</v>
      </c>
      <c r="D3779" s="32" t="s">
        <v>826</v>
      </c>
      <c r="E3779" s="33" t="s">
        <v>780</v>
      </c>
      <c r="F3779" s="34">
        <v>191332</v>
      </c>
      <c r="G3779" s="34">
        <v>191500</v>
      </c>
      <c r="H3779" s="35" t="s">
        <v>5017</v>
      </c>
    </row>
    <row r="3780" spans="1:8" ht="27" customHeight="1" x14ac:dyDescent="0.2">
      <c r="A3780" s="31" t="s">
        <v>5012</v>
      </c>
      <c r="B3780" s="32" t="s">
        <v>680</v>
      </c>
      <c r="C3780" s="32" t="s">
        <v>782</v>
      </c>
      <c r="D3780" s="32" t="s">
        <v>901</v>
      </c>
      <c r="E3780" s="33" t="s">
        <v>784</v>
      </c>
      <c r="F3780" s="34">
        <v>928080</v>
      </c>
      <c r="G3780" s="34">
        <v>928090</v>
      </c>
      <c r="H3780" s="35" t="s">
        <v>5018</v>
      </c>
    </row>
    <row r="3781" spans="1:8" ht="27" customHeight="1" x14ac:dyDescent="0.2">
      <c r="A3781" s="31" t="s">
        <v>5019</v>
      </c>
      <c r="B3781" s="32" t="s">
        <v>5020</v>
      </c>
      <c r="C3781" s="32" t="s">
        <v>763</v>
      </c>
      <c r="D3781" s="32" t="s">
        <v>816</v>
      </c>
      <c r="E3781" s="33" t="s">
        <v>764</v>
      </c>
      <c r="F3781" s="34">
        <v>351370</v>
      </c>
      <c r="G3781" s="34">
        <v>351370</v>
      </c>
      <c r="H3781" s="35" t="s">
        <v>5021</v>
      </c>
    </row>
    <row r="3782" spans="1:8" ht="27" customHeight="1" x14ac:dyDescent="0.2">
      <c r="A3782" s="31" t="s">
        <v>5019</v>
      </c>
      <c r="B3782" s="32" t="s">
        <v>5020</v>
      </c>
      <c r="C3782" s="32" t="s">
        <v>770</v>
      </c>
      <c r="D3782" s="32" t="s">
        <v>810</v>
      </c>
      <c r="E3782" s="33" t="s">
        <v>772</v>
      </c>
      <c r="F3782" s="34">
        <v>76591</v>
      </c>
      <c r="G3782" s="34">
        <v>76591</v>
      </c>
      <c r="H3782" s="35" t="s">
        <v>5022</v>
      </c>
    </row>
    <row r="3783" spans="1:8" ht="27" customHeight="1" x14ac:dyDescent="0.2">
      <c r="A3783" s="31" t="s">
        <v>5019</v>
      </c>
      <c r="B3783" s="32" t="s">
        <v>5020</v>
      </c>
      <c r="C3783" s="32" t="s">
        <v>860</v>
      </c>
      <c r="D3783" s="32" t="s">
        <v>911</v>
      </c>
      <c r="E3783" s="33" t="s">
        <v>861</v>
      </c>
      <c r="F3783" s="34">
        <v>268787</v>
      </c>
      <c r="G3783" s="34">
        <v>268787</v>
      </c>
      <c r="H3783" s="35" t="s">
        <v>5023</v>
      </c>
    </row>
    <row r="3784" spans="1:8" ht="27" customHeight="1" x14ac:dyDescent="0.2">
      <c r="A3784" s="31" t="s">
        <v>5019</v>
      </c>
      <c r="B3784" s="32" t="s">
        <v>5020</v>
      </c>
      <c r="C3784" s="32" t="s">
        <v>796</v>
      </c>
      <c r="D3784" s="32" t="s">
        <v>811</v>
      </c>
      <c r="E3784" s="33" t="s">
        <v>823</v>
      </c>
      <c r="F3784" s="34">
        <v>200000</v>
      </c>
      <c r="G3784" s="34">
        <v>118205</v>
      </c>
      <c r="H3784" s="35" t="s">
        <v>5024</v>
      </c>
    </row>
    <row r="3785" spans="1:8" ht="27" customHeight="1" x14ac:dyDescent="0.2">
      <c r="A3785" s="31" t="s">
        <v>5025</v>
      </c>
      <c r="B3785" s="32" t="s">
        <v>5026</v>
      </c>
      <c r="C3785" s="32" t="s">
        <v>763</v>
      </c>
      <c r="D3785" s="32" t="s">
        <v>816</v>
      </c>
      <c r="E3785" s="33" t="s">
        <v>764</v>
      </c>
      <c r="F3785" s="34">
        <v>4018555</v>
      </c>
      <c r="G3785" s="34">
        <v>4018555</v>
      </c>
      <c r="H3785" s="35" t="s">
        <v>5027</v>
      </c>
    </row>
    <row r="3786" spans="1:8" ht="27" customHeight="1" x14ac:dyDescent="0.2">
      <c r="A3786" s="31" t="s">
        <v>5025</v>
      </c>
      <c r="B3786" s="32" t="s">
        <v>5026</v>
      </c>
      <c r="C3786" s="32" t="s">
        <v>770</v>
      </c>
      <c r="D3786" s="32" t="s">
        <v>810</v>
      </c>
      <c r="E3786" s="33" t="s">
        <v>772</v>
      </c>
      <c r="F3786" s="34">
        <v>336888</v>
      </c>
      <c r="G3786" s="34">
        <v>336888</v>
      </c>
      <c r="H3786" s="35" t="s">
        <v>5028</v>
      </c>
    </row>
    <row r="3787" spans="1:8" ht="27" customHeight="1" x14ac:dyDescent="0.2">
      <c r="A3787" s="31" t="s">
        <v>5025</v>
      </c>
      <c r="B3787" s="32" t="s">
        <v>5026</v>
      </c>
      <c r="C3787" s="32" t="s">
        <v>844</v>
      </c>
      <c r="D3787" s="32" t="s">
        <v>972</v>
      </c>
      <c r="E3787" s="33" t="s">
        <v>846</v>
      </c>
      <c r="F3787" s="34">
        <v>252275</v>
      </c>
      <c r="G3787" s="34">
        <v>252275</v>
      </c>
      <c r="H3787" s="35" t="s">
        <v>5029</v>
      </c>
    </row>
    <row r="3788" spans="1:8" ht="27" customHeight="1" x14ac:dyDescent="0.2">
      <c r="A3788" s="31" t="s">
        <v>5025</v>
      </c>
      <c r="B3788" s="32" t="s">
        <v>5026</v>
      </c>
      <c r="C3788" s="32" t="s">
        <v>860</v>
      </c>
      <c r="D3788" s="32" t="s">
        <v>911</v>
      </c>
      <c r="E3788" s="33" t="s">
        <v>861</v>
      </c>
      <c r="F3788" s="34">
        <v>100027</v>
      </c>
      <c r="G3788" s="34">
        <v>362267</v>
      </c>
      <c r="H3788" s="35" t="s">
        <v>5030</v>
      </c>
    </row>
    <row r="3789" spans="1:8" ht="27" customHeight="1" x14ac:dyDescent="0.2">
      <c r="A3789" s="31" t="s">
        <v>5025</v>
      </c>
      <c r="B3789" s="32" t="s">
        <v>5026</v>
      </c>
      <c r="C3789" s="32" t="s">
        <v>796</v>
      </c>
      <c r="D3789" s="32" t="s">
        <v>811</v>
      </c>
      <c r="E3789" s="33" t="s">
        <v>823</v>
      </c>
      <c r="F3789" s="34">
        <v>752296</v>
      </c>
      <c r="G3789" s="34">
        <v>593584</v>
      </c>
      <c r="H3789" s="35" t="s">
        <v>5031</v>
      </c>
    </row>
    <row r="3790" spans="1:8" ht="27" customHeight="1" x14ac:dyDescent="0.2">
      <c r="A3790" s="31" t="s">
        <v>5025</v>
      </c>
      <c r="B3790" s="32" t="s">
        <v>5026</v>
      </c>
      <c r="C3790" s="32" t="s">
        <v>776</v>
      </c>
      <c r="D3790" s="32" t="s">
        <v>776</v>
      </c>
      <c r="E3790" s="33" t="s">
        <v>777</v>
      </c>
      <c r="F3790" s="34">
        <v>30147</v>
      </c>
      <c r="G3790" s="34">
        <v>30147</v>
      </c>
      <c r="H3790" s="35" t="s">
        <v>5032</v>
      </c>
    </row>
    <row r="3791" spans="1:8" ht="27" customHeight="1" x14ac:dyDescent="0.2">
      <c r="A3791" s="31" t="s">
        <v>5025</v>
      </c>
      <c r="B3791" s="32" t="s">
        <v>5026</v>
      </c>
      <c r="C3791" s="32" t="s">
        <v>779</v>
      </c>
      <c r="D3791" s="32" t="s">
        <v>876</v>
      </c>
      <c r="E3791" s="33" t="s">
        <v>780</v>
      </c>
      <c r="F3791" s="34">
        <v>185922</v>
      </c>
      <c r="G3791" s="34">
        <v>175922</v>
      </c>
      <c r="H3791" s="35" t="s">
        <v>5033</v>
      </c>
    </row>
    <row r="3792" spans="1:8" ht="27" customHeight="1" x14ac:dyDescent="0.2">
      <c r="A3792" s="31" t="s">
        <v>5025</v>
      </c>
      <c r="B3792" s="32" t="s">
        <v>5026</v>
      </c>
      <c r="C3792" s="32" t="s">
        <v>782</v>
      </c>
      <c r="D3792" s="32" t="s">
        <v>964</v>
      </c>
      <c r="E3792" s="33" t="s">
        <v>784</v>
      </c>
      <c r="F3792" s="34">
        <v>173584</v>
      </c>
      <c r="G3792" s="34">
        <v>173584</v>
      </c>
      <c r="H3792" s="35" t="s">
        <v>5034</v>
      </c>
    </row>
    <row r="3793" spans="1:8" ht="27" customHeight="1" x14ac:dyDescent="0.2">
      <c r="A3793" s="31" t="s">
        <v>5035</v>
      </c>
      <c r="B3793" s="32" t="s">
        <v>475</v>
      </c>
      <c r="C3793" s="32" t="s">
        <v>766</v>
      </c>
      <c r="D3793" s="32" t="s">
        <v>1951</v>
      </c>
      <c r="E3793" s="33" t="s">
        <v>768</v>
      </c>
      <c r="F3793" s="34">
        <v>0</v>
      </c>
      <c r="G3793" s="34">
        <v>0</v>
      </c>
      <c r="H3793" s="35" t="s">
        <v>859</v>
      </c>
    </row>
    <row r="3794" spans="1:8" ht="27" customHeight="1" x14ac:dyDescent="0.2">
      <c r="A3794" s="31" t="s">
        <v>5035</v>
      </c>
      <c r="B3794" s="32" t="s">
        <v>475</v>
      </c>
      <c r="C3794" s="32" t="s">
        <v>770</v>
      </c>
      <c r="D3794" s="32" t="s">
        <v>1951</v>
      </c>
      <c r="E3794" s="33" t="s">
        <v>772</v>
      </c>
      <c r="F3794" s="34">
        <v>1038435</v>
      </c>
      <c r="G3794" s="34">
        <v>1000000</v>
      </c>
      <c r="H3794" s="35" t="s">
        <v>5036</v>
      </c>
    </row>
    <row r="3795" spans="1:8" ht="27" customHeight="1" x14ac:dyDescent="0.2">
      <c r="A3795" s="31" t="s">
        <v>5035</v>
      </c>
      <c r="B3795" s="32" t="s">
        <v>475</v>
      </c>
      <c r="C3795" s="32" t="s">
        <v>884</v>
      </c>
      <c r="D3795" s="32" t="s">
        <v>1951</v>
      </c>
      <c r="E3795" s="33" t="s">
        <v>885</v>
      </c>
      <c r="F3795" s="34">
        <v>0</v>
      </c>
      <c r="G3795" s="34">
        <v>0</v>
      </c>
      <c r="H3795" s="35" t="s">
        <v>859</v>
      </c>
    </row>
    <row r="3796" spans="1:8" ht="27" customHeight="1" x14ac:dyDescent="0.2">
      <c r="A3796" s="31" t="s">
        <v>5035</v>
      </c>
      <c r="B3796" s="32" t="s">
        <v>475</v>
      </c>
      <c r="C3796" s="32" t="s">
        <v>844</v>
      </c>
      <c r="D3796" s="32" t="s">
        <v>1951</v>
      </c>
      <c r="E3796" s="33" t="s">
        <v>846</v>
      </c>
      <c r="F3796" s="34">
        <v>0</v>
      </c>
      <c r="G3796" s="34">
        <v>0</v>
      </c>
      <c r="H3796" s="35" t="s">
        <v>859</v>
      </c>
    </row>
    <row r="3797" spans="1:8" ht="27" customHeight="1" x14ac:dyDescent="0.2">
      <c r="A3797" s="31" t="s">
        <v>5035</v>
      </c>
      <c r="B3797" s="32" t="s">
        <v>475</v>
      </c>
      <c r="C3797" s="32" t="s">
        <v>860</v>
      </c>
      <c r="D3797" s="32" t="s">
        <v>1951</v>
      </c>
      <c r="E3797" s="33" t="s">
        <v>861</v>
      </c>
      <c r="F3797" s="34">
        <v>0</v>
      </c>
      <c r="G3797" s="34">
        <v>0</v>
      </c>
      <c r="H3797" s="35" t="s">
        <v>859</v>
      </c>
    </row>
    <row r="3798" spans="1:8" ht="27" customHeight="1" x14ac:dyDescent="0.2">
      <c r="A3798" s="31" t="s">
        <v>5035</v>
      </c>
      <c r="B3798" s="32" t="s">
        <v>475</v>
      </c>
      <c r="C3798" s="32" t="s">
        <v>796</v>
      </c>
      <c r="D3798" s="32" t="s">
        <v>1951</v>
      </c>
      <c r="E3798" s="33" t="s">
        <v>772</v>
      </c>
      <c r="F3798" s="34">
        <v>1171000</v>
      </c>
      <c r="G3798" s="34">
        <v>1100000</v>
      </c>
      <c r="H3798" s="35" t="s">
        <v>5037</v>
      </c>
    </row>
    <row r="3799" spans="1:8" ht="27" customHeight="1" x14ac:dyDescent="0.2">
      <c r="A3799" s="31" t="s">
        <v>5035</v>
      </c>
      <c r="B3799" s="32" t="s">
        <v>475</v>
      </c>
      <c r="C3799" s="32" t="s">
        <v>776</v>
      </c>
      <c r="D3799" s="32" t="s">
        <v>1951</v>
      </c>
      <c r="E3799" s="33" t="s">
        <v>777</v>
      </c>
      <c r="F3799" s="34">
        <v>506050</v>
      </c>
      <c r="G3799" s="34">
        <v>500000</v>
      </c>
      <c r="H3799" s="35" t="s">
        <v>5038</v>
      </c>
    </row>
    <row r="3800" spans="1:8" ht="27" customHeight="1" x14ac:dyDescent="0.2">
      <c r="A3800" s="31" t="s">
        <v>5035</v>
      </c>
      <c r="B3800" s="32" t="s">
        <v>475</v>
      </c>
      <c r="C3800" s="32" t="s">
        <v>798</v>
      </c>
      <c r="D3800" s="32" t="s">
        <v>1951</v>
      </c>
      <c r="E3800" s="33" t="s">
        <v>800</v>
      </c>
      <c r="F3800" s="34">
        <v>0</v>
      </c>
      <c r="G3800" s="34">
        <v>0</v>
      </c>
      <c r="H3800" s="35" t="s">
        <v>859</v>
      </c>
    </row>
    <row r="3801" spans="1:8" ht="27" customHeight="1" x14ac:dyDescent="0.2">
      <c r="A3801" s="31" t="s">
        <v>5035</v>
      </c>
      <c r="B3801" s="32" t="s">
        <v>475</v>
      </c>
      <c r="C3801" s="32" t="s">
        <v>892</v>
      </c>
      <c r="D3801" s="32" t="s">
        <v>1951</v>
      </c>
      <c r="E3801" s="33" t="s">
        <v>893</v>
      </c>
      <c r="F3801" s="34">
        <v>0</v>
      </c>
      <c r="G3801" s="34">
        <v>0</v>
      </c>
      <c r="H3801" s="35" t="s">
        <v>5039</v>
      </c>
    </row>
    <row r="3802" spans="1:8" ht="27" customHeight="1" x14ac:dyDescent="0.2">
      <c r="A3802" s="31" t="s">
        <v>5035</v>
      </c>
      <c r="B3802" s="32" t="s">
        <v>475</v>
      </c>
      <c r="C3802" s="32" t="s">
        <v>779</v>
      </c>
      <c r="D3802" s="32" t="s">
        <v>1951</v>
      </c>
      <c r="E3802" s="33" t="s">
        <v>780</v>
      </c>
      <c r="F3802" s="34">
        <v>501300</v>
      </c>
      <c r="G3802" s="34">
        <v>490000</v>
      </c>
      <c r="H3802" s="35" t="s">
        <v>4348</v>
      </c>
    </row>
    <row r="3803" spans="1:8" ht="27" customHeight="1" x14ac:dyDescent="0.2">
      <c r="A3803" s="31" t="s">
        <v>5035</v>
      </c>
      <c r="B3803" s="32" t="s">
        <v>475</v>
      </c>
      <c r="C3803" s="32" t="s">
        <v>782</v>
      </c>
      <c r="D3803" s="32" t="s">
        <v>1951</v>
      </c>
      <c r="E3803" s="33" t="s">
        <v>784</v>
      </c>
      <c r="F3803" s="34">
        <v>971133</v>
      </c>
      <c r="G3803" s="34">
        <v>400000</v>
      </c>
      <c r="H3803" s="35" t="s">
        <v>5040</v>
      </c>
    </row>
    <row r="3804" spans="1:8" ht="27" customHeight="1" x14ac:dyDescent="0.2">
      <c r="A3804" s="31" t="s">
        <v>5041</v>
      </c>
      <c r="B3804" s="32" t="s">
        <v>5042</v>
      </c>
      <c r="C3804" s="32" t="s">
        <v>763</v>
      </c>
      <c r="D3804" s="32" t="s">
        <v>1062</v>
      </c>
      <c r="E3804" s="33" t="s">
        <v>764</v>
      </c>
      <c r="F3804" s="34">
        <v>1306237</v>
      </c>
      <c r="G3804" s="34">
        <v>2306237</v>
      </c>
      <c r="H3804" s="35" t="s">
        <v>5043</v>
      </c>
    </row>
    <row r="3805" spans="1:8" ht="27" customHeight="1" x14ac:dyDescent="0.2">
      <c r="A3805" s="31" t="s">
        <v>5041</v>
      </c>
      <c r="B3805" s="32" t="s">
        <v>5042</v>
      </c>
      <c r="C3805" s="32" t="s">
        <v>763</v>
      </c>
      <c r="D3805" s="32" t="s">
        <v>5044</v>
      </c>
      <c r="E3805" s="33" t="s">
        <v>764</v>
      </c>
      <c r="F3805" s="34">
        <v>3787651</v>
      </c>
      <c r="G3805" s="34">
        <v>0</v>
      </c>
      <c r="H3805" s="35" t="s">
        <v>5045</v>
      </c>
    </row>
    <row r="3806" spans="1:8" ht="27" customHeight="1" x14ac:dyDescent="0.2">
      <c r="A3806" s="31" t="s">
        <v>5041</v>
      </c>
      <c r="B3806" s="32" t="s">
        <v>5042</v>
      </c>
      <c r="C3806" s="32" t="s">
        <v>766</v>
      </c>
      <c r="D3806" s="32" t="s">
        <v>5046</v>
      </c>
      <c r="E3806" s="33" t="s">
        <v>768</v>
      </c>
      <c r="F3806" s="34">
        <v>1413849</v>
      </c>
      <c r="G3806" s="34">
        <v>1215404</v>
      </c>
      <c r="H3806" s="35" t="s">
        <v>5047</v>
      </c>
    </row>
    <row r="3807" spans="1:8" ht="27" customHeight="1" x14ac:dyDescent="0.2">
      <c r="A3807" s="31" t="s">
        <v>5041</v>
      </c>
      <c r="B3807" s="32" t="s">
        <v>5042</v>
      </c>
      <c r="C3807" s="32" t="s">
        <v>770</v>
      </c>
      <c r="D3807" s="32" t="s">
        <v>1011</v>
      </c>
      <c r="E3807" s="33" t="s">
        <v>772</v>
      </c>
      <c r="F3807" s="34">
        <v>531759</v>
      </c>
      <c r="G3807" s="34">
        <v>530000</v>
      </c>
      <c r="H3807" s="35" t="s">
        <v>5048</v>
      </c>
    </row>
    <row r="3808" spans="1:8" ht="27" customHeight="1" x14ac:dyDescent="0.2">
      <c r="A3808" s="31" t="s">
        <v>5041</v>
      </c>
      <c r="B3808" s="32" t="s">
        <v>5042</v>
      </c>
      <c r="C3808" s="32" t="s">
        <v>860</v>
      </c>
      <c r="D3808" s="32" t="s">
        <v>860</v>
      </c>
      <c r="E3808" s="33" t="s">
        <v>861</v>
      </c>
      <c r="F3808" s="34">
        <v>82425</v>
      </c>
      <c r="G3808" s="34">
        <v>82500</v>
      </c>
      <c r="H3808" s="35" t="s">
        <v>5049</v>
      </c>
    </row>
    <row r="3809" spans="1:8" ht="27" customHeight="1" x14ac:dyDescent="0.2">
      <c r="A3809" s="31" t="s">
        <v>5041</v>
      </c>
      <c r="B3809" s="32" t="s">
        <v>5042</v>
      </c>
      <c r="C3809" s="32" t="s">
        <v>796</v>
      </c>
      <c r="D3809" s="32" t="s">
        <v>1050</v>
      </c>
      <c r="E3809" s="33" t="s">
        <v>823</v>
      </c>
      <c r="F3809" s="34">
        <v>752138</v>
      </c>
      <c r="G3809" s="34">
        <v>753000</v>
      </c>
      <c r="H3809" s="35" t="s">
        <v>5050</v>
      </c>
    </row>
    <row r="3810" spans="1:8" ht="27" customHeight="1" x14ac:dyDescent="0.2">
      <c r="A3810" s="31" t="s">
        <v>5041</v>
      </c>
      <c r="B3810" s="32" t="s">
        <v>5042</v>
      </c>
      <c r="C3810" s="32" t="s">
        <v>776</v>
      </c>
      <c r="D3810" s="32" t="s">
        <v>776</v>
      </c>
      <c r="E3810" s="33" t="s">
        <v>777</v>
      </c>
      <c r="F3810" s="34">
        <v>364765</v>
      </c>
      <c r="G3810" s="34">
        <v>326349</v>
      </c>
      <c r="H3810" s="35" t="s">
        <v>5051</v>
      </c>
    </row>
    <row r="3811" spans="1:8" ht="27" customHeight="1" x14ac:dyDescent="0.2">
      <c r="A3811" s="31" t="s">
        <v>5041</v>
      </c>
      <c r="B3811" s="32" t="s">
        <v>5042</v>
      </c>
      <c r="C3811" s="32" t="s">
        <v>779</v>
      </c>
      <c r="D3811" s="32" t="s">
        <v>802</v>
      </c>
      <c r="E3811" s="33" t="s">
        <v>780</v>
      </c>
      <c r="F3811" s="34">
        <v>145074</v>
      </c>
      <c r="G3811" s="34">
        <v>90000</v>
      </c>
      <c r="H3811" s="35" t="s">
        <v>5052</v>
      </c>
    </row>
    <row r="3812" spans="1:8" ht="27" customHeight="1" x14ac:dyDescent="0.2">
      <c r="A3812" s="31" t="s">
        <v>5041</v>
      </c>
      <c r="B3812" s="32" t="s">
        <v>5042</v>
      </c>
      <c r="C3812" s="32" t="s">
        <v>782</v>
      </c>
      <c r="D3812" s="32" t="s">
        <v>782</v>
      </c>
      <c r="E3812" s="33" t="s">
        <v>784</v>
      </c>
      <c r="F3812" s="34">
        <v>654109</v>
      </c>
      <c r="G3812" s="34">
        <v>656000</v>
      </c>
      <c r="H3812" s="35" t="s">
        <v>5053</v>
      </c>
    </row>
    <row r="3813" spans="1:8" ht="27" customHeight="1" x14ac:dyDescent="0.2">
      <c r="A3813" s="31" t="s">
        <v>5054</v>
      </c>
      <c r="B3813" s="32" t="s">
        <v>5055</v>
      </c>
      <c r="C3813" s="32" t="s">
        <v>763</v>
      </c>
      <c r="D3813" s="32" t="s">
        <v>816</v>
      </c>
      <c r="E3813" s="33" t="s">
        <v>764</v>
      </c>
      <c r="F3813" s="34">
        <v>662232</v>
      </c>
      <c r="G3813" s="34">
        <v>662502</v>
      </c>
      <c r="H3813" s="35" t="s">
        <v>859</v>
      </c>
    </row>
    <row r="3814" spans="1:8" ht="27" customHeight="1" x14ac:dyDescent="0.2">
      <c r="A3814" s="31" t="s">
        <v>5054</v>
      </c>
      <c r="B3814" s="32" t="s">
        <v>5055</v>
      </c>
      <c r="C3814" s="32" t="s">
        <v>766</v>
      </c>
      <c r="D3814" s="32" t="s">
        <v>1049</v>
      </c>
      <c r="E3814" s="33" t="s">
        <v>768</v>
      </c>
      <c r="F3814" s="34">
        <v>0</v>
      </c>
      <c r="G3814" s="34">
        <v>0</v>
      </c>
      <c r="H3814" s="35" t="s">
        <v>1049</v>
      </c>
    </row>
    <row r="3815" spans="1:8" ht="27" customHeight="1" x14ac:dyDescent="0.2">
      <c r="A3815" s="31" t="s">
        <v>5054</v>
      </c>
      <c r="B3815" s="32" t="s">
        <v>5055</v>
      </c>
      <c r="C3815" s="32" t="s">
        <v>770</v>
      </c>
      <c r="D3815" s="32" t="s">
        <v>770</v>
      </c>
      <c r="E3815" s="33" t="s">
        <v>772</v>
      </c>
      <c r="F3815" s="34">
        <v>240254</v>
      </c>
      <c r="G3815" s="34">
        <v>180127</v>
      </c>
      <c r="H3815" s="35" t="s">
        <v>5056</v>
      </c>
    </row>
    <row r="3816" spans="1:8" ht="27" customHeight="1" x14ac:dyDescent="0.2">
      <c r="A3816" s="31" t="s">
        <v>5054</v>
      </c>
      <c r="B3816" s="32" t="s">
        <v>5055</v>
      </c>
      <c r="C3816" s="32" t="s">
        <v>884</v>
      </c>
      <c r="D3816" s="32" t="s">
        <v>1049</v>
      </c>
      <c r="E3816" s="33" t="s">
        <v>885</v>
      </c>
      <c r="F3816" s="34">
        <v>0</v>
      </c>
      <c r="G3816" s="34">
        <v>0</v>
      </c>
      <c r="H3816" s="35" t="s">
        <v>1049</v>
      </c>
    </row>
    <row r="3817" spans="1:8" ht="27" customHeight="1" x14ac:dyDescent="0.2">
      <c r="A3817" s="31" t="s">
        <v>5054</v>
      </c>
      <c r="B3817" s="32" t="s">
        <v>5055</v>
      </c>
      <c r="C3817" s="32" t="s">
        <v>844</v>
      </c>
      <c r="D3817" s="32" t="s">
        <v>1049</v>
      </c>
      <c r="E3817" s="33" t="s">
        <v>846</v>
      </c>
      <c r="F3817" s="34">
        <v>0</v>
      </c>
      <c r="G3817" s="34">
        <v>0</v>
      </c>
      <c r="H3817" s="35" t="s">
        <v>1049</v>
      </c>
    </row>
    <row r="3818" spans="1:8" ht="27" customHeight="1" x14ac:dyDescent="0.2">
      <c r="A3818" s="31" t="s">
        <v>5054</v>
      </c>
      <c r="B3818" s="32" t="s">
        <v>5055</v>
      </c>
      <c r="C3818" s="32" t="s">
        <v>773</v>
      </c>
      <c r="D3818" s="32" t="s">
        <v>973</v>
      </c>
      <c r="E3818" s="33" t="s">
        <v>775</v>
      </c>
      <c r="F3818" s="34">
        <v>145851</v>
      </c>
      <c r="G3818" s="34">
        <v>145905</v>
      </c>
      <c r="H3818" s="35" t="s">
        <v>1739</v>
      </c>
    </row>
    <row r="3819" spans="1:8" ht="27" customHeight="1" x14ac:dyDescent="0.2">
      <c r="A3819" s="31" t="s">
        <v>5054</v>
      </c>
      <c r="B3819" s="32" t="s">
        <v>5055</v>
      </c>
      <c r="C3819" s="32" t="s">
        <v>831</v>
      </c>
      <c r="D3819" s="32" t="s">
        <v>1049</v>
      </c>
      <c r="E3819" s="33" t="s">
        <v>3438</v>
      </c>
      <c r="F3819" s="34">
        <v>0</v>
      </c>
      <c r="G3819" s="34">
        <v>0</v>
      </c>
      <c r="H3819" s="35" t="s">
        <v>1049</v>
      </c>
    </row>
    <row r="3820" spans="1:8" ht="27" customHeight="1" x14ac:dyDescent="0.2">
      <c r="A3820" s="31" t="s">
        <v>5054</v>
      </c>
      <c r="B3820" s="32" t="s">
        <v>5055</v>
      </c>
      <c r="C3820" s="32" t="s">
        <v>886</v>
      </c>
      <c r="D3820" s="32" t="s">
        <v>1049</v>
      </c>
      <c r="E3820" s="33" t="s">
        <v>887</v>
      </c>
      <c r="F3820" s="34">
        <v>0</v>
      </c>
      <c r="G3820" s="34">
        <v>0</v>
      </c>
      <c r="H3820" s="35" t="s">
        <v>1049</v>
      </c>
    </row>
    <row r="3821" spans="1:8" ht="27" customHeight="1" x14ac:dyDescent="0.2">
      <c r="A3821" s="31" t="s">
        <v>5054</v>
      </c>
      <c r="B3821" s="32" t="s">
        <v>5055</v>
      </c>
      <c r="C3821" s="32" t="s">
        <v>860</v>
      </c>
      <c r="D3821" s="32" t="s">
        <v>1049</v>
      </c>
      <c r="E3821" s="33" t="s">
        <v>861</v>
      </c>
      <c r="F3821" s="34">
        <v>0</v>
      </c>
      <c r="G3821" s="34">
        <v>0</v>
      </c>
      <c r="H3821" s="35" t="s">
        <v>1049</v>
      </c>
    </row>
    <row r="3822" spans="1:8" ht="27" customHeight="1" x14ac:dyDescent="0.2">
      <c r="A3822" s="31" t="s">
        <v>5054</v>
      </c>
      <c r="B3822" s="32" t="s">
        <v>5055</v>
      </c>
      <c r="C3822" s="32" t="s">
        <v>796</v>
      </c>
      <c r="D3822" s="32" t="s">
        <v>2433</v>
      </c>
      <c r="E3822" s="33" t="s">
        <v>772</v>
      </c>
      <c r="F3822" s="34">
        <v>408361</v>
      </c>
      <c r="G3822" s="34">
        <v>408615</v>
      </c>
      <c r="H3822" s="35" t="s">
        <v>5057</v>
      </c>
    </row>
    <row r="3823" spans="1:8" ht="27" customHeight="1" x14ac:dyDescent="0.2">
      <c r="A3823" s="31" t="s">
        <v>5054</v>
      </c>
      <c r="B3823" s="32" t="s">
        <v>5055</v>
      </c>
      <c r="C3823" s="32" t="s">
        <v>776</v>
      </c>
      <c r="D3823" s="32" t="s">
        <v>812</v>
      </c>
      <c r="E3823" s="33" t="s">
        <v>777</v>
      </c>
      <c r="F3823" s="34">
        <v>1016367</v>
      </c>
      <c r="G3823" s="34">
        <v>832699</v>
      </c>
      <c r="H3823" s="35" t="s">
        <v>5058</v>
      </c>
    </row>
    <row r="3824" spans="1:8" ht="27" customHeight="1" x14ac:dyDescent="0.2">
      <c r="A3824" s="31" t="s">
        <v>5054</v>
      </c>
      <c r="B3824" s="32" t="s">
        <v>5055</v>
      </c>
      <c r="C3824" s="32" t="s">
        <v>798</v>
      </c>
      <c r="D3824" s="32" t="s">
        <v>1049</v>
      </c>
      <c r="E3824" s="33" t="s">
        <v>800</v>
      </c>
      <c r="F3824" s="34">
        <v>0</v>
      </c>
      <c r="G3824" s="34">
        <v>0</v>
      </c>
      <c r="H3824" s="35" t="s">
        <v>1049</v>
      </c>
    </row>
    <row r="3825" spans="1:8" ht="27" customHeight="1" x14ac:dyDescent="0.2">
      <c r="A3825" s="31" t="s">
        <v>5054</v>
      </c>
      <c r="B3825" s="32" t="s">
        <v>5055</v>
      </c>
      <c r="C3825" s="32" t="s">
        <v>892</v>
      </c>
      <c r="D3825" s="32" t="s">
        <v>1049</v>
      </c>
      <c r="E3825" s="33" t="s">
        <v>893</v>
      </c>
      <c r="F3825" s="34">
        <v>0</v>
      </c>
      <c r="G3825" s="34">
        <v>0</v>
      </c>
      <c r="H3825" s="35" t="s">
        <v>1049</v>
      </c>
    </row>
    <row r="3826" spans="1:8" ht="27" customHeight="1" x14ac:dyDescent="0.2">
      <c r="A3826" s="31" t="s">
        <v>5054</v>
      </c>
      <c r="B3826" s="32" t="s">
        <v>5055</v>
      </c>
      <c r="C3826" s="32" t="s">
        <v>779</v>
      </c>
      <c r="D3826" s="32" t="s">
        <v>826</v>
      </c>
      <c r="E3826" s="33" t="s">
        <v>780</v>
      </c>
      <c r="F3826" s="34">
        <v>45557</v>
      </c>
      <c r="G3826" s="34">
        <v>45563</v>
      </c>
      <c r="H3826" s="35" t="s">
        <v>5059</v>
      </c>
    </row>
    <row r="3827" spans="1:8" ht="27" customHeight="1" x14ac:dyDescent="0.2">
      <c r="A3827" s="31" t="s">
        <v>5054</v>
      </c>
      <c r="B3827" s="32" t="s">
        <v>5055</v>
      </c>
      <c r="C3827" s="32" t="s">
        <v>782</v>
      </c>
      <c r="D3827" s="32" t="s">
        <v>1049</v>
      </c>
      <c r="E3827" s="33" t="s">
        <v>784</v>
      </c>
      <c r="F3827" s="34">
        <v>0</v>
      </c>
      <c r="G3827" s="34">
        <v>0</v>
      </c>
      <c r="H3827" s="35" t="s">
        <v>1049</v>
      </c>
    </row>
    <row r="3828" spans="1:8" ht="27" customHeight="1" x14ac:dyDescent="0.2">
      <c r="A3828" s="31" t="s">
        <v>5060</v>
      </c>
      <c r="B3828" s="32" t="s">
        <v>5061</v>
      </c>
      <c r="C3828" s="32" t="s">
        <v>770</v>
      </c>
      <c r="D3828" s="32" t="s">
        <v>5062</v>
      </c>
      <c r="E3828" s="33" t="s">
        <v>772</v>
      </c>
      <c r="F3828" s="34">
        <v>181570</v>
      </c>
      <c r="G3828" s="34">
        <v>181570</v>
      </c>
      <c r="H3828" s="35" t="s">
        <v>829</v>
      </c>
    </row>
    <row r="3829" spans="1:8" ht="27" customHeight="1" x14ac:dyDescent="0.2">
      <c r="A3829" s="31" t="s">
        <v>5060</v>
      </c>
      <c r="B3829" s="32" t="s">
        <v>5061</v>
      </c>
      <c r="C3829" s="32" t="s">
        <v>844</v>
      </c>
      <c r="D3829" s="32" t="s">
        <v>5063</v>
      </c>
      <c r="E3829" s="33" t="s">
        <v>846</v>
      </c>
      <c r="F3829" s="34">
        <v>249897</v>
      </c>
      <c r="G3829" s="34">
        <v>249897</v>
      </c>
      <c r="H3829" s="35" t="s">
        <v>829</v>
      </c>
    </row>
    <row r="3830" spans="1:8" ht="27" customHeight="1" x14ac:dyDescent="0.2">
      <c r="A3830" s="31" t="s">
        <v>5060</v>
      </c>
      <c r="B3830" s="32" t="s">
        <v>5061</v>
      </c>
      <c r="C3830" s="32" t="s">
        <v>796</v>
      </c>
      <c r="D3830" s="32" t="s">
        <v>5064</v>
      </c>
      <c r="E3830" s="33" t="s">
        <v>823</v>
      </c>
      <c r="F3830" s="34">
        <v>1220150</v>
      </c>
      <c r="G3830" s="34">
        <v>1470150</v>
      </c>
      <c r="H3830" s="35" t="s">
        <v>5065</v>
      </c>
    </row>
    <row r="3831" spans="1:8" ht="27" customHeight="1" x14ac:dyDescent="0.2">
      <c r="A3831" s="31" t="s">
        <v>5060</v>
      </c>
      <c r="B3831" s="32" t="s">
        <v>5061</v>
      </c>
      <c r="C3831" s="32" t="s">
        <v>779</v>
      </c>
      <c r="D3831" s="32" t="s">
        <v>5066</v>
      </c>
      <c r="E3831" s="33" t="s">
        <v>780</v>
      </c>
      <c r="F3831" s="34">
        <v>393058</v>
      </c>
      <c r="G3831" s="34">
        <v>393058</v>
      </c>
      <c r="H3831" s="35" t="s">
        <v>829</v>
      </c>
    </row>
    <row r="3832" spans="1:8" ht="27" customHeight="1" x14ac:dyDescent="0.2">
      <c r="A3832" s="31" t="s">
        <v>5060</v>
      </c>
      <c r="B3832" s="32" t="s">
        <v>5061</v>
      </c>
      <c r="C3832" s="32" t="s">
        <v>782</v>
      </c>
      <c r="D3832" s="32" t="s">
        <v>5067</v>
      </c>
      <c r="E3832" s="33" t="s">
        <v>784</v>
      </c>
      <c r="F3832" s="34">
        <v>0</v>
      </c>
      <c r="G3832" s="34">
        <v>250000</v>
      </c>
      <c r="H3832" s="35" t="s">
        <v>829</v>
      </c>
    </row>
    <row r="3833" spans="1:8" ht="27" customHeight="1" x14ac:dyDescent="0.2">
      <c r="A3833" s="31" t="s">
        <v>5068</v>
      </c>
      <c r="B3833" s="32" t="s">
        <v>5069</v>
      </c>
      <c r="C3833" s="32" t="s">
        <v>763</v>
      </c>
      <c r="D3833" s="32" t="s">
        <v>816</v>
      </c>
      <c r="E3833" s="33" t="s">
        <v>764</v>
      </c>
      <c r="F3833" s="34">
        <v>1144849</v>
      </c>
      <c r="G3833" s="34">
        <v>1336914</v>
      </c>
      <c r="H3833" s="35" t="s">
        <v>1048</v>
      </c>
    </row>
    <row r="3834" spans="1:8" ht="27" customHeight="1" x14ac:dyDescent="0.2">
      <c r="A3834" s="31" t="s">
        <v>5068</v>
      </c>
      <c r="B3834" s="32" t="s">
        <v>5069</v>
      </c>
      <c r="C3834" s="32" t="s">
        <v>763</v>
      </c>
      <c r="D3834" s="32" t="s">
        <v>1749</v>
      </c>
      <c r="E3834" s="33" t="s">
        <v>764</v>
      </c>
      <c r="F3834" s="34">
        <v>487953</v>
      </c>
      <c r="G3834" s="34">
        <v>650833</v>
      </c>
      <c r="H3834" s="35" t="s">
        <v>5070</v>
      </c>
    </row>
    <row r="3835" spans="1:8" ht="27" customHeight="1" x14ac:dyDescent="0.2">
      <c r="A3835" s="31" t="s">
        <v>5068</v>
      </c>
      <c r="B3835" s="32" t="s">
        <v>5069</v>
      </c>
      <c r="C3835" s="32" t="s">
        <v>766</v>
      </c>
      <c r="D3835" s="32" t="s">
        <v>1049</v>
      </c>
      <c r="E3835" s="33" t="s">
        <v>768</v>
      </c>
      <c r="F3835" s="34">
        <v>0</v>
      </c>
      <c r="G3835" s="34">
        <v>0</v>
      </c>
      <c r="H3835" s="35" t="s">
        <v>1049</v>
      </c>
    </row>
    <row r="3836" spans="1:8" ht="27" customHeight="1" x14ac:dyDescent="0.2">
      <c r="A3836" s="31" t="s">
        <v>5068</v>
      </c>
      <c r="B3836" s="32" t="s">
        <v>5069</v>
      </c>
      <c r="C3836" s="32" t="s">
        <v>770</v>
      </c>
      <c r="D3836" s="32" t="s">
        <v>1011</v>
      </c>
      <c r="E3836" s="33" t="s">
        <v>772</v>
      </c>
      <c r="F3836" s="34">
        <v>248275</v>
      </c>
      <c r="G3836" s="34">
        <v>348878</v>
      </c>
      <c r="H3836" s="35" t="s">
        <v>1048</v>
      </c>
    </row>
    <row r="3837" spans="1:8" ht="27" customHeight="1" x14ac:dyDescent="0.2">
      <c r="A3837" s="31" t="s">
        <v>5068</v>
      </c>
      <c r="B3837" s="32" t="s">
        <v>5069</v>
      </c>
      <c r="C3837" s="32" t="s">
        <v>884</v>
      </c>
      <c r="D3837" s="32" t="s">
        <v>1049</v>
      </c>
      <c r="E3837" s="33" t="s">
        <v>885</v>
      </c>
      <c r="F3837" s="34">
        <v>0</v>
      </c>
      <c r="G3837" s="34">
        <v>0</v>
      </c>
      <c r="H3837" s="35" t="s">
        <v>1049</v>
      </c>
    </row>
    <row r="3838" spans="1:8" ht="27" customHeight="1" x14ac:dyDescent="0.2">
      <c r="A3838" s="31" t="s">
        <v>5068</v>
      </c>
      <c r="B3838" s="32" t="s">
        <v>5069</v>
      </c>
      <c r="C3838" s="32" t="s">
        <v>844</v>
      </c>
      <c r="D3838" s="32" t="s">
        <v>1049</v>
      </c>
      <c r="E3838" s="33" t="s">
        <v>846</v>
      </c>
      <c r="F3838" s="34">
        <v>0</v>
      </c>
      <c r="G3838" s="34">
        <v>0</v>
      </c>
      <c r="H3838" s="35" t="s">
        <v>1049</v>
      </c>
    </row>
    <row r="3839" spans="1:8" ht="27" customHeight="1" x14ac:dyDescent="0.2">
      <c r="A3839" s="31" t="s">
        <v>5068</v>
      </c>
      <c r="B3839" s="32" t="s">
        <v>5069</v>
      </c>
      <c r="C3839" s="32" t="s">
        <v>773</v>
      </c>
      <c r="D3839" s="32" t="s">
        <v>1049</v>
      </c>
      <c r="E3839" s="33" t="s">
        <v>775</v>
      </c>
      <c r="F3839" s="34">
        <v>0</v>
      </c>
      <c r="G3839" s="34">
        <v>0</v>
      </c>
      <c r="H3839" s="35" t="s">
        <v>1049</v>
      </c>
    </row>
    <row r="3840" spans="1:8" ht="27" customHeight="1" x14ac:dyDescent="0.2">
      <c r="A3840" s="31" t="s">
        <v>5068</v>
      </c>
      <c r="B3840" s="32" t="s">
        <v>5069</v>
      </c>
      <c r="C3840" s="32" t="s">
        <v>831</v>
      </c>
      <c r="D3840" s="32" t="s">
        <v>1049</v>
      </c>
      <c r="E3840" s="33"/>
      <c r="F3840" s="34">
        <v>0</v>
      </c>
      <c r="G3840" s="34">
        <v>0</v>
      </c>
      <c r="H3840" s="35" t="s">
        <v>1049</v>
      </c>
    </row>
    <row r="3841" spans="1:8" ht="27" customHeight="1" x14ac:dyDescent="0.2">
      <c r="A3841" s="31" t="s">
        <v>5068</v>
      </c>
      <c r="B3841" s="32" t="s">
        <v>5069</v>
      </c>
      <c r="C3841" s="32" t="s">
        <v>886</v>
      </c>
      <c r="D3841" s="32" t="s">
        <v>886</v>
      </c>
      <c r="E3841" s="33" t="s">
        <v>887</v>
      </c>
      <c r="F3841" s="34">
        <v>45058</v>
      </c>
      <c r="G3841" s="34">
        <v>45139</v>
      </c>
      <c r="H3841" s="35" t="s">
        <v>1048</v>
      </c>
    </row>
    <row r="3842" spans="1:8" ht="27" customHeight="1" x14ac:dyDescent="0.2">
      <c r="A3842" s="31" t="s">
        <v>5068</v>
      </c>
      <c r="B3842" s="32" t="s">
        <v>5069</v>
      </c>
      <c r="C3842" s="32" t="s">
        <v>860</v>
      </c>
      <c r="D3842" s="32" t="s">
        <v>860</v>
      </c>
      <c r="E3842" s="33" t="s">
        <v>861</v>
      </c>
      <c r="F3842" s="34">
        <v>82858</v>
      </c>
      <c r="G3842" s="34">
        <v>83054</v>
      </c>
      <c r="H3842" s="35" t="s">
        <v>1048</v>
      </c>
    </row>
    <row r="3843" spans="1:8" ht="27" customHeight="1" x14ac:dyDescent="0.2">
      <c r="A3843" s="31" t="s">
        <v>5068</v>
      </c>
      <c r="B3843" s="32" t="s">
        <v>5069</v>
      </c>
      <c r="C3843" s="32" t="s">
        <v>796</v>
      </c>
      <c r="D3843" s="32" t="s">
        <v>5071</v>
      </c>
      <c r="E3843" s="33" t="s">
        <v>823</v>
      </c>
      <c r="F3843" s="34">
        <v>1250643</v>
      </c>
      <c r="G3843" s="34">
        <v>1252897</v>
      </c>
      <c r="H3843" s="35" t="s">
        <v>5072</v>
      </c>
    </row>
    <row r="3844" spans="1:8" ht="27" customHeight="1" x14ac:dyDescent="0.2">
      <c r="A3844" s="31" t="s">
        <v>5068</v>
      </c>
      <c r="B3844" s="32" t="s">
        <v>5069</v>
      </c>
      <c r="C3844" s="32" t="s">
        <v>776</v>
      </c>
      <c r="D3844" s="32" t="s">
        <v>1049</v>
      </c>
      <c r="E3844" s="33" t="s">
        <v>777</v>
      </c>
      <c r="F3844" s="34">
        <v>0</v>
      </c>
      <c r="G3844" s="34">
        <v>0</v>
      </c>
      <c r="H3844" s="35" t="s">
        <v>1049</v>
      </c>
    </row>
    <row r="3845" spans="1:8" ht="27" customHeight="1" x14ac:dyDescent="0.2">
      <c r="A3845" s="31" t="s">
        <v>5068</v>
      </c>
      <c r="B3845" s="32" t="s">
        <v>5069</v>
      </c>
      <c r="C3845" s="32" t="s">
        <v>798</v>
      </c>
      <c r="D3845" s="32" t="s">
        <v>1049</v>
      </c>
      <c r="E3845" s="33" t="s">
        <v>800</v>
      </c>
      <c r="F3845" s="34">
        <v>0</v>
      </c>
      <c r="G3845" s="34">
        <v>0</v>
      </c>
      <c r="H3845" s="35" t="s">
        <v>1049</v>
      </c>
    </row>
    <row r="3846" spans="1:8" ht="27" customHeight="1" x14ac:dyDescent="0.2">
      <c r="A3846" s="31" t="s">
        <v>5068</v>
      </c>
      <c r="B3846" s="32" t="s">
        <v>5069</v>
      </c>
      <c r="C3846" s="32" t="s">
        <v>892</v>
      </c>
      <c r="D3846" s="32" t="s">
        <v>1049</v>
      </c>
      <c r="E3846" s="33" t="s">
        <v>893</v>
      </c>
      <c r="F3846" s="34">
        <v>0</v>
      </c>
      <c r="G3846" s="34">
        <v>0</v>
      </c>
      <c r="H3846" s="35" t="s">
        <v>1049</v>
      </c>
    </row>
    <row r="3847" spans="1:8" ht="27" customHeight="1" x14ac:dyDescent="0.2">
      <c r="A3847" s="31" t="s">
        <v>5068</v>
      </c>
      <c r="B3847" s="32" t="s">
        <v>5069</v>
      </c>
      <c r="C3847" s="32" t="s">
        <v>779</v>
      </c>
      <c r="D3847" s="32" t="s">
        <v>802</v>
      </c>
      <c r="E3847" s="33" t="s">
        <v>780</v>
      </c>
      <c r="F3847" s="34">
        <v>213947</v>
      </c>
      <c r="G3847" s="34">
        <v>214333</v>
      </c>
      <c r="H3847" s="35" t="s">
        <v>5073</v>
      </c>
    </row>
    <row r="3848" spans="1:8" ht="27" customHeight="1" x14ac:dyDescent="0.2">
      <c r="A3848" s="31" t="s">
        <v>5068</v>
      </c>
      <c r="B3848" s="32" t="s">
        <v>5069</v>
      </c>
      <c r="C3848" s="32" t="s">
        <v>782</v>
      </c>
      <c r="D3848" s="32" t="s">
        <v>1049</v>
      </c>
      <c r="E3848" s="33" t="s">
        <v>784</v>
      </c>
      <c r="F3848" s="34">
        <v>0</v>
      </c>
      <c r="G3848" s="34">
        <v>0</v>
      </c>
      <c r="H3848" s="35" t="s">
        <v>1049</v>
      </c>
    </row>
    <row r="3849" spans="1:8" ht="27" customHeight="1" x14ac:dyDescent="0.2">
      <c r="A3849" s="31" t="s">
        <v>5074</v>
      </c>
      <c r="B3849" s="32" t="s">
        <v>5075</v>
      </c>
      <c r="C3849" s="32" t="s">
        <v>763</v>
      </c>
      <c r="D3849" s="32" t="s">
        <v>763</v>
      </c>
      <c r="E3849" s="33" t="s">
        <v>764</v>
      </c>
      <c r="F3849" s="34">
        <v>1337341</v>
      </c>
      <c r="G3849" s="34">
        <v>1887858</v>
      </c>
      <c r="H3849" s="35" t="s">
        <v>1048</v>
      </c>
    </row>
    <row r="3850" spans="1:8" ht="27" customHeight="1" x14ac:dyDescent="0.2">
      <c r="A3850" s="31" t="s">
        <v>5074</v>
      </c>
      <c r="B3850" s="32" t="s">
        <v>5075</v>
      </c>
      <c r="C3850" s="32" t="s">
        <v>766</v>
      </c>
      <c r="D3850" s="32" t="s">
        <v>1049</v>
      </c>
      <c r="E3850" s="33" t="s">
        <v>768</v>
      </c>
      <c r="F3850" s="34">
        <v>0</v>
      </c>
      <c r="G3850" s="34">
        <v>0</v>
      </c>
      <c r="H3850" s="35" t="s">
        <v>1049</v>
      </c>
    </row>
    <row r="3851" spans="1:8" ht="27" customHeight="1" x14ac:dyDescent="0.2">
      <c r="A3851" s="31" t="s">
        <v>5074</v>
      </c>
      <c r="B3851" s="32" t="s">
        <v>5075</v>
      </c>
      <c r="C3851" s="32" t="s">
        <v>770</v>
      </c>
      <c r="D3851" s="32" t="s">
        <v>1011</v>
      </c>
      <c r="E3851" s="33" t="s">
        <v>772</v>
      </c>
      <c r="F3851" s="34">
        <v>285290</v>
      </c>
      <c r="G3851" s="34">
        <v>259095</v>
      </c>
      <c r="H3851" s="35" t="s">
        <v>1048</v>
      </c>
    </row>
    <row r="3852" spans="1:8" ht="27" customHeight="1" x14ac:dyDescent="0.2">
      <c r="A3852" s="31" t="s">
        <v>5074</v>
      </c>
      <c r="B3852" s="32" t="s">
        <v>5075</v>
      </c>
      <c r="C3852" s="32" t="s">
        <v>884</v>
      </c>
      <c r="D3852" s="32" t="s">
        <v>1049</v>
      </c>
      <c r="E3852" s="33" t="s">
        <v>885</v>
      </c>
      <c r="F3852" s="34">
        <v>0</v>
      </c>
      <c r="G3852" s="34">
        <v>0</v>
      </c>
      <c r="H3852" s="35" t="s">
        <v>1049</v>
      </c>
    </row>
    <row r="3853" spans="1:8" ht="27" customHeight="1" x14ac:dyDescent="0.2">
      <c r="A3853" s="31" t="s">
        <v>5074</v>
      </c>
      <c r="B3853" s="32" t="s">
        <v>5075</v>
      </c>
      <c r="C3853" s="32" t="s">
        <v>844</v>
      </c>
      <c r="D3853" s="32" t="s">
        <v>1049</v>
      </c>
      <c r="E3853" s="33" t="s">
        <v>846</v>
      </c>
      <c r="F3853" s="34">
        <v>0</v>
      </c>
      <c r="G3853" s="34">
        <v>0</v>
      </c>
      <c r="H3853" s="35" t="s">
        <v>1049</v>
      </c>
    </row>
    <row r="3854" spans="1:8" ht="27" customHeight="1" x14ac:dyDescent="0.2">
      <c r="A3854" s="31" t="s">
        <v>5074</v>
      </c>
      <c r="B3854" s="32" t="s">
        <v>5075</v>
      </c>
      <c r="C3854" s="32" t="s">
        <v>773</v>
      </c>
      <c r="D3854" s="32" t="s">
        <v>1049</v>
      </c>
      <c r="E3854" s="33" t="s">
        <v>775</v>
      </c>
      <c r="F3854" s="34">
        <v>0</v>
      </c>
      <c r="G3854" s="34">
        <v>0</v>
      </c>
      <c r="H3854" s="35" t="s">
        <v>1049</v>
      </c>
    </row>
    <row r="3855" spans="1:8" ht="27" customHeight="1" x14ac:dyDescent="0.2">
      <c r="A3855" s="31" t="s">
        <v>5074</v>
      </c>
      <c r="B3855" s="32" t="s">
        <v>5075</v>
      </c>
      <c r="C3855" s="32" t="s">
        <v>831</v>
      </c>
      <c r="D3855" s="32" t="s">
        <v>1049</v>
      </c>
      <c r="E3855" s="33"/>
      <c r="F3855" s="34">
        <v>0</v>
      </c>
      <c r="G3855" s="34">
        <v>0</v>
      </c>
      <c r="H3855" s="35" t="s">
        <v>1049</v>
      </c>
    </row>
    <row r="3856" spans="1:8" ht="27" customHeight="1" x14ac:dyDescent="0.2">
      <c r="A3856" s="31" t="s">
        <v>5074</v>
      </c>
      <c r="B3856" s="32" t="s">
        <v>5075</v>
      </c>
      <c r="C3856" s="32" t="s">
        <v>886</v>
      </c>
      <c r="D3856" s="32" t="s">
        <v>1049</v>
      </c>
      <c r="E3856" s="33" t="s">
        <v>887</v>
      </c>
      <c r="F3856" s="34">
        <v>0</v>
      </c>
      <c r="G3856" s="34">
        <v>0</v>
      </c>
      <c r="H3856" s="35" t="s">
        <v>1049</v>
      </c>
    </row>
    <row r="3857" spans="1:8" ht="27" customHeight="1" x14ac:dyDescent="0.2">
      <c r="A3857" s="31" t="s">
        <v>5074</v>
      </c>
      <c r="B3857" s="32" t="s">
        <v>5075</v>
      </c>
      <c r="C3857" s="32" t="s">
        <v>860</v>
      </c>
      <c r="D3857" s="32" t="s">
        <v>860</v>
      </c>
      <c r="E3857" s="33" t="s">
        <v>861</v>
      </c>
      <c r="F3857" s="34">
        <v>210147</v>
      </c>
      <c r="G3857" s="34">
        <v>210228</v>
      </c>
      <c r="H3857" s="35" t="s">
        <v>1048</v>
      </c>
    </row>
    <row r="3858" spans="1:8" ht="27" customHeight="1" x14ac:dyDescent="0.2">
      <c r="A3858" s="31" t="s">
        <v>5074</v>
      </c>
      <c r="B3858" s="32" t="s">
        <v>5075</v>
      </c>
      <c r="C3858" s="32" t="s">
        <v>796</v>
      </c>
      <c r="D3858" s="32" t="s">
        <v>796</v>
      </c>
      <c r="E3858" s="33" t="s">
        <v>823</v>
      </c>
      <c r="F3858" s="34">
        <v>2121330</v>
      </c>
      <c r="G3858" s="34">
        <v>2122150</v>
      </c>
      <c r="H3858" s="35" t="s">
        <v>5076</v>
      </c>
    </row>
    <row r="3859" spans="1:8" ht="27" customHeight="1" x14ac:dyDescent="0.2">
      <c r="A3859" s="31" t="s">
        <v>5074</v>
      </c>
      <c r="B3859" s="32" t="s">
        <v>5075</v>
      </c>
      <c r="C3859" s="32" t="s">
        <v>776</v>
      </c>
      <c r="D3859" s="32" t="s">
        <v>776</v>
      </c>
      <c r="E3859" s="33" t="s">
        <v>777</v>
      </c>
      <c r="F3859" s="34">
        <v>205311</v>
      </c>
      <c r="G3859" s="34">
        <v>198081</v>
      </c>
      <c r="H3859" s="35" t="s">
        <v>1048</v>
      </c>
    </row>
    <row r="3860" spans="1:8" ht="27" customHeight="1" x14ac:dyDescent="0.2">
      <c r="A3860" s="31" t="s">
        <v>5074</v>
      </c>
      <c r="B3860" s="32" t="s">
        <v>5075</v>
      </c>
      <c r="C3860" s="32" t="s">
        <v>798</v>
      </c>
      <c r="D3860" s="32" t="s">
        <v>799</v>
      </c>
      <c r="E3860" s="33" t="s">
        <v>800</v>
      </c>
      <c r="F3860" s="34">
        <v>83317</v>
      </c>
      <c r="G3860" s="34">
        <v>56350</v>
      </c>
      <c r="H3860" s="35" t="s">
        <v>5077</v>
      </c>
    </row>
    <row r="3861" spans="1:8" ht="27" customHeight="1" x14ac:dyDescent="0.2">
      <c r="A3861" s="31" t="s">
        <v>5074</v>
      </c>
      <c r="B3861" s="32" t="s">
        <v>5075</v>
      </c>
      <c r="C3861" s="32" t="s">
        <v>892</v>
      </c>
      <c r="D3861" s="32" t="s">
        <v>1049</v>
      </c>
      <c r="E3861" s="33" t="s">
        <v>893</v>
      </c>
      <c r="F3861" s="34">
        <v>0</v>
      </c>
      <c r="G3861" s="34">
        <v>0</v>
      </c>
      <c r="H3861" s="35" t="s">
        <v>1049</v>
      </c>
    </row>
    <row r="3862" spans="1:8" ht="27" customHeight="1" x14ac:dyDescent="0.2">
      <c r="A3862" s="31" t="s">
        <v>5074</v>
      </c>
      <c r="B3862" s="32" t="s">
        <v>5075</v>
      </c>
      <c r="C3862" s="32" t="s">
        <v>779</v>
      </c>
      <c r="D3862" s="32" t="s">
        <v>779</v>
      </c>
      <c r="E3862" s="33" t="s">
        <v>780</v>
      </c>
      <c r="F3862" s="34">
        <v>86259</v>
      </c>
      <c r="G3862" s="34">
        <v>86292</v>
      </c>
      <c r="H3862" s="35" t="s">
        <v>5078</v>
      </c>
    </row>
    <row r="3863" spans="1:8" ht="27" customHeight="1" x14ac:dyDescent="0.2">
      <c r="A3863" s="31" t="s">
        <v>5074</v>
      </c>
      <c r="B3863" s="32" t="s">
        <v>5075</v>
      </c>
      <c r="C3863" s="32" t="s">
        <v>782</v>
      </c>
      <c r="D3863" s="32" t="s">
        <v>1049</v>
      </c>
      <c r="E3863" s="33" t="s">
        <v>784</v>
      </c>
      <c r="F3863" s="34">
        <v>0</v>
      </c>
      <c r="G3863" s="34">
        <v>0</v>
      </c>
      <c r="H3863" s="35" t="s">
        <v>1049</v>
      </c>
    </row>
    <row r="3864" spans="1:8" ht="27" customHeight="1" x14ac:dyDescent="0.2">
      <c r="A3864" s="31" t="s">
        <v>5079</v>
      </c>
      <c r="B3864" s="32" t="s">
        <v>5080</v>
      </c>
      <c r="C3864" s="32" t="s">
        <v>770</v>
      </c>
      <c r="D3864" s="32" t="s">
        <v>5081</v>
      </c>
      <c r="E3864" s="33" t="s">
        <v>772</v>
      </c>
      <c r="F3864" s="34">
        <v>790682</v>
      </c>
      <c r="G3864" s="34">
        <v>790682</v>
      </c>
      <c r="H3864" s="35" t="s">
        <v>5082</v>
      </c>
    </row>
    <row r="3865" spans="1:8" ht="27" customHeight="1" x14ac:dyDescent="0.2">
      <c r="A3865" s="31" t="s">
        <v>5079</v>
      </c>
      <c r="B3865" s="32" t="s">
        <v>5080</v>
      </c>
      <c r="C3865" s="32" t="s">
        <v>860</v>
      </c>
      <c r="D3865" s="32" t="s">
        <v>911</v>
      </c>
      <c r="E3865" s="33" t="s">
        <v>861</v>
      </c>
      <c r="F3865" s="34">
        <v>106182</v>
      </c>
      <c r="G3865" s="34">
        <v>106182</v>
      </c>
      <c r="H3865" s="35" t="s">
        <v>859</v>
      </c>
    </row>
    <row r="3866" spans="1:8" ht="27" customHeight="1" x14ac:dyDescent="0.2">
      <c r="A3866" s="31" t="s">
        <v>5079</v>
      </c>
      <c r="B3866" s="32" t="s">
        <v>5080</v>
      </c>
      <c r="C3866" s="32" t="s">
        <v>796</v>
      </c>
      <c r="D3866" s="32" t="s">
        <v>811</v>
      </c>
      <c r="E3866" s="33" t="s">
        <v>823</v>
      </c>
      <c r="F3866" s="34">
        <v>1736387</v>
      </c>
      <c r="G3866" s="34">
        <v>1461387</v>
      </c>
      <c r="H3866" s="35" t="s">
        <v>5083</v>
      </c>
    </row>
    <row r="3867" spans="1:8" ht="27" customHeight="1" x14ac:dyDescent="0.2">
      <c r="A3867" s="31" t="s">
        <v>5079</v>
      </c>
      <c r="B3867" s="32" t="s">
        <v>5080</v>
      </c>
      <c r="C3867" s="32" t="s">
        <v>776</v>
      </c>
      <c r="D3867" s="32" t="s">
        <v>776</v>
      </c>
      <c r="E3867" s="33" t="s">
        <v>777</v>
      </c>
      <c r="F3867" s="34">
        <v>5008</v>
      </c>
      <c r="G3867" s="34">
        <v>5008</v>
      </c>
      <c r="H3867" s="35" t="s">
        <v>859</v>
      </c>
    </row>
    <row r="3868" spans="1:8" ht="27" customHeight="1" x14ac:dyDescent="0.2">
      <c r="A3868" s="31" t="s">
        <v>5079</v>
      </c>
      <c r="B3868" s="32" t="s">
        <v>5080</v>
      </c>
      <c r="C3868" s="32" t="s">
        <v>779</v>
      </c>
      <c r="D3868" s="32" t="s">
        <v>826</v>
      </c>
      <c r="E3868" s="33" t="s">
        <v>780</v>
      </c>
      <c r="F3868" s="34">
        <v>85106</v>
      </c>
      <c r="G3868" s="34">
        <v>70106</v>
      </c>
      <c r="H3868" s="35" t="s">
        <v>5084</v>
      </c>
    </row>
    <row r="3869" spans="1:8" ht="27" customHeight="1" x14ac:dyDescent="0.2">
      <c r="A3869" s="31" t="s">
        <v>5085</v>
      </c>
      <c r="B3869" s="32" t="s">
        <v>5086</v>
      </c>
      <c r="C3869" s="32" t="s">
        <v>763</v>
      </c>
      <c r="D3869" s="32" t="s">
        <v>816</v>
      </c>
      <c r="E3869" s="33" t="s">
        <v>764</v>
      </c>
      <c r="F3869" s="34">
        <v>13537</v>
      </c>
      <c r="G3869" s="34">
        <v>715000</v>
      </c>
      <c r="H3869" s="35" t="s">
        <v>765</v>
      </c>
    </row>
    <row r="3870" spans="1:8" ht="27" customHeight="1" x14ac:dyDescent="0.2">
      <c r="A3870" s="31" t="s">
        <v>5085</v>
      </c>
      <c r="B3870" s="32" t="s">
        <v>5086</v>
      </c>
      <c r="C3870" s="32" t="s">
        <v>766</v>
      </c>
      <c r="D3870" s="32" t="s">
        <v>808</v>
      </c>
      <c r="E3870" s="33" t="s">
        <v>768</v>
      </c>
      <c r="F3870" s="34">
        <v>250000</v>
      </c>
      <c r="G3870" s="34">
        <v>250000</v>
      </c>
      <c r="H3870" s="35" t="s">
        <v>765</v>
      </c>
    </row>
    <row r="3871" spans="1:8" ht="27" customHeight="1" x14ac:dyDescent="0.2">
      <c r="A3871" s="31" t="s">
        <v>5085</v>
      </c>
      <c r="B3871" s="32" t="s">
        <v>5086</v>
      </c>
      <c r="C3871" s="32" t="s">
        <v>770</v>
      </c>
      <c r="D3871" s="32" t="s">
        <v>820</v>
      </c>
      <c r="E3871" s="33" t="s">
        <v>772</v>
      </c>
      <c r="F3871" s="34">
        <v>164672</v>
      </c>
      <c r="G3871" s="34">
        <v>165000</v>
      </c>
      <c r="H3871" s="35" t="s">
        <v>765</v>
      </c>
    </row>
    <row r="3872" spans="1:8" ht="27" customHeight="1" x14ac:dyDescent="0.2">
      <c r="A3872" s="31" t="s">
        <v>5085</v>
      </c>
      <c r="B3872" s="32" t="s">
        <v>5086</v>
      </c>
      <c r="C3872" s="32" t="s">
        <v>844</v>
      </c>
      <c r="D3872" s="32" t="s">
        <v>972</v>
      </c>
      <c r="E3872" s="33" t="s">
        <v>846</v>
      </c>
      <c r="F3872" s="34">
        <v>177488</v>
      </c>
      <c r="G3872" s="34">
        <v>177500</v>
      </c>
      <c r="H3872" s="35" t="s">
        <v>765</v>
      </c>
    </row>
    <row r="3873" spans="1:8" ht="27" customHeight="1" x14ac:dyDescent="0.2">
      <c r="A3873" s="31" t="s">
        <v>5085</v>
      </c>
      <c r="B3873" s="32" t="s">
        <v>5086</v>
      </c>
      <c r="C3873" s="32" t="s">
        <v>796</v>
      </c>
      <c r="D3873" s="32" t="s">
        <v>2433</v>
      </c>
      <c r="E3873" s="33" t="s">
        <v>823</v>
      </c>
      <c r="F3873" s="34">
        <v>889795</v>
      </c>
      <c r="G3873" s="34">
        <v>890000</v>
      </c>
      <c r="H3873" s="35" t="s">
        <v>5087</v>
      </c>
    </row>
    <row r="3874" spans="1:8" ht="27" customHeight="1" x14ac:dyDescent="0.2">
      <c r="A3874" s="31" t="s">
        <v>5088</v>
      </c>
      <c r="B3874" s="32" t="s">
        <v>5089</v>
      </c>
      <c r="C3874" s="32" t="s">
        <v>763</v>
      </c>
      <c r="D3874" s="32" t="s">
        <v>5090</v>
      </c>
      <c r="E3874" s="33" t="s">
        <v>764</v>
      </c>
      <c r="F3874" s="34">
        <v>800209</v>
      </c>
      <c r="G3874" s="34">
        <v>0</v>
      </c>
      <c r="H3874" s="35" t="s">
        <v>5091</v>
      </c>
    </row>
    <row r="3875" spans="1:8" ht="27" customHeight="1" x14ac:dyDescent="0.2">
      <c r="A3875" s="31" t="s">
        <v>5088</v>
      </c>
      <c r="B3875" s="32" t="s">
        <v>5089</v>
      </c>
      <c r="C3875" s="32" t="s">
        <v>763</v>
      </c>
      <c r="D3875" s="32" t="s">
        <v>5092</v>
      </c>
      <c r="E3875" s="33" t="s">
        <v>764</v>
      </c>
      <c r="F3875" s="34">
        <v>1338091</v>
      </c>
      <c r="G3875" s="34">
        <v>133891</v>
      </c>
      <c r="H3875" s="35" t="s">
        <v>5093</v>
      </c>
    </row>
    <row r="3876" spans="1:8" ht="27" customHeight="1" x14ac:dyDescent="0.2">
      <c r="A3876" s="31" t="s">
        <v>5088</v>
      </c>
      <c r="B3876" s="32" t="s">
        <v>5089</v>
      </c>
      <c r="C3876" s="32" t="s">
        <v>766</v>
      </c>
      <c r="D3876" s="32" t="s">
        <v>5094</v>
      </c>
      <c r="E3876" s="33" t="s">
        <v>768</v>
      </c>
      <c r="F3876" s="34">
        <v>1588702</v>
      </c>
      <c r="G3876" s="34">
        <v>1600000</v>
      </c>
      <c r="H3876" s="35" t="s">
        <v>5091</v>
      </c>
    </row>
    <row r="3877" spans="1:8" ht="27" customHeight="1" x14ac:dyDescent="0.2">
      <c r="A3877" s="31" t="s">
        <v>5088</v>
      </c>
      <c r="B3877" s="32" t="s">
        <v>5089</v>
      </c>
      <c r="C3877" s="32" t="s">
        <v>770</v>
      </c>
      <c r="D3877" s="32" t="s">
        <v>5095</v>
      </c>
      <c r="E3877" s="33" t="s">
        <v>772</v>
      </c>
      <c r="F3877" s="34">
        <v>1068994</v>
      </c>
      <c r="G3877" s="34">
        <v>1068994</v>
      </c>
      <c r="H3877" s="35" t="s">
        <v>5096</v>
      </c>
    </row>
    <row r="3878" spans="1:8" ht="27" customHeight="1" x14ac:dyDescent="0.2">
      <c r="A3878" s="31" t="s">
        <v>5088</v>
      </c>
      <c r="B3878" s="32" t="s">
        <v>5089</v>
      </c>
      <c r="C3878" s="32" t="s">
        <v>773</v>
      </c>
      <c r="D3878" s="32" t="s">
        <v>5097</v>
      </c>
      <c r="E3878" s="33" t="s">
        <v>775</v>
      </c>
      <c r="F3878" s="34">
        <v>225000</v>
      </c>
      <c r="G3878" s="34">
        <v>400000</v>
      </c>
      <c r="H3878" s="35" t="s">
        <v>5098</v>
      </c>
    </row>
    <row r="3879" spans="1:8" ht="27" customHeight="1" x14ac:dyDescent="0.2">
      <c r="A3879" s="31" t="s">
        <v>5088</v>
      </c>
      <c r="B3879" s="32" t="s">
        <v>5089</v>
      </c>
      <c r="C3879" s="32" t="s">
        <v>796</v>
      </c>
      <c r="D3879" s="32" t="s">
        <v>5099</v>
      </c>
      <c r="E3879" s="33" t="s">
        <v>823</v>
      </c>
      <c r="F3879" s="34">
        <v>1228504</v>
      </c>
      <c r="G3879" s="34">
        <v>1500000</v>
      </c>
      <c r="H3879" s="35" t="s">
        <v>5100</v>
      </c>
    </row>
    <row r="3880" spans="1:8" ht="27" customHeight="1" x14ac:dyDescent="0.2">
      <c r="A3880" s="31" t="s">
        <v>5088</v>
      </c>
      <c r="B3880" s="32" t="s">
        <v>5089</v>
      </c>
      <c r="C3880" s="32" t="s">
        <v>779</v>
      </c>
      <c r="D3880" s="32" t="s">
        <v>5101</v>
      </c>
      <c r="E3880" s="33" t="s">
        <v>780</v>
      </c>
      <c r="F3880" s="34">
        <v>77178</v>
      </c>
      <c r="G3880" s="34">
        <v>100000</v>
      </c>
      <c r="H3880" s="35" t="s">
        <v>5102</v>
      </c>
    </row>
    <row r="3881" spans="1:8" ht="27" customHeight="1" x14ac:dyDescent="0.2">
      <c r="A3881" s="31" t="s">
        <v>5103</v>
      </c>
      <c r="B3881" s="32" t="s">
        <v>5104</v>
      </c>
      <c r="C3881" s="32" t="s">
        <v>763</v>
      </c>
      <c r="D3881" s="32" t="s">
        <v>816</v>
      </c>
      <c r="E3881" s="33" t="s">
        <v>764</v>
      </c>
      <c r="F3881" s="34">
        <v>1074871</v>
      </c>
      <c r="G3881" s="34">
        <v>1074871</v>
      </c>
      <c r="H3881" s="35" t="s">
        <v>5105</v>
      </c>
    </row>
    <row r="3882" spans="1:8" ht="27" customHeight="1" x14ac:dyDescent="0.2">
      <c r="A3882" s="31" t="s">
        <v>5103</v>
      </c>
      <c r="B3882" s="32" t="s">
        <v>5104</v>
      </c>
      <c r="C3882" s="32" t="s">
        <v>770</v>
      </c>
      <c r="D3882" s="32" t="s">
        <v>1011</v>
      </c>
      <c r="E3882" s="33" t="s">
        <v>772</v>
      </c>
      <c r="F3882" s="34">
        <v>688599</v>
      </c>
      <c r="G3882" s="34">
        <v>688599</v>
      </c>
      <c r="H3882" s="35" t="s">
        <v>5106</v>
      </c>
    </row>
    <row r="3883" spans="1:8" ht="27" customHeight="1" x14ac:dyDescent="0.2">
      <c r="A3883" s="31" t="s">
        <v>5103</v>
      </c>
      <c r="B3883" s="32" t="s">
        <v>5104</v>
      </c>
      <c r="C3883" s="32" t="s">
        <v>844</v>
      </c>
      <c r="D3883" s="32" t="s">
        <v>1162</v>
      </c>
      <c r="E3883" s="33" t="s">
        <v>846</v>
      </c>
      <c r="F3883" s="34">
        <v>1575447</v>
      </c>
      <c r="G3883" s="34">
        <v>1575447</v>
      </c>
      <c r="H3883" s="35" t="s">
        <v>5107</v>
      </c>
    </row>
    <row r="3884" spans="1:8" ht="27" customHeight="1" x14ac:dyDescent="0.2">
      <c r="A3884" s="31" t="s">
        <v>5103</v>
      </c>
      <c r="B3884" s="32" t="s">
        <v>5104</v>
      </c>
      <c r="C3884" s="32" t="s">
        <v>796</v>
      </c>
      <c r="D3884" s="32" t="s">
        <v>835</v>
      </c>
      <c r="E3884" s="33" t="s">
        <v>823</v>
      </c>
      <c r="F3884" s="34">
        <v>998447</v>
      </c>
      <c r="G3884" s="34">
        <v>998447</v>
      </c>
      <c r="H3884" s="35" t="s">
        <v>5108</v>
      </c>
    </row>
    <row r="3885" spans="1:8" ht="27" customHeight="1" x14ac:dyDescent="0.2">
      <c r="A3885" s="31" t="s">
        <v>5103</v>
      </c>
      <c r="B3885" s="32" t="s">
        <v>5104</v>
      </c>
      <c r="C3885" s="32" t="s">
        <v>776</v>
      </c>
      <c r="D3885" s="32" t="s">
        <v>812</v>
      </c>
      <c r="E3885" s="33" t="s">
        <v>777</v>
      </c>
      <c r="F3885" s="34">
        <v>50000</v>
      </c>
      <c r="G3885" s="34">
        <v>0</v>
      </c>
      <c r="H3885" s="35" t="s">
        <v>5109</v>
      </c>
    </row>
    <row r="3886" spans="1:8" ht="27" customHeight="1" x14ac:dyDescent="0.2">
      <c r="A3886" s="31" t="s">
        <v>5103</v>
      </c>
      <c r="B3886" s="32" t="s">
        <v>5104</v>
      </c>
      <c r="C3886" s="32" t="s">
        <v>779</v>
      </c>
      <c r="D3886" s="32" t="s">
        <v>876</v>
      </c>
      <c r="E3886" s="33" t="s">
        <v>780</v>
      </c>
      <c r="F3886" s="34">
        <v>199723</v>
      </c>
      <c r="G3886" s="34">
        <v>199723</v>
      </c>
      <c r="H3886" s="35" t="s">
        <v>5110</v>
      </c>
    </row>
    <row r="3887" spans="1:8" ht="27" customHeight="1" x14ac:dyDescent="0.2">
      <c r="A3887" s="31" t="s">
        <v>5111</v>
      </c>
      <c r="B3887" s="32" t="s">
        <v>388</v>
      </c>
      <c r="C3887" s="32" t="s">
        <v>763</v>
      </c>
      <c r="D3887" s="32" t="s">
        <v>816</v>
      </c>
      <c r="E3887" s="33" t="s">
        <v>764</v>
      </c>
      <c r="F3887" s="34">
        <v>2328138</v>
      </c>
      <c r="G3887" s="34">
        <v>2388930</v>
      </c>
      <c r="H3887" s="35" t="s">
        <v>5112</v>
      </c>
    </row>
    <row r="3888" spans="1:8" ht="27" customHeight="1" x14ac:dyDescent="0.2">
      <c r="A3888" s="31" t="s">
        <v>5111</v>
      </c>
      <c r="B3888" s="32" t="s">
        <v>388</v>
      </c>
      <c r="C3888" s="32" t="s">
        <v>766</v>
      </c>
      <c r="D3888" s="32" t="s">
        <v>765</v>
      </c>
      <c r="E3888" s="33" t="s">
        <v>768</v>
      </c>
      <c r="F3888" s="34">
        <v>0</v>
      </c>
      <c r="G3888" s="34">
        <v>0</v>
      </c>
      <c r="H3888" s="35" t="s">
        <v>765</v>
      </c>
    </row>
    <row r="3889" spans="1:8" ht="27" customHeight="1" x14ac:dyDescent="0.2">
      <c r="A3889" s="31" t="s">
        <v>5111</v>
      </c>
      <c r="B3889" s="32" t="s">
        <v>388</v>
      </c>
      <c r="C3889" s="32" t="s">
        <v>770</v>
      </c>
      <c r="D3889" s="32" t="s">
        <v>765</v>
      </c>
      <c r="E3889" s="33" t="s">
        <v>772</v>
      </c>
      <c r="F3889" s="34">
        <v>557656</v>
      </c>
      <c r="G3889" s="34">
        <v>557656</v>
      </c>
      <c r="H3889" s="35" t="s">
        <v>765</v>
      </c>
    </row>
    <row r="3890" spans="1:8" ht="27" customHeight="1" x14ac:dyDescent="0.2">
      <c r="A3890" s="31" t="s">
        <v>5111</v>
      </c>
      <c r="B3890" s="32" t="s">
        <v>388</v>
      </c>
      <c r="C3890" s="32" t="s">
        <v>884</v>
      </c>
      <c r="D3890" s="32" t="s">
        <v>765</v>
      </c>
      <c r="E3890" s="33" t="s">
        <v>885</v>
      </c>
      <c r="F3890" s="34">
        <v>0</v>
      </c>
      <c r="G3890" s="34">
        <v>0</v>
      </c>
      <c r="H3890" s="35" t="s">
        <v>765</v>
      </c>
    </row>
    <row r="3891" spans="1:8" ht="27" customHeight="1" x14ac:dyDescent="0.2">
      <c r="A3891" s="31" t="s">
        <v>5111</v>
      </c>
      <c r="B3891" s="32" t="s">
        <v>388</v>
      </c>
      <c r="C3891" s="32" t="s">
        <v>844</v>
      </c>
      <c r="D3891" s="32" t="s">
        <v>972</v>
      </c>
      <c r="E3891" s="33" t="s">
        <v>846</v>
      </c>
      <c r="F3891" s="34">
        <v>250059</v>
      </c>
      <c r="G3891" s="34">
        <v>250059</v>
      </c>
      <c r="H3891" s="35" t="s">
        <v>4330</v>
      </c>
    </row>
    <row r="3892" spans="1:8" ht="27" customHeight="1" x14ac:dyDescent="0.2">
      <c r="A3892" s="31" t="s">
        <v>5111</v>
      </c>
      <c r="B3892" s="32" t="s">
        <v>388</v>
      </c>
      <c r="C3892" s="32" t="s">
        <v>773</v>
      </c>
      <c r="D3892" s="32" t="s">
        <v>973</v>
      </c>
      <c r="E3892" s="33" t="s">
        <v>775</v>
      </c>
      <c r="F3892" s="34">
        <v>391368</v>
      </c>
      <c r="G3892" s="34">
        <v>391368</v>
      </c>
      <c r="H3892" s="35" t="s">
        <v>5113</v>
      </c>
    </row>
    <row r="3893" spans="1:8" ht="27" customHeight="1" x14ac:dyDescent="0.2">
      <c r="A3893" s="31" t="s">
        <v>5111</v>
      </c>
      <c r="B3893" s="32" t="s">
        <v>388</v>
      </c>
      <c r="C3893" s="32" t="s">
        <v>831</v>
      </c>
      <c r="D3893" s="32" t="s">
        <v>3353</v>
      </c>
      <c r="E3893" s="33" t="s">
        <v>5114</v>
      </c>
      <c r="F3893" s="34">
        <v>0</v>
      </c>
      <c r="G3893" s="34">
        <v>0</v>
      </c>
      <c r="H3893" s="35" t="s">
        <v>5115</v>
      </c>
    </row>
    <row r="3894" spans="1:8" ht="27" customHeight="1" x14ac:dyDescent="0.2">
      <c r="A3894" s="31" t="s">
        <v>5111</v>
      </c>
      <c r="B3894" s="32" t="s">
        <v>388</v>
      </c>
      <c r="C3894" s="32" t="s">
        <v>886</v>
      </c>
      <c r="D3894" s="32" t="s">
        <v>765</v>
      </c>
      <c r="E3894" s="33" t="s">
        <v>887</v>
      </c>
      <c r="F3894" s="34">
        <v>0</v>
      </c>
      <c r="G3894" s="34">
        <v>0</v>
      </c>
      <c r="H3894" s="35" t="s">
        <v>765</v>
      </c>
    </row>
    <row r="3895" spans="1:8" ht="27" customHeight="1" x14ac:dyDescent="0.2">
      <c r="A3895" s="31" t="s">
        <v>5111</v>
      </c>
      <c r="B3895" s="32" t="s">
        <v>388</v>
      </c>
      <c r="C3895" s="32" t="s">
        <v>860</v>
      </c>
      <c r="D3895" s="32" t="s">
        <v>765</v>
      </c>
      <c r="E3895" s="33" t="s">
        <v>861</v>
      </c>
      <c r="F3895" s="34">
        <v>0</v>
      </c>
      <c r="G3895" s="34">
        <v>0</v>
      </c>
      <c r="H3895" s="35" t="s">
        <v>765</v>
      </c>
    </row>
    <row r="3896" spans="1:8" ht="27" customHeight="1" x14ac:dyDescent="0.2">
      <c r="A3896" s="31" t="s">
        <v>5111</v>
      </c>
      <c r="B3896" s="32" t="s">
        <v>388</v>
      </c>
      <c r="C3896" s="32" t="s">
        <v>796</v>
      </c>
      <c r="D3896" s="32" t="s">
        <v>796</v>
      </c>
      <c r="E3896" s="33" t="s">
        <v>823</v>
      </c>
      <c r="F3896" s="34">
        <v>3117662</v>
      </c>
      <c r="G3896" s="34">
        <v>2117662</v>
      </c>
      <c r="H3896" s="35" t="s">
        <v>4290</v>
      </c>
    </row>
    <row r="3897" spans="1:8" ht="27" customHeight="1" x14ac:dyDescent="0.2">
      <c r="A3897" s="31" t="s">
        <v>5111</v>
      </c>
      <c r="B3897" s="32" t="s">
        <v>388</v>
      </c>
      <c r="C3897" s="32" t="s">
        <v>776</v>
      </c>
      <c r="D3897" s="32" t="s">
        <v>776</v>
      </c>
      <c r="E3897" s="33" t="s">
        <v>777</v>
      </c>
      <c r="F3897" s="34">
        <v>609860</v>
      </c>
      <c r="G3897" s="34">
        <v>609860</v>
      </c>
      <c r="H3897" s="35" t="s">
        <v>1382</v>
      </c>
    </row>
    <row r="3898" spans="1:8" ht="27" customHeight="1" x14ac:dyDescent="0.2">
      <c r="A3898" s="31" t="s">
        <v>5111</v>
      </c>
      <c r="B3898" s="32" t="s">
        <v>388</v>
      </c>
      <c r="C3898" s="32" t="s">
        <v>798</v>
      </c>
      <c r="D3898" s="32" t="s">
        <v>765</v>
      </c>
      <c r="E3898" s="33" t="s">
        <v>800</v>
      </c>
      <c r="F3898" s="34">
        <v>0</v>
      </c>
      <c r="G3898" s="34">
        <v>0</v>
      </c>
      <c r="H3898" s="35" t="s">
        <v>765</v>
      </c>
    </row>
    <row r="3899" spans="1:8" ht="27" customHeight="1" x14ac:dyDescent="0.2">
      <c r="A3899" s="31" t="s">
        <v>5111</v>
      </c>
      <c r="B3899" s="32" t="s">
        <v>388</v>
      </c>
      <c r="C3899" s="32" t="s">
        <v>892</v>
      </c>
      <c r="D3899" s="32" t="s">
        <v>765</v>
      </c>
      <c r="E3899" s="33" t="s">
        <v>893</v>
      </c>
      <c r="F3899" s="34">
        <v>0</v>
      </c>
      <c r="G3899" s="34">
        <v>0</v>
      </c>
      <c r="H3899" s="35" t="s">
        <v>765</v>
      </c>
    </row>
    <row r="3900" spans="1:8" ht="27" customHeight="1" x14ac:dyDescent="0.2">
      <c r="A3900" s="31" t="s">
        <v>5111</v>
      </c>
      <c r="B3900" s="32" t="s">
        <v>388</v>
      </c>
      <c r="C3900" s="32" t="s">
        <v>779</v>
      </c>
      <c r="D3900" s="32" t="s">
        <v>826</v>
      </c>
      <c r="E3900" s="33" t="s">
        <v>780</v>
      </c>
      <c r="F3900" s="34">
        <v>151296</v>
      </c>
      <c r="G3900" s="34">
        <v>151296</v>
      </c>
      <c r="H3900" s="35" t="s">
        <v>5116</v>
      </c>
    </row>
    <row r="3901" spans="1:8" ht="27" customHeight="1" x14ac:dyDescent="0.2">
      <c r="A3901" s="31" t="s">
        <v>5111</v>
      </c>
      <c r="B3901" s="32" t="s">
        <v>388</v>
      </c>
      <c r="C3901" s="32" t="s">
        <v>782</v>
      </c>
      <c r="D3901" s="32" t="s">
        <v>765</v>
      </c>
      <c r="E3901" s="33" t="s">
        <v>784</v>
      </c>
      <c r="F3901" s="34">
        <v>0</v>
      </c>
      <c r="G3901" s="34">
        <v>0</v>
      </c>
      <c r="H3901" s="35" t="s">
        <v>765</v>
      </c>
    </row>
    <row r="3902" spans="1:8" ht="27" customHeight="1" x14ac:dyDescent="0.2">
      <c r="A3902" s="31" t="s">
        <v>5117</v>
      </c>
      <c r="B3902" s="32" t="s">
        <v>5118</v>
      </c>
      <c r="C3902" s="32" t="s">
        <v>763</v>
      </c>
      <c r="D3902" s="32" t="s">
        <v>2562</v>
      </c>
      <c r="E3902" s="33" t="s">
        <v>764</v>
      </c>
      <c r="F3902" s="34">
        <v>1054069</v>
      </c>
      <c r="G3902" s="34">
        <v>1054069</v>
      </c>
      <c r="H3902" s="35" t="s">
        <v>859</v>
      </c>
    </row>
    <row r="3903" spans="1:8" ht="27" customHeight="1" x14ac:dyDescent="0.2">
      <c r="A3903" s="31" t="s">
        <v>5117</v>
      </c>
      <c r="B3903" s="32" t="s">
        <v>5118</v>
      </c>
      <c r="C3903" s="32" t="s">
        <v>763</v>
      </c>
      <c r="D3903" s="32" t="s">
        <v>5119</v>
      </c>
      <c r="E3903" s="33" t="s">
        <v>764</v>
      </c>
      <c r="F3903" s="34">
        <v>730000</v>
      </c>
      <c r="G3903" s="34">
        <v>980000</v>
      </c>
      <c r="H3903" s="35" t="s">
        <v>859</v>
      </c>
    </row>
    <row r="3904" spans="1:8" ht="27" customHeight="1" x14ac:dyDescent="0.2">
      <c r="A3904" s="31" t="s">
        <v>5117</v>
      </c>
      <c r="B3904" s="32" t="s">
        <v>5118</v>
      </c>
      <c r="C3904" s="32" t="s">
        <v>766</v>
      </c>
      <c r="D3904" s="32" t="s">
        <v>818</v>
      </c>
      <c r="E3904" s="33" t="s">
        <v>768</v>
      </c>
      <c r="F3904" s="34">
        <v>1229058</v>
      </c>
      <c r="G3904" s="34">
        <v>1156058</v>
      </c>
      <c r="H3904" s="35" t="s">
        <v>5120</v>
      </c>
    </row>
    <row r="3905" spans="1:8" ht="27" customHeight="1" x14ac:dyDescent="0.2">
      <c r="A3905" s="31" t="s">
        <v>5117</v>
      </c>
      <c r="B3905" s="32" t="s">
        <v>5118</v>
      </c>
      <c r="C3905" s="32" t="s">
        <v>770</v>
      </c>
      <c r="D3905" s="32" t="s">
        <v>1720</v>
      </c>
      <c r="E3905" s="33" t="s">
        <v>772</v>
      </c>
      <c r="F3905" s="34">
        <v>289571</v>
      </c>
      <c r="G3905" s="34">
        <v>289571</v>
      </c>
      <c r="H3905" s="35" t="s">
        <v>5121</v>
      </c>
    </row>
    <row r="3906" spans="1:8" ht="27" customHeight="1" x14ac:dyDescent="0.2">
      <c r="A3906" s="31" t="s">
        <v>5117</v>
      </c>
      <c r="B3906" s="32" t="s">
        <v>5118</v>
      </c>
      <c r="C3906" s="32" t="s">
        <v>860</v>
      </c>
      <c r="D3906" s="32" t="s">
        <v>859</v>
      </c>
      <c r="E3906" s="33" t="s">
        <v>861</v>
      </c>
      <c r="F3906" s="34">
        <v>0</v>
      </c>
      <c r="G3906" s="34">
        <v>0</v>
      </c>
      <c r="H3906" s="35" t="s">
        <v>859</v>
      </c>
    </row>
    <row r="3907" spans="1:8" ht="27" customHeight="1" x14ac:dyDescent="0.2">
      <c r="A3907" s="31" t="s">
        <v>5117</v>
      </c>
      <c r="B3907" s="32" t="s">
        <v>5118</v>
      </c>
      <c r="C3907" s="32" t="s">
        <v>796</v>
      </c>
      <c r="D3907" s="32" t="s">
        <v>3426</v>
      </c>
      <c r="E3907" s="33" t="s">
        <v>772</v>
      </c>
      <c r="F3907" s="34">
        <v>1389646</v>
      </c>
      <c r="G3907" s="34">
        <v>1389646</v>
      </c>
      <c r="H3907" s="35" t="s">
        <v>859</v>
      </c>
    </row>
    <row r="3908" spans="1:8" ht="27" customHeight="1" x14ac:dyDescent="0.2">
      <c r="A3908" s="31" t="s">
        <v>5117</v>
      </c>
      <c r="B3908" s="32" t="s">
        <v>5118</v>
      </c>
      <c r="C3908" s="32" t="s">
        <v>776</v>
      </c>
      <c r="D3908" s="32" t="s">
        <v>914</v>
      </c>
      <c r="E3908" s="33" t="s">
        <v>777</v>
      </c>
      <c r="F3908" s="34">
        <v>103813</v>
      </c>
      <c r="G3908" s="34">
        <v>103813</v>
      </c>
      <c r="H3908" s="35" t="s">
        <v>3115</v>
      </c>
    </row>
    <row r="3909" spans="1:8" ht="27" customHeight="1" x14ac:dyDescent="0.2">
      <c r="A3909" s="31" t="s">
        <v>5117</v>
      </c>
      <c r="B3909" s="32" t="s">
        <v>5118</v>
      </c>
      <c r="C3909" s="32" t="s">
        <v>779</v>
      </c>
      <c r="D3909" s="32" t="s">
        <v>876</v>
      </c>
      <c r="E3909" s="33" t="s">
        <v>780</v>
      </c>
      <c r="F3909" s="34">
        <v>45337</v>
      </c>
      <c r="G3909" s="34">
        <v>45337</v>
      </c>
      <c r="H3909" s="35" t="s">
        <v>5122</v>
      </c>
    </row>
    <row r="3910" spans="1:8" ht="27" customHeight="1" x14ac:dyDescent="0.2">
      <c r="A3910" s="31" t="s">
        <v>5123</v>
      </c>
      <c r="B3910" s="32" t="s">
        <v>5124</v>
      </c>
      <c r="C3910" s="32" t="s">
        <v>763</v>
      </c>
      <c r="D3910" s="32" t="s">
        <v>816</v>
      </c>
      <c r="E3910" s="33" t="s">
        <v>764</v>
      </c>
      <c r="F3910" s="34">
        <v>2641214</v>
      </c>
      <c r="G3910" s="34">
        <v>1365097</v>
      </c>
      <c r="H3910" s="35" t="s">
        <v>5125</v>
      </c>
    </row>
    <row r="3911" spans="1:8" ht="27" customHeight="1" x14ac:dyDescent="0.2">
      <c r="A3911" s="31" t="s">
        <v>5123</v>
      </c>
      <c r="B3911" s="32" t="s">
        <v>5124</v>
      </c>
      <c r="C3911" s="32" t="s">
        <v>766</v>
      </c>
      <c r="D3911" s="32" t="s">
        <v>818</v>
      </c>
      <c r="E3911" s="33" t="s">
        <v>768</v>
      </c>
      <c r="F3911" s="34">
        <v>477066</v>
      </c>
      <c r="G3911" s="34">
        <v>403373</v>
      </c>
      <c r="H3911" s="35" t="s">
        <v>5126</v>
      </c>
    </row>
    <row r="3912" spans="1:8" ht="27" customHeight="1" x14ac:dyDescent="0.2">
      <c r="A3912" s="31" t="s">
        <v>5123</v>
      </c>
      <c r="B3912" s="32" t="s">
        <v>5124</v>
      </c>
      <c r="C3912" s="32" t="s">
        <v>770</v>
      </c>
      <c r="D3912" s="32" t="s">
        <v>1011</v>
      </c>
      <c r="E3912" s="33" t="s">
        <v>772</v>
      </c>
      <c r="F3912" s="34">
        <v>438116</v>
      </c>
      <c r="G3912" s="34">
        <v>372926</v>
      </c>
      <c r="H3912" s="35" t="s">
        <v>5127</v>
      </c>
    </row>
    <row r="3913" spans="1:8" ht="27" customHeight="1" x14ac:dyDescent="0.2">
      <c r="A3913" s="31" t="s">
        <v>5123</v>
      </c>
      <c r="B3913" s="32" t="s">
        <v>5124</v>
      </c>
      <c r="C3913" s="32" t="s">
        <v>860</v>
      </c>
      <c r="D3913" s="32" t="s">
        <v>911</v>
      </c>
      <c r="E3913" s="33" t="s">
        <v>861</v>
      </c>
      <c r="F3913" s="34">
        <v>73939</v>
      </c>
      <c r="G3913" s="34">
        <v>73939</v>
      </c>
      <c r="H3913" s="35" t="s">
        <v>5128</v>
      </c>
    </row>
    <row r="3914" spans="1:8" ht="27" customHeight="1" x14ac:dyDescent="0.2">
      <c r="A3914" s="31" t="s">
        <v>5123</v>
      </c>
      <c r="B3914" s="32" t="s">
        <v>5124</v>
      </c>
      <c r="C3914" s="32" t="s">
        <v>796</v>
      </c>
      <c r="D3914" s="32" t="s">
        <v>1463</v>
      </c>
      <c r="E3914" s="33" t="s">
        <v>772</v>
      </c>
      <c r="F3914" s="34">
        <v>87376</v>
      </c>
      <c r="G3914" s="34">
        <v>67376</v>
      </c>
      <c r="H3914" s="35" t="s">
        <v>5129</v>
      </c>
    </row>
    <row r="3915" spans="1:8" ht="27" customHeight="1" x14ac:dyDescent="0.2">
      <c r="A3915" s="31" t="s">
        <v>5123</v>
      </c>
      <c r="B3915" s="32" t="s">
        <v>5124</v>
      </c>
      <c r="C3915" s="32" t="s">
        <v>776</v>
      </c>
      <c r="D3915" s="32" t="s">
        <v>914</v>
      </c>
      <c r="E3915" s="33" t="s">
        <v>777</v>
      </c>
      <c r="F3915" s="34">
        <v>59190</v>
      </c>
      <c r="G3915" s="34">
        <v>0</v>
      </c>
      <c r="H3915" s="35" t="s">
        <v>5130</v>
      </c>
    </row>
    <row r="3916" spans="1:8" ht="27" customHeight="1" x14ac:dyDescent="0.2">
      <c r="A3916" s="31" t="s">
        <v>5123</v>
      </c>
      <c r="B3916" s="32" t="s">
        <v>5124</v>
      </c>
      <c r="C3916" s="32" t="s">
        <v>779</v>
      </c>
      <c r="D3916" s="32" t="s">
        <v>779</v>
      </c>
      <c r="E3916" s="33" t="s">
        <v>780</v>
      </c>
      <c r="F3916" s="34">
        <v>95036</v>
      </c>
      <c r="G3916" s="34">
        <v>35036</v>
      </c>
      <c r="H3916" s="35" t="s">
        <v>5131</v>
      </c>
    </row>
    <row r="3917" spans="1:8" ht="27" customHeight="1" x14ac:dyDescent="0.2">
      <c r="A3917" s="31" t="s">
        <v>5123</v>
      </c>
      <c r="B3917" s="32" t="s">
        <v>5124</v>
      </c>
      <c r="C3917" s="32" t="s">
        <v>782</v>
      </c>
      <c r="D3917" s="32" t="s">
        <v>4961</v>
      </c>
      <c r="E3917" s="33" t="s">
        <v>784</v>
      </c>
      <c r="F3917" s="34">
        <v>0</v>
      </c>
      <c r="G3917" s="34">
        <v>60000</v>
      </c>
      <c r="H3917" s="35" t="s">
        <v>5132</v>
      </c>
    </row>
    <row r="3918" spans="1:8" ht="27" customHeight="1" x14ac:dyDescent="0.2">
      <c r="A3918" s="31" t="s">
        <v>5133</v>
      </c>
      <c r="B3918" s="32" t="s">
        <v>5134</v>
      </c>
      <c r="C3918" s="32" t="s">
        <v>763</v>
      </c>
      <c r="D3918" s="32" t="s">
        <v>5135</v>
      </c>
      <c r="E3918" s="33" t="s">
        <v>764</v>
      </c>
      <c r="F3918" s="34">
        <v>4524425</v>
      </c>
      <c r="G3918" s="34">
        <v>4524425</v>
      </c>
      <c r="H3918" s="35" t="s">
        <v>5136</v>
      </c>
    </row>
    <row r="3919" spans="1:8" ht="27" customHeight="1" x14ac:dyDescent="0.2">
      <c r="A3919" s="31" t="s">
        <v>5133</v>
      </c>
      <c r="B3919" s="32" t="s">
        <v>5134</v>
      </c>
      <c r="C3919" s="32" t="s">
        <v>860</v>
      </c>
      <c r="D3919" s="32" t="s">
        <v>5137</v>
      </c>
      <c r="E3919" s="33" t="s">
        <v>861</v>
      </c>
      <c r="F3919" s="34">
        <v>302995</v>
      </c>
      <c r="G3919" s="34">
        <v>302995</v>
      </c>
      <c r="H3919" s="35" t="s">
        <v>5138</v>
      </c>
    </row>
    <row r="3920" spans="1:8" ht="27" customHeight="1" x14ac:dyDescent="0.2">
      <c r="A3920" s="31" t="s">
        <v>5133</v>
      </c>
      <c r="B3920" s="32" t="s">
        <v>5134</v>
      </c>
      <c r="C3920" s="32" t="s">
        <v>796</v>
      </c>
      <c r="D3920" s="32" t="s">
        <v>811</v>
      </c>
      <c r="E3920" s="33" t="s">
        <v>823</v>
      </c>
      <c r="F3920" s="34">
        <v>1958723</v>
      </c>
      <c r="G3920" s="34">
        <v>1958723</v>
      </c>
      <c r="H3920" s="35" t="s">
        <v>5139</v>
      </c>
    </row>
    <row r="3921" spans="1:8" ht="27" customHeight="1" x14ac:dyDescent="0.2">
      <c r="A3921" s="31" t="s">
        <v>5133</v>
      </c>
      <c r="B3921" s="32" t="s">
        <v>5134</v>
      </c>
      <c r="C3921" s="32" t="s">
        <v>798</v>
      </c>
      <c r="D3921" s="32" t="s">
        <v>911</v>
      </c>
      <c r="E3921" s="33" t="s">
        <v>800</v>
      </c>
      <c r="F3921" s="34">
        <v>64516</v>
      </c>
      <c r="G3921" s="34">
        <v>64516</v>
      </c>
      <c r="H3921" s="35" t="s">
        <v>5140</v>
      </c>
    </row>
    <row r="3922" spans="1:8" ht="27" customHeight="1" x14ac:dyDescent="0.2">
      <c r="A3922" s="31" t="s">
        <v>5133</v>
      </c>
      <c r="B3922" s="32" t="s">
        <v>5134</v>
      </c>
      <c r="C3922" s="32" t="s">
        <v>779</v>
      </c>
      <c r="D3922" s="32" t="s">
        <v>826</v>
      </c>
      <c r="E3922" s="33" t="s">
        <v>780</v>
      </c>
      <c r="F3922" s="34">
        <v>273326</v>
      </c>
      <c r="G3922" s="34">
        <v>263326</v>
      </c>
      <c r="H3922" s="35" t="s">
        <v>5141</v>
      </c>
    </row>
    <row r="3923" spans="1:8" ht="27" customHeight="1" x14ac:dyDescent="0.2">
      <c r="A3923" s="31" t="s">
        <v>5142</v>
      </c>
      <c r="B3923" s="32" t="s">
        <v>5143</v>
      </c>
      <c r="C3923" s="32" t="s">
        <v>763</v>
      </c>
      <c r="D3923" s="32" t="s">
        <v>816</v>
      </c>
      <c r="E3923" s="33" t="s">
        <v>764</v>
      </c>
      <c r="F3923" s="34">
        <v>5807715</v>
      </c>
      <c r="G3923" s="34">
        <v>5811707</v>
      </c>
      <c r="H3923" s="35" t="s">
        <v>5144</v>
      </c>
    </row>
    <row r="3924" spans="1:8" ht="27" customHeight="1" x14ac:dyDescent="0.2">
      <c r="A3924" s="31" t="s">
        <v>5142</v>
      </c>
      <c r="B3924" s="32" t="s">
        <v>5143</v>
      </c>
      <c r="C3924" s="32" t="s">
        <v>773</v>
      </c>
      <c r="D3924" s="32" t="s">
        <v>973</v>
      </c>
      <c r="E3924" s="33" t="s">
        <v>775</v>
      </c>
      <c r="F3924" s="34">
        <v>100436</v>
      </c>
      <c r="G3924" s="34">
        <v>100560</v>
      </c>
      <c r="H3924" s="35" t="s">
        <v>5145</v>
      </c>
    </row>
    <row r="3925" spans="1:8" ht="27" customHeight="1" x14ac:dyDescent="0.2">
      <c r="A3925" s="31" t="s">
        <v>5142</v>
      </c>
      <c r="B3925" s="32" t="s">
        <v>5143</v>
      </c>
      <c r="C3925" s="32" t="s">
        <v>886</v>
      </c>
      <c r="D3925" s="32" t="s">
        <v>1013</v>
      </c>
      <c r="E3925" s="33" t="s">
        <v>887</v>
      </c>
      <c r="F3925" s="34">
        <v>100451</v>
      </c>
      <c r="G3925" s="34">
        <v>100571</v>
      </c>
      <c r="H3925" s="35" t="s">
        <v>5146</v>
      </c>
    </row>
    <row r="3926" spans="1:8" ht="27" customHeight="1" x14ac:dyDescent="0.2">
      <c r="A3926" s="31" t="s">
        <v>5142</v>
      </c>
      <c r="B3926" s="32" t="s">
        <v>5143</v>
      </c>
      <c r="C3926" s="32" t="s">
        <v>796</v>
      </c>
      <c r="D3926" s="32" t="s">
        <v>5147</v>
      </c>
      <c r="E3926" s="33" t="s">
        <v>823</v>
      </c>
      <c r="F3926" s="34">
        <v>5530352</v>
      </c>
      <c r="G3926" s="34">
        <v>5534004</v>
      </c>
      <c r="H3926" s="35" t="s">
        <v>5148</v>
      </c>
    </row>
    <row r="3927" spans="1:8" ht="27" customHeight="1" x14ac:dyDescent="0.2">
      <c r="A3927" s="31" t="s">
        <v>5142</v>
      </c>
      <c r="B3927" s="32" t="s">
        <v>5143</v>
      </c>
      <c r="C3927" s="32" t="s">
        <v>776</v>
      </c>
      <c r="D3927" s="32" t="s">
        <v>812</v>
      </c>
      <c r="E3927" s="33" t="s">
        <v>777</v>
      </c>
      <c r="F3927" s="34">
        <v>9081023</v>
      </c>
      <c r="G3927" s="34">
        <v>9085923</v>
      </c>
      <c r="H3927" s="35" t="s">
        <v>5149</v>
      </c>
    </row>
    <row r="3928" spans="1:8" ht="27" customHeight="1" x14ac:dyDescent="0.2">
      <c r="A3928" s="31" t="s">
        <v>5142</v>
      </c>
      <c r="B3928" s="32" t="s">
        <v>5143</v>
      </c>
      <c r="C3928" s="32" t="s">
        <v>779</v>
      </c>
      <c r="D3928" s="32" t="s">
        <v>826</v>
      </c>
      <c r="E3928" s="33" t="s">
        <v>780</v>
      </c>
      <c r="F3928" s="34">
        <v>426065</v>
      </c>
      <c r="G3928" s="34">
        <v>426581</v>
      </c>
      <c r="H3928" s="35" t="s">
        <v>5150</v>
      </c>
    </row>
    <row r="3929" spans="1:8" ht="27" customHeight="1" x14ac:dyDescent="0.2">
      <c r="A3929" s="31" t="s">
        <v>5151</v>
      </c>
      <c r="B3929" s="32" t="s">
        <v>5152</v>
      </c>
      <c r="C3929" s="32" t="s">
        <v>763</v>
      </c>
      <c r="D3929" s="32" t="s">
        <v>816</v>
      </c>
      <c r="E3929" s="33" t="s">
        <v>764</v>
      </c>
      <c r="F3929" s="34">
        <v>425000</v>
      </c>
      <c r="G3929" s="34">
        <v>425000</v>
      </c>
      <c r="H3929" s="35" t="s">
        <v>5153</v>
      </c>
    </row>
    <row r="3930" spans="1:8" ht="27" customHeight="1" x14ac:dyDescent="0.2">
      <c r="A3930" s="31" t="s">
        <v>5151</v>
      </c>
      <c r="B3930" s="32" t="s">
        <v>5152</v>
      </c>
      <c r="C3930" s="32" t="s">
        <v>796</v>
      </c>
      <c r="D3930" s="32" t="s">
        <v>822</v>
      </c>
      <c r="E3930" s="33" t="s">
        <v>823</v>
      </c>
      <c r="F3930" s="34">
        <v>400000</v>
      </c>
      <c r="G3930" s="34">
        <v>400000</v>
      </c>
      <c r="H3930" s="35" t="s">
        <v>5154</v>
      </c>
    </row>
    <row r="3931" spans="1:8" ht="27" customHeight="1" x14ac:dyDescent="0.2">
      <c r="A3931" s="31" t="s">
        <v>5151</v>
      </c>
      <c r="B3931" s="32" t="s">
        <v>5152</v>
      </c>
      <c r="C3931" s="32" t="s">
        <v>776</v>
      </c>
      <c r="D3931" s="32" t="s">
        <v>776</v>
      </c>
      <c r="E3931" s="33" t="s">
        <v>777</v>
      </c>
      <c r="F3931" s="34">
        <v>134992</v>
      </c>
      <c r="G3931" s="34">
        <v>134992</v>
      </c>
      <c r="H3931" s="35" t="s">
        <v>5155</v>
      </c>
    </row>
    <row r="3932" spans="1:8" ht="27" customHeight="1" x14ac:dyDescent="0.2">
      <c r="A3932" s="31" t="s">
        <v>5156</v>
      </c>
      <c r="B3932" s="32" t="s">
        <v>5157</v>
      </c>
      <c r="C3932" s="32" t="s">
        <v>763</v>
      </c>
      <c r="D3932" s="32" t="s">
        <v>4621</v>
      </c>
      <c r="E3932" s="33" t="s">
        <v>764</v>
      </c>
      <c r="F3932" s="34">
        <v>53941</v>
      </c>
      <c r="G3932" s="34">
        <v>53941</v>
      </c>
      <c r="H3932" s="35" t="s">
        <v>5158</v>
      </c>
    </row>
    <row r="3933" spans="1:8" ht="27" customHeight="1" x14ac:dyDescent="0.2">
      <c r="A3933" s="31" t="s">
        <v>5156</v>
      </c>
      <c r="B3933" s="32" t="s">
        <v>5157</v>
      </c>
      <c r="C3933" s="32" t="s">
        <v>770</v>
      </c>
      <c r="D3933" s="32" t="s">
        <v>5159</v>
      </c>
      <c r="E3933" s="33" t="s">
        <v>772</v>
      </c>
      <c r="F3933" s="34">
        <v>1000000</v>
      </c>
      <c r="G3933" s="34">
        <v>600000</v>
      </c>
      <c r="H3933" s="35" t="s">
        <v>5160</v>
      </c>
    </row>
    <row r="3934" spans="1:8" ht="27" customHeight="1" x14ac:dyDescent="0.2">
      <c r="A3934" s="31" t="s">
        <v>5156</v>
      </c>
      <c r="B3934" s="32" t="s">
        <v>5157</v>
      </c>
      <c r="C3934" s="32" t="s">
        <v>796</v>
      </c>
      <c r="D3934" s="32" t="s">
        <v>5161</v>
      </c>
      <c r="E3934" s="33" t="s">
        <v>772</v>
      </c>
      <c r="F3934" s="34">
        <v>711793</v>
      </c>
      <c r="G3934" s="34">
        <v>0</v>
      </c>
      <c r="H3934" s="35" t="s">
        <v>5162</v>
      </c>
    </row>
    <row r="3935" spans="1:8" ht="27" customHeight="1" x14ac:dyDescent="0.2">
      <c r="A3935" s="31" t="s">
        <v>5156</v>
      </c>
      <c r="B3935" s="32" t="s">
        <v>5157</v>
      </c>
      <c r="C3935" s="32" t="s">
        <v>776</v>
      </c>
      <c r="D3935" s="32" t="s">
        <v>914</v>
      </c>
      <c r="E3935" s="33" t="s">
        <v>777</v>
      </c>
      <c r="F3935" s="34">
        <v>359970</v>
      </c>
      <c r="G3935" s="34">
        <v>359970</v>
      </c>
      <c r="H3935" s="35" t="s">
        <v>5163</v>
      </c>
    </row>
    <row r="3936" spans="1:8" ht="27" customHeight="1" x14ac:dyDescent="0.2">
      <c r="A3936" s="31" t="s">
        <v>5156</v>
      </c>
      <c r="B3936" s="32" t="s">
        <v>5157</v>
      </c>
      <c r="C3936" s="32" t="s">
        <v>779</v>
      </c>
      <c r="D3936" s="32" t="s">
        <v>927</v>
      </c>
      <c r="E3936" s="33" t="s">
        <v>780</v>
      </c>
      <c r="F3936" s="34">
        <v>150000</v>
      </c>
      <c r="G3936" s="34">
        <v>140000</v>
      </c>
      <c r="H3936" s="35" t="s">
        <v>5164</v>
      </c>
    </row>
    <row r="3937" spans="1:8" ht="27" customHeight="1" x14ac:dyDescent="0.2">
      <c r="A3937" s="31" t="s">
        <v>5156</v>
      </c>
      <c r="B3937" s="32" t="s">
        <v>5157</v>
      </c>
      <c r="C3937" s="32" t="s">
        <v>782</v>
      </c>
      <c r="D3937" s="32" t="s">
        <v>1488</v>
      </c>
      <c r="E3937" s="33" t="s">
        <v>784</v>
      </c>
      <c r="F3937" s="34">
        <v>250000</v>
      </c>
      <c r="G3937" s="34">
        <v>0</v>
      </c>
      <c r="H3937" s="35" t="s">
        <v>5165</v>
      </c>
    </row>
    <row r="3938" spans="1:8" ht="27" customHeight="1" x14ac:dyDescent="0.2">
      <c r="A3938" s="31" t="s">
        <v>5166</v>
      </c>
      <c r="B3938" s="32" t="s">
        <v>5167</v>
      </c>
      <c r="C3938" s="32" t="s">
        <v>763</v>
      </c>
      <c r="D3938" s="32" t="s">
        <v>816</v>
      </c>
      <c r="E3938" s="33" t="s">
        <v>764</v>
      </c>
      <c r="F3938" s="34">
        <v>0</v>
      </c>
      <c r="G3938" s="34">
        <v>0</v>
      </c>
      <c r="H3938" s="35" t="s">
        <v>5168</v>
      </c>
    </row>
    <row r="3939" spans="1:8" ht="27" customHeight="1" x14ac:dyDescent="0.2">
      <c r="A3939" s="31" t="s">
        <v>5166</v>
      </c>
      <c r="B3939" s="32" t="s">
        <v>5167</v>
      </c>
      <c r="C3939" s="32" t="s">
        <v>844</v>
      </c>
      <c r="D3939" s="32" t="s">
        <v>972</v>
      </c>
      <c r="E3939" s="33" t="s">
        <v>846</v>
      </c>
      <c r="F3939" s="34">
        <v>2200000</v>
      </c>
      <c r="G3939" s="34">
        <v>2200000</v>
      </c>
      <c r="H3939" s="35" t="s">
        <v>5169</v>
      </c>
    </row>
    <row r="3940" spans="1:8" ht="27" customHeight="1" x14ac:dyDescent="0.2">
      <c r="A3940" s="31" t="s">
        <v>5166</v>
      </c>
      <c r="B3940" s="32" t="s">
        <v>5167</v>
      </c>
      <c r="C3940" s="32" t="s">
        <v>796</v>
      </c>
      <c r="D3940" s="32" t="s">
        <v>811</v>
      </c>
      <c r="E3940" s="33" t="s">
        <v>772</v>
      </c>
      <c r="F3940" s="34">
        <v>2830000</v>
      </c>
      <c r="G3940" s="34">
        <v>2830000</v>
      </c>
      <c r="H3940" s="35" t="s">
        <v>5170</v>
      </c>
    </row>
    <row r="3941" spans="1:8" ht="27" customHeight="1" x14ac:dyDescent="0.2">
      <c r="A3941" s="31" t="s">
        <v>5166</v>
      </c>
      <c r="B3941" s="32" t="s">
        <v>5167</v>
      </c>
      <c r="C3941" s="32" t="s">
        <v>776</v>
      </c>
      <c r="D3941" s="32" t="s">
        <v>914</v>
      </c>
      <c r="E3941" s="33" t="s">
        <v>777</v>
      </c>
      <c r="F3941" s="34">
        <v>203350</v>
      </c>
      <c r="G3941" s="34">
        <v>203350</v>
      </c>
      <c r="H3941" s="35" t="s">
        <v>5171</v>
      </c>
    </row>
    <row r="3942" spans="1:8" ht="27" customHeight="1" x14ac:dyDescent="0.2">
      <c r="A3942" s="31" t="s">
        <v>5166</v>
      </c>
      <c r="B3942" s="32" t="s">
        <v>5167</v>
      </c>
      <c r="C3942" s="32" t="s">
        <v>779</v>
      </c>
      <c r="D3942" s="32" t="s">
        <v>876</v>
      </c>
      <c r="E3942" s="33" t="s">
        <v>780</v>
      </c>
      <c r="F3942" s="34">
        <v>184290</v>
      </c>
      <c r="G3942" s="34">
        <v>184290</v>
      </c>
      <c r="H3942" s="35" t="s">
        <v>5172</v>
      </c>
    </row>
    <row r="3943" spans="1:8" ht="27" customHeight="1" x14ac:dyDescent="0.2">
      <c r="A3943" s="31" t="s">
        <v>5166</v>
      </c>
      <c r="B3943" s="32" t="s">
        <v>5167</v>
      </c>
      <c r="C3943" s="32" t="s">
        <v>782</v>
      </c>
      <c r="D3943" s="32" t="s">
        <v>1391</v>
      </c>
      <c r="E3943" s="33" t="s">
        <v>784</v>
      </c>
      <c r="F3943" s="34">
        <v>250000</v>
      </c>
      <c r="G3943" s="34">
        <v>250000</v>
      </c>
      <c r="H3943" s="35" t="s">
        <v>5173</v>
      </c>
    </row>
    <row r="3944" spans="1:8" ht="27" customHeight="1" x14ac:dyDescent="0.2">
      <c r="A3944" s="31" t="s">
        <v>5174</v>
      </c>
      <c r="B3944" s="32" t="s">
        <v>5175</v>
      </c>
      <c r="C3944" s="32" t="s">
        <v>773</v>
      </c>
      <c r="D3944" s="32" t="s">
        <v>973</v>
      </c>
      <c r="E3944" s="33" t="s">
        <v>775</v>
      </c>
      <c r="F3944" s="34">
        <v>100000</v>
      </c>
      <c r="G3944" s="34">
        <v>100000</v>
      </c>
      <c r="H3944" s="35" t="s">
        <v>4496</v>
      </c>
    </row>
    <row r="3945" spans="1:8" ht="27" customHeight="1" x14ac:dyDescent="0.2">
      <c r="A3945" s="31" t="s">
        <v>5174</v>
      </c>
      <c r="B3945" s="32" t="s">
        <v>5175</v>
      </c>
      <c r="C3945" s="32" t="s">
        <v>860</v>
      </c>
      <c r="D3945" s="32" t="s">
        <v>911</v>
      </c>
      <c r="E3945" s="33" t="s">
        <v>861</v>
      </c>
      <c r="F3945" s="34">
        <v>3700</v>
      </c>
      <c r="G3945" s="34">
        <v>3700</v>
      </c>
      <c r="H3945" s="35" t="s">
        <v>5176</v>
      </c>
    </row>
    <row r="3946" spans="1:8" ht="27" customHeight="1" x14ac:dyDescent="0.2">
      <c r="A3946" s="31" t="s">
        <v>5174</v>
      </c>
      <c r="B3946" s="32" t="s">
        <v>5175</v>
      </c>
      <c r="C3946" s="32" t="s">
        <v>779</v>
      </c>
      <c r="D3946" s="32" t="s">
        <v>826</v>
      </c>
      <c r="E3946" s="33" t="s">
        <v>780</v>
      </c>
      <c r="F3946" s="34">
        <v>178358</v>
      </c>
      <c r="G3946" s="34">
        <v>200000</v>
      </c>
      <c r="H3946" s="35" t="s">
        <v>1227</v>
      </c>
    </row>
    <row r="3947" spans="1:8" ht="27" customHeight="1" x14ac:dyDescent="0.2">
      <c r="A3947" s="31" t="s">
        <v>5174</v>
      </c>
      <c r="B3947" s="32" t="s">
        <v>5175</v>
      </c>
      <c r="C3947" s="32" t="s">
        <v>782</v>
      </c>
      <c r="D3947" s="32" t="s">
        <v>839</v>
      </c>
      <c r="E3947" s="33" t="s">
        <v>784</v>
      </c>
      <c r="F3947" s="34">
        <v>200000</v>
      </c>
      <c r="G3947" s="34">
        <v>200000</v>
      </c>
      <c r="H3947" s="35" t="s">
        <v>5177</v>
      </c>
    </row>
    <row r="3948" spans="1:8" ht="27" customHeight="1" x14ac:dyDescent="0.2">
      <c r="A3948" s="31" t="s">
        <v>5178</v>
      </c>
      <c r="B3948" s="32" t="s">
        <v>5179</v>
      </c>
      <c r="C3948" s="32" t="s">
        <v>763</v>
      </c>
      <c r="D3948" s="32" t="s">
        <v>763</v>
      </c>
      <c r="E3948" s="33" t="s">
        <v>764</v>
      </c>
      <c r="F3948" s="34">
        <v>4132821</v>
      </c>
      <c r="G3948" s="34">
        <v>5700734</v>
      </c>
      <c r="H3948" s="35" t="s">
        <v>859</v>
      </c>
    </row>
    <row r="3949" spans="1:8" ht="27" customHeight="1" x14ac:dyDescent="0.2">
      <c r="A3949" s="31" t="s">
        <v>5178</v>
      </c>
      <c r="B3949" s="32" t="s">
        <v>5179</v>
      </c>
      <c r="C3949" s="32" t="s">
        <v>766</v>
      </c>
      <c r="D3949" s="32" t="s">
        <v>767</v>
      </c>
      <c r="E3949" s="33" t="s">
        <v>768</v>
      </c>
      <c r="F3949" s="34">
        <v>149891</v>
      </c>
      <c r="G3949" s="34">
        <v>149891</v>
      </c>
      <c r="H3949" s="35" t="s">
        <v>5180</v>
      </c>
    </row>
    <row r="3950" spans="1:8" ht="27" customHeight="1" x14ac:dyDescent="0.2">
      <c r="A3950" s="31" t="s">
        <v>5178</v>
      </c>
      <c r="B3950" s="32" t="s">
        <v>5179</v>
      </c>
      <c r="C3950" s="32" t="s">
        <v>770</v>
      </c>
      <c r="D3950" s="32" t="s">
        <v>858</v>
      </c>
      <c r="E3950" s="33" t="s">
        <v>772</v>
      </c>
      <c r="F3950" s="34">
        <v>1461211</v>
      </c>
      <c r="G3950" s="34">
        <v>1461211</v>
      </c>
      <c r="H3950" s="35" t="s">
        <v>859</v>
      </c>
    </row>
    <row r="3951" spans="1:8" ht="27" customHeight="1" x14ac:dyDescent="0.2">
      <c r="A3951" s="31" t="s">
        <v>5178</v>
      </c>
      <c r="B3951" s="32" t="s">
        <v>5179</v>
      </c>
      <c r="C3951" s="32" t="s">
        <v>860</v>
      </c>
      <c r="D3951" s="32" t="s">
        <v>860</v>
      </c>
      <c r="E3951" s="33" t="s">
        <v>861</v>
      </c>
      <c r="F3951" s="34">
        <v>1552248</v>
      </c>
      <c r="G3951" s="34">
        <v>1552248</v>
      </c>
      <c r="H3951" s="35" t="s">
        <v>5181</v>
      </c>
    </row>
    <row r="3952" spans="1:8" ht="27" customHeight="1" x14ac:dyDescent="0.2">
      <c r="A3952" s="31" t="s">
        <v>5178</v>
      </c>
      <c r="B3952" s="32" t="s">
        <v>5179</v>
      </c>
      <c r="C3952" s="32" t="s">
        <v>796</v>
      </c>
      <c r="D3952" s="32" t="s">
        <v>862</v>
      </c>
      <c r="E3952" s="33" t="s">
        <v>823</v>
      </c>
      <c r="F3952" s="34">
        <v>5304875</v>
      </c>
      <c r="G3952" s="34">
        <v>3540390</v>
      </c>
      <c r="H3952" s="35" t="s">
        <v>859</v>
      </c>
    </row>
    <row r="3953" spans="1:8" ht="27" customHeight="1" x14ac:dyDescent="0.2">
      <c r="A3953" s="31" t="s">
        <v>5178</v>
      </c>
      <c r="B3953" s="32" t="s">
        <v>5179</v>
      </c>
      <c r="C3953" s="32" t="s">
        <v>779</v>
      </c>
      <c r="D3953" s="32" t="s">
        <v>802</v>
      </c>
      <c r="E3953" s="33" t="s">
        <v>780</v>
      </c>
      <c r="F3953" s="34">
        <v>478039</v>
      </c>
      <c r="G3953" s="34">
        <v>674611</v>
      </c>
      <c r="H3953" s="35" t="s">
        <v>5182</v>
      </c>
    </row>
    <row r="3954" spans="1:8" ht="27" customHeight="1" x14ac:dyDescent="0.2">
      <c r="A3954" s="31" t="s">
        <v>5183</v>
      </c>
      <c r="B3954" s="32" t="s">
        <v>615</v>
      </c>
      <c r="C3954" s="32" t="s">
        <v>763</v>
      </c>
      <c r="D3954" s="32" t="s">
        <v>816</v>
      </c>
      <c r="E3954" s="33" t="s">
        <v>764</v>
      </c>
      <c r="F3954" s="34">
        <v>395390</v>
      </c>
      <c r="G3954" s="34">
        <v>395390</v>
      </c>
      <c r="H3954" s="35" t="s">
        <v>859</v>
      </c>
    </row>
    <row r="3955" spans="1:8" ht="27" customHeight="1" x14ac:dyDescent="0.2">
      <c r="A3955" s="31" t="s">
        <v>5183</v>
      </c>
      <c r="B3955" s="32" t="s">
        <v>615</v>
      </c>
      <c r="C3955" s="32" t="s">
        <v>770</v>
      </c>
      <c r="D3955" s="32" t="s">
        <v>2267</v>
      </c>
      <c r="E3955" s="33" t="s">
        <v>772</v>
      </c>
      <c r="F3955" s="34">
        <v>503836</v>
      </c>
      <c r="G3955" s="34">
        <v>503836</v>
      </c>
      <c r="H3955" s="35" t="s">
        <v>5184</v>
      </c>
    </row>
    <row r="3956" spans="1:8" ht="27" customHeight="1" x14ac:dyDescent="0.2">
      <c r="A3956" s="31" t="s">
        <v>5183</v>
      </c>
      <c r="B3956" s="32" t="s">
        <v>615</v>
      </c>
      <c r="C3956" s="32" t="s">
        <v>796</v>
      </c>
      <c r="D3956" s="32" t="s">
        <v>961</v>
      </c>
      <c r="E3956" s="33" t="s">
        <v>823</v>
      </c>
      <c r="F3956" s="34">
        <v>659996</v>
      </c>
      <c r="G3956" s="34">
        <v>659996</v>
      </c>
      <c r="H3956" s="35" t="s">
        <v>859</v>
      </c>
    </row>
    <row r="3957" spans="1:8" ht="27" customHeight="1" x14ac:dyDescent="0.2">
      <c r="A3957" s="31" t="s">
        <v>5183</v>
      </c>
      <c r="B3957" s="32" t="s">
        <v>615</v>
      </c>
      <c r="C3957" s="32" t="s">
        <v>776</v>
      </c>
      <c r="D3957" s="32" t="s">
        <v>812</v>
      </c>
      <c r="E3957" s="33" t="s">
        <v>777</v>
      </c>
      <c r="F3957" s="34">
        <v>27904</v>
      </c>
      <c r="G3957" s="34">
        <v>27904</v>
      </c>
      <c r="H3957" s="35" t="s">
        <v>859</v>
      </c>
    </row>
    <row r="3958" spans="1:8" ht="27" customHeight="1" x14ac:dyDescent="0.2">
      <c r="A3958" s="31" t="s">
        <v>5183</v>
      </c>
      <c r="B3958" s="32" t="s">
        <v>615</v>
      </c>
      <c r="C3958" s="32" t="s">
        <v>779</v>
      </c>
      <c r="D3958" s="32" t="s">
        <v>2205</v>
      </c>
      <c r="E3958" s="33" t="s">
        <v>780</v>
      </c>
      <c r="F3958" s="34">
        <v>75000</v>
      </c>
      <c r="G3958" s="34">
        <v>75000</v>
      </c>
      <c r="H3958" s="35" t="s">
        <v>859</v>
      </c>
    </row>
    <row r="3959" spans="1:8" ht="27" customHeight="1" x14ac:dyDescent="0.2">
      <c r="A3959" s="31" t="s">
        <v>5185</v>
      </c>
      <c r="B3959" s="32" t="s">
        <v>5186</v>
      </c>
      <c r="C3959" s="32" t="s">
        <v>766</v>
      </c>
      <c r="D3959" s="32" t="s">
        <v>4009</v>
      </c>
      <c r="E3959" s="33" t="s">
        <v>768</v>
      </c>
      <c r="F3959" s="34">
        <v>224488</v>
      </c>
      <c r="G3959" s="34">
        <v>200056</v>
      </c>
      <c r="H3959" s="35" t="s">
        <v>5187</v>
      </c>
    </row>
    <row r="3960" spans="1:8" ht="27" customHeight="1" x14ac:dyDescent="0.2">
      <c r="A3960" s="31" t="s">
        <v>5185</v>
      </c>
      <c r="B3960" s="32" t="s">
        <v>5186</v>
      </c>
      <c r="C3960" s="32" t="s">
        <v>773</v>
      </c>
      <c r="D3960" s="32" t="s">
        <v>1199</v>
      </c>
      <c r="E3960" s="33" t="s">
        <v>775</v>
      </c>
      <c r="F3960" s="34">
        <v>149500</v>
      </c>
      <c r="G3960" s="34">
        <v>149500</v>
      </c>
      <c r="H3960" s="35" t="s">
        <v>5188</v>
      </c>
    </row>
    <row r="3961" spans="1:8" ht="27" customHeight="1" x14ac:dyDescent="0.2">
      <c r="A3961" s="31" t="s">
        <v>5185</v>
      </c>
      <c r="B3961" s="32" t="s">
        <v>5186</v>
      </c>
      <c r="C3961" s="32" t="s">
        <v>831</v>
      </c>
      <c r="D3961" s="32" t="s">
        <v>5189</v>
      </c>
      <c r="E3961" s="33"/>
      <c r="F3961" s="34">
        <v>50321</v>
      </c>
      <c r="G3961" s="34">
        <v>50330</v>
      </c>
      <c r="H3961" s="35" t="s">
        <v>5188</v>
      </c>
    </row>
    <row r="3962" spans="1:8" ht="27" customHeight="1" x14ac:dyDescent="0.2">
      <c r="A3962" s="31" t="s">
        <v>5185</v>
      </c>
      <c r="B3962" s="32" t="s">
        <v>5186</v>
      </c>
      <c r="C3962" s="32" t="s">
        <v>860</v>
      </c>
      <c r="D3962" s="32" t="s">
        <v>911</v>
      </c>
      <c r="E3962" s="33" t="s">
        <v>861</v>
      </c>
      <c r="F3962" s="34">
        <v>33</v>
      </c>
      <c r="G3962" s="34">
        <v>33</v>
      </c>
      <c r="H3962" s="35" t="s">
        <v>5188</v>
      </c>
    </row>
    <row r="3963" spans="1:8" ht="27" customHeight="1" x14ac:dyDescent="0.2">
      <c r="A3963" s="31" t="s">
        <v>5185</v>
      </c>
      <c r="B3963" s="32" t="s">
        <v>5186</v>
      </c>
      <c r="C3963" s="32" t="s">
        <v>796</v>
      </c>
      <c r="D3963" s="32" t="s">
        <v>5190</v>
      </c>
      <c r="E3963" s="33" t="s">
        <v>772</v>
      </c>
      <c r="F3963" s="34">
        <v>13930411</v>
      </c>
      <c r="G3963" s="34">
        <v>14455400</v>
      </c>
      <c r="H3963" s="35" t="s">
        <v>5191</v>
      </c>
    </row>
    <row r="3964" spans="1:8" ht="27" customHeight="1" x14ac:dyDescent="0.2">
      <c r="A3964" s="31" t="s">
        <v>5185</v>
      </c>
      <c r="B3964" s="32" t="s">
        <v>5186</v>
      </c>
      <c r="C3964" s="32" t="s">
        <v>776</v>
      </c>
      <c r="D3964" s="32" t="s">
        <v>812</v>
      </c>
      <c r="E3964" s="33" t="s">
        <v>777</v>
      </c>
      <c r="F3964" s="34">
        <v>348243</v>
      </c>
      <c r="G3964" s="34">
        <v>348243</v>
      </c>
      <c r="H3964" s="35" t="s">
        <v>5188</v>
      </c>
    </row>
    <row r="3965" spans="1:8" ht="27" customHeight="1" x14ac:dyDescent="0.2">
      <c r="A3965" s="31" t="s">
        <v>5185</v>
      </c>
      <c r="B3965" s="32" t="s">
        <v>5186</v>
      </c>
      <c r="C3965" s="32" t="s">
        <v>779</v>
      </c>
      <c r="D3965" s="32" t="s">
        <v>876</v>
      </c>
      <c r="E3965" s="33" t="s">
        <v>780</v>
      </c>
      <c r="F3965" s="34">
        <v>451471</v>
      </c>
      <c r="G3965" s="34">
        <v>446471</v>
      </c>
      <c r="H3965" s="35" t="s">
        <v>5192</v>
      </c>
    </row>
    <row r="3966" spans="1:8" ht="27" customHeight="1" x14ac:dyDescent="0.2">
      <c r="A3966" s="31" t="s">
        <v>5185</v>
      </c>
      <c r="B3966" s="32" t="s">
        <v>5186</v>
      </c>
      <c r="C3966" s="32" t="s">
        <v>782</v>
      </c>
      <c r="D3966" s="32" t="s">
        <v>5193</v>
      </c>
      <c r="E3966" s="33" t="s">
        <v>784</v>
      </c>
      <c r="F3966" s="34">
        <v>4618693</v>
      </c>
      <c r="G3966" s="34">
        <v>4850000</v>
      </c>
      <c r="H3966" s="35" t="s">
        <v>5194</v>
      </c>
    </row>
    <row r="3967" spans="1:8" ht="27" customHeight="1" x14ac:dyDescent="0.2">
      <c r="A3967" s="31" t="s">
        <v>5195</v>
      </c>
      <c r="B3967" s="32" t="s">
        <v>269</v>
      </c>
      <c r="C3967" s="32" t="s">
        <v>844</v>
      </c>
      <c r="D3967" s="32" t="s">
        <v>972</v>
      </c>
      <c r="E3967" s="33" t="s">
        <v>846</v>
      </c>
      <c r="F3967" s="34">
        <v>500000</v>
      </c>
      <c r="G3967" s="34">
        <v>500000</v>
      </c>
      <c r="H3967" s="35" t="s">
        <v>5196</v>
      </c>
    </row>
    <row r="3968" spans="1:8" ht="27" customHeight="1" x14ac:dyDescent="0.2">
      <c r="A3968" s="31" t="s">
        <v>5195</v>
      </c>
      <c r="B3968" s="32" t="s">
        <v>269</v>
      </c>
      <c r="C3968" s="32" t="s">
        <v>773</v>
      </c>
      <c r="D3968" s="32" t="s">
        <v>1025</v>
      </c>
      <c r="E3968" s="33" t="s">
        <v>775</v>
      </c>
      <c r="F3968" s="34">
        <v>791940</v>
      </c>
      <c r="G3968" s="34">
        <v>691940</v>
      </c>
      <c r="H3968" s="35" t="s">
        <v>5197</v>
      </c>
    </row>
    <row r="3969" spans="1:8" ht="27" customHeight="1" x14ac:dyDescent="0.2">
      <c r="A3969" s="31" t="s">
        <v>5195</v>
      </c>
      <c r="B3969" s="32" t="s">
        <v>269</v>
      </c>
      <c r="C3969" s="32" t="s">
        <v>796</v>
      </c>
      <c r="D3969" s="32" t="s">
        <v>5198</v>
      </c>
      <c r="E3969" s="33" t="s">
        <v>823</v>
      </c>
      <c r="F3969" s="34">
        <v>559421</v>
      </c>
      <c r="G3969" s="34">
        <v>538365</v>
      </c>
      <c r="H3969" s="35" t="s">
        <v>4936</v>
      </c>
    </row>
    <row r="3970" spans="1:8" ht="27" customHeight="1" x14ac:dyDescent="0.2">
      <c r="A3970" s="31" t="s">
        <v>5195</v>
      </c>
      <c r="B3970" s="32" t="s">
        <v>269</v>
      </c>
      <c r="C3970" s="32" t="s">
        <v>776</v>
      </c>
      <c r="D3970" s="32" t="s">
        <v>1436</v>
      </c>
      <c r="E3970" s="33" t="s">
        <v>777</v>
      </c>
      <c r="F3970" s="34">
        <v>1179530</v>
      </c>
      <c r="G3970" s="34">
        <v>619504</v>
      </c>
      <c r="H3970" s="35" t="s">
        <v>5199</v>
      </c>
    </row>
    <row r="3971" spans="1:8" ht="27" customHeight="1" x14ac:dyDescent="0.2">
      <c r="A3971" s="31" t="s">
        <v>5195</v>
      </c>
      <c r="B3971" s="32" t="s">
        <v>269</v>
      </c>
      <c r="C3971" s="32" t="s">
        <v>779</v>
      </c>
      <c r="D3971" s="32" t="s">
        <v>2514</v>
      </c>
      <c r="E3971" s="33" t="s">
        <v>780</v>
      </c>
      <c r="F3971" s="34">
        <v>750000</v>
      </c>
      <c r="G3971" s="34">
        <v>600000</v>
      </c>
      <c r="H3971" s="35" t="s">
        <v>3318</v>
      </c>
    </row>
    <row r="3972" spans="1:8" ht="27" customHeight="1" x14ac:dyDescent="0.2">
      <c r="A3972" s="31" t="s">
        <v>5195</v>
      </c>
      <c r="B3972" s="32" t="s">
        <v>269</v>
      </c>
      <c r="C3972" s="32" t="s">
        <v>782</v>
      </c>
      <c r="D3972" s="32" t="s">
        <v>5200</v>
      </c>
      <c r="E3972" s="33" t="s">
        <v>784</v>
      </c>
      <c r="F3972" s="34">
        <v>343115</v>
      </c>
      <c r="G3972" s="34">
        <v>400000</v>
      </c>
      <c r="H3972" s="35" t="s">
        <v>5201</v>
      </c>
    </row>
    <row r="3973" spans="1:8" ht="27" customHeight="1" x14ac:dyDescent="0.2">
      <c r="A3973" s="31" t="s">
        <v>5202</v>
      </c>
      <c r="B3973" s="32" t="s">
        <v>5203</v>
      </c>
      <c r="C3973" s="32" t="s">
        <v>796</v>
      </c>
      <c r="D3973" s="32" t="s">
        <v>835</v>
      </c>
      <c r="E3973" s="33" t="s">
        <v>823</v>
      </c>
      <c r="F3973" s="34">
        <v>304959</v>
      </c>
      <c r="G3973" s="34">
        <v>517959</v>
      </c>
      <c r="H3973" s="35" t="s">
        <v>5204</v>
      </c>
    </row>
    <row r="3974" spans="1:8" ht="27" customHeight="1" x14ac:dyDescent="0.2">
      <c r="A3974" s="31" t="s">
        <v>5202</v>
      </c>
      <c r="B3974" s="32" t="s">
        <v>5203</v>
      </c>
      <c r="C3974" s="32" t="s">
        <v>779</v>
      </c>
      <c r="D3974" s="32" t="s">
        <v>802</v>
      </c>
      <c r="E3974" s="33" t="s">
        <v>780</v>
      </c>
      <c r="F3974" s="34">
        <v>76951</v>
      </c>
      <c r="G3974" s="34">
        <v>76951</v>
      </c>
      <c r="H3974" s="35" t="s">
        <v>5205</v>
      </c>
    </row>
    <row r="3975" spans="1:8" ht="27" customHeight="1" x14ac:dyDescent="0.2">
      <c r="A3975" s="31" t="s">
        <v>5206</v>
      </c>
      <c r="B3975" s="32" t="s">
        <v>5207</v>
      </c>
      <c r="C3975" s="32" t="s">
        <v>763</v>
      </c>
      <c r="D3975" s="32" t="s">
        <v>816</v>
      </c>
      <c r="E3975" s="33" t="s">
        <v>764</v>
      </c>
      <c r="F3975" s="34">
        <v>850416</v>
      </c>
      <c r="G3975" s="34">
        <v>850416</v>
      </c>
      <c r="H3975" s="35" t="s">
        <v>5208</v>
      </c>
    </row>
    <row r="3976" spans="1:8" ht="27" customHeight="1" x14ac:dyDescent="0.2">
      <c r="A3976" s="31" t="s">
        <v>5206</v>
      </c>
      <c r="B3976" s="32" t="s">
        <v>5207</v>
      </c>
      <c r="C3976" s="32" t="s">
        <v>860</v>
      </c>
      <c r="D3976" s="32" t="s">
        <v>911</v>
      </c>
      <c r="E3976" s="33" t="s">
        <v>861</v>
      </c>
      <c r="F3976" s="34">
        <v>426558</v>
      </c>
      <c r="G3976" s="34">
        <v>390000</v>
      </c>
      <c r="H3976" s="35" t="s">
        <v>5209</v>
      </c>
    </row>
    <row r="3977" spans="1:8" ht="27" customHeight="1" x14ac:dyDescent="0.2">
      <c r="A3977" s="31" t="s">
        <v>5206</v>
      </c>
      <c r="B3977" s="32" t="s">
        <v>5207</v>
      </c>
      <c r="C3977" s="32" t="s">
        <v>776</v>
      </c>
      <c r="D3977" s="32" t="s">
        <v>812</v>
      </c>
      <c r="E3977" s="33" t="s">
        <v>777</v>
      </c>
      <c r="F3977" s="34">
        <v>190416</v>
      </c>
      <c r="G3977" s="34">
        <v>190416</v>
      </c>
      <c r="H3977" s="35" t="s">
        <v>5210</v>
      </c>
    </row>
    <row r="3978" spans="1:8" ht="27" customHeight="1" x14ac:dyDescent="0.2">
      <c r="A3978" s="31" t="s">
        <v>5206</v>
      </c>
      <c r="B3978" s="32" t="s">
        <v>5207</v>
      </c>
      <c r="C3978" s="32" t="s">
        <v>779</v>
      </c>
      <c r="D3978" s="32" t="s">
        <v>826</v>
      </c>
      <c r="E3978" s="33" t="s">
        <v>780</v>
      </c>
      <c r="F3978" s="34">
        <v>21337</v>
      </c>
      <c r="G3978" s="34">
        <v>20500</v>
      </c>
      <c r="H3978" s="35" t="s">
        <v>5211</v>
      </c>
    </row>
    <row r="3979" spans="1:8" ht="27" customHeight="1" x14ac:dyDescent="0.2">
      <c r="A3979" s="31" t="s">
        <v>5212</v>
      </c>
      <c r="B3979" s="32" t="s">
        <v>5213</v>
      </c>
      <c r="C3979" s="32" t="s">
        <v>763</v>
      </c>
      <c r="D3979" s="32" t="s">
        <v>816</v>
      </c>
      <c r="E3979" s="33" t="s">
        <v>764</v>
      </c>
      <c r="F3979" s="34">
        <v>200326</v>
      </c>
      <c r="G3979" s="34">
        <v>225700</v>
      </c>
      <c r="H3979" s="35" t="s">
        <v>5214</v>
      </c>
    </row>
    <row r="3980" spans="1:8" ht="27" customHeight="1" x14ac:dyDescent="0.2">
      <c r="A3980" s="31" t="s">
        <v>5212</v>
      </c>
      <c r="B3980" s="32" t="s">
        <v>5213</v>
      </c>
      <c r="C3980" s="32" t="s">
        <v>770</v>
      </c>
      <c r="D3980" s="32" t="s">
        <v>919</v>
      </c>
      <c r="E3980" s="33" t="s">
        <v>772</v>
      </c>
      <c r="F3980" s="34">
        <v>544497</v>
      </c>
      <c r="G3980" s="34">
        <v>600000</v>
      </c>
      <c r="H3980" s="35" t="s">
        <v>5215</v>
      </c>
    </row>
    <row r="3981" spans="1:8" ht="27" customHeight="1" x14ac:dyDescent="0.2">
      <c r="A3981" s="31" t="s">
        <v>5212</v>
      </c>
      <c r="B3981" s="32" t="s">
        <v>5213</v>
      </c>
      <c r="C3981" s="32" t="s">
        <v>796</v>
      </c>
      <c r="D3981" s="32" t="s">
        <v>835</v>
      </c>
      <c r="E3981" s="33" t="s">
        <v>772</v>
      </c>
      <c r="F3981" s="34">
        <v>2933074</v>
      </c>
      <c r="G3981" s="34">
        <v>3000000</v>
      </c>
      <c r="H3981" s="35" t="s">
        <v>5216</v>
      </c>
    </row>
    <row r="3982" spans="1:8" ht="27" customHeight="1" x14ac:dyDescent="0.2">
      <c r="A3982" s="31" t="s">
        <v>5212</v>
      </c>
      <c r="B3982" s="32" t="s">
        <v>5213</v>
      </c>
      <c r="C3982" s="32" t="s">
        <v>776</v>
      </c>
      <c r="D3982" s="32" t="s">
        <v>812</v>
      </c>
      <c r="E3982" s="33" t="s">
        <v>777</v>
      </c>
      <c r="F3982" s="34">
        <v>246905</v>
      </c>
      <c r="G3982" s="34">
        <v>246905</v>
      </c>
      <c r="H3982" s="35" t="s">
        <v>5217</v>
      </c>
    </row>
    <row r="3983" spans="1:8" ht="27" customHeight="1" x14ac:dyDescent="0.2">
      <c r="A3983" s="31" t="s">
        <v>5212</v>
      </c>
      <c r="B3983" s="32" t="s">
        <v>5213</v>
      </c>
      <c r="C3983" s="32" t="s">
        <v>782</v>
      </c>
      <c r="D3983" s="32" t="s">
        <v>964</v>
      </c>
      <c r="E3983" s="33" t="s">
        <v>784</v>
      </c>
      <c r="F3983" s="34">
        <v>673315</v>
      </c>
      <c r="G3983" s="34">
        <v>673315</v>
      </c>
      <c r="H3983" s="35" t="s">
        <v>5218</v>
      </c>
    </row>
    <row r="3984" spans="1:8" ht="27" customHeight="1" x14ac:dyDescent="0.2">
      <c r="A3984" s="31" t="s">
        <v>5219</v>
      </c>
      <c r="B3984" s="32" t="s">
        <v>5220</v>
      </c>
      <c r="C3984" s="32" t="s">
        <v>770</v>
      </c>
      <c r="D3984" s="32" t="s">
        <v>5221</v>
      </c>
      <c r="E3984" s="33" t="s">
        <v>772</v>
      </c>
      <c r="F3984" s="34">
        <v>154867</v>
      </c>
      <c r="G3984" s="34">
        <v>154867</v>
      </c>
      <c r="H3984" s="35" t="s">
        <v>5222</v>
      </c>
    </row>
    <row r="3985" spans="1:8" ht="27" customHeight="1" x14ac:dyDescent="0.2">
      <c r="A3985" s="31" t="s">
        <v>5219</v>
      </c>
      <c r="B3985" s="32" t="s">
        <v>5220</v>
      </c>
      <c r="C3985" s="32" t="s">
        <v>860</v>
      </c>
      <c r="D3985" s="32" t="s">
        <v>860</v>
      </c>
      <c r="E3985" s="33" t="s">
        <v>861</v>
      </c>
      <c r="F3985" s="34">
        <v>265341</v>
      </c>
      <c r="G3985" s="34">
        <v>249844</v>
      </c>
      <c r="H3985" s="35" t="s">
        <v>5223</v>
      </c>
    </row>
    <row r="3986" spans="1:8" ht="27" customHeight="1" x14ac:dyDescent="0.2">
      <c r="A3986" s="31" t="s">
        <v>5219</v>
      </c>
      <c r="B3986" s="32" t="s">
        <v>5220</v>
      </c>
      <c r="C3986" s="32" t="s">
        <v>779</v>
      </c>
      <c r="D3986" s="32" t="s">
        <v>802</v>
      </c>
      <c r="E3986" s="33" t="s">
        <v>780</v>
      </c>
      <c r="F3986" s="34">
        <v>41445</v>
      </c>
      <c r="G3986" s="34">
        <v>41446</v>
      </c>
      <c r="H3986" s="35" t="s">
        <v>5224</v>
      </c>
    </row>
    <row r="3987" spans="1:8" ht="27" customHeight="1" x14ac:dyDescent="0.2">
      <c r="A3987" s="31" t="s">
        <v>5225</v>
      </c>
      <c r="B3987" s="32" t="s">
        <v>5226</v>
      </c>
      <c r="C3987" s="32" t="s">
        <v>763</v>
      </c>
      <c r="D3987" s="32" t="s">
        <v>816</v>
      </c>
      <c r="E3987" s="33" t="s">
        <v>764</v>
      </c>
      <c r="F3987" s="34">
        <v>1117104</v>
      </c>
      <c r="G3987" s="34">
        <v>1621654</v>
      </c>
      <c r="H3987" s="35" t="s">
        <v>5227</v>
      </c>
    </row>
    <row r="3988" spans="1:8" ht="27" customHeight="1" x14ac:dyDescent="0.2">
      <c r="A3988" s="31" t="s">
        <v>5225</v>
      </c>
      <c r="B3988" s="32" t="s">
        <v>5226</v>
      </c>
      <c r="C3988" s="32" t="s">
        <v>770</v>
      </c>
      <c r="D3988" s="32" t="s">
        <v>820</v>
      </c>
      <c r="E3988" s="33" t="s">
        <v>772</v>
      </c>
      <c r="F3988" s="34">
        <v>876106</v>
      </c>
      <c r="G3988" s="34">
        <v>849426</v>
      </c>
      <c r="H3988" s="35" t="s">
        <v>5228</v>
      </c>
    </row>
    <row r="3989" spans="1:8" ht="27" customHeight="1" x14ac:dyDescent="0.2">
      <c r="A3989" s="31" t="s">
        <v>5225</v>
      </c>
      <c r="B3989" s="32" t="s">
        <v>5226</v>
      </c>
      <c r="C3989" s="32" t="s">
        <v>844</v>
      </c>
      <c r="D3989" s="32" t="s">
        <v>5229</v>
      </c>
      <c r="E3989" s="33" t="s">
        <v>846</v>
      </c>
      <c r="F3989" s="34">
        <v>19290</v>
      </c>
      <c r="G3989" s="34">
        <v>19390</v>
      </c>
      <c r="H3989" s="35" t="s">
        <v>5230</v>
      </c>
    </row>
    <row r="3990" spans="1:8" ht="27" customHeight="1" x14ac:dyDescent="0.2">
      <c r="A3990" s="31" t="s">
        <v>5225</v>
      </c>
      <c r="B3990" s="32" t="s">
        <v>5226</v>
      </c>
      <c r="C3990" s="32" t="s">
        <v>860</v>
      </c>
      <c r="D3990" s="32" t="s">
        <v>911</v>
      </c>
      <c r="E3990" s="33" t="s">
        <v>861</v>
      </c>
      <c r="F3990" s="34">
        <v>311030</v>
      </c>
      <c r="G3990" s="34">
        <v>311880</v>
      </c>
      <c r="H3990" s="35" t="s">
        <v>5231</v>
      </c>
    </row>
    <row r="3991" spans="1:8" ht="27" customHeight="1" x14ac:dyDescent="0.2">
      <c r="A3991" s="31" t="s">
        <v>5225</v>
      </c>
      <c r="B3991" s="32" t="s">
        <v>5226</v>
      </c>
      <c r="C3991" s="32" t="s">
        <v>796</v>
      </c>
      <c r="D3991" s="32" t="s">
        <v>811</v>
      </c>
      <c r="E3991" s="33" t="s">
        <v>772</v>
      </c>
      <c r="F3991" s="34">
        <v>655439</v>
      </c>
      <c r="G3991" s="34">
        <v>659089</v>
      </c>
      <c r="H3991" s="35" t="s">
        <v>5232</v>
      </c>
    </row>
    <row r="3992" spans="1:8" ht="27" customHeight="1" x14ac:dyDescent="0.2">
      <c r="A3992" s="31" t="s">
        <v>5225</v>
      </c>
      <c r="B3992" s="32" t="s">
        <v>5226</v>
      </c>
      <c r="C3992" s="32" t="s">
        <v>776</v>
      </c>
      <c r="D3992" s="32" t="s">
        <v>5233</v>
      </c>
      <c r="E3992" s="33" t="s">
        <v>777</v>
      </c>
      <c r="F3992" s="34">
        <v>287983</v>
      </c>
      <c r="G3992" s="34">
        <v>69358</v>
      </c>
      <c r="H3992" s="35" t="s">
        <v>5234</v>
      </c>
    </row>
    <row r="3993" spans="1:8" ht="27" customHeight="1" x14ac:dyDescent="0.2">
      <c r="A3993" s="31" t="s">
        <v>5225</v>
      </c>
      <c r="B3993" s="32" t="s">
        <v>5226</v>
      </c>
      <c r="C3993" s="32" t="s">
        <v>779</v>
      </c>
      <c r="D3993" s="32" t="s">
        <v>826</v>
      </c>
      <c r="E3993" s="33" t="s">
        <v>780</v>
      </c>
      <c r="F3993" s="34">
        <v>130282</v>
      </c>
      <c r="G3993" s="34">
        <v>80932</v>
      </c>
      <c r="H3993" s="35" t="s">
        <v>5235</v>
      </c>
    </row>
    <row r="3994" spans="1:8" ht="27" customHeight="1" x14ac:dyDescent="0.2">
      <c r="A3994" s="31" t="s">
        <v>5225</v>
      </c>
      <c r="B3994" s="32" t="s">
        <v>5226</v>
      </c>
      <c r="C3994" s="32" t="s">
        <v>782</v>
      </c>
      <c r="D3994" s="32" t="s">
        <v>839</v>
      </c>
      <c r="E3994" s="33" t="s">
        <v>784</v>
      </c>
      <c r="F3994" s="34">
        <v>101050</v>
      </c>
      <c r="G3994" s="34">
        <v>101475</v>
      </c>
      <c r="H3994" s="35" t="s">
        <v>5236</v>
      </c>
    </row>
    <row r="3995" spans="1:8" ht="27" customHeight="1" x14ac:dyDescent="0.2">
      <c r="A3995" s="31" t="s">
        <v>5237</v>
      </c>
      <c r="B3995" s="32" t="s">
        <v>5238</v>
      </c>
      <c r="C3995" s="32" t="s">
        <v>763</v>
      </c>
      <c r="D3995" s="32" t="s">
        <v>763</v>
      </c>
      <c r="E3995" s="33" t="s">
        <v>764</v>
      </c>
      <c r="F3995" s="34">
        <v>0</v>
      </c>
      <c r="G3995" s="34">
        <v>0</v>
      </c>
      <c r="H3995" s="35" t="s">
        <v>2371</v>
      </c>
    </row>
    <row r="3996" spans="1:8" ht="27" customHeight="1" x14ac:dyDescent="0.2">
      <c r="A3996" s="31" t="s">
        <v>5237</v>
      </c>
      <c r="B3996" s="32" t="s">
        <v>5238</v>
      </c>
      <c r="C3996" s="32" t="s">
        <v>766</v>
      </c>
      <c r="D3996" s="32" t="s">
        <v>5239</v>
      </c>
      <c r="E3996" s="33" t="s">
        <v>768</v>
      </c>
      <c r="F3996" s="34">
        <v>0</v>
      </c>
      <c r="G3996" s="34">
        <v>0</v>
      </c>
      <c r="H3996" s="35" t="s">
        <v>2371</v>
      </c>
    </row>
    <row r="3997" spans="1:8" ht="27" customHeight="1" x14ac:dyDescent="0.2">
      <c r="A3997" s="31" t="s">
        <v>5237</v>
      </c>
      <c r="B3997" s="32" t="s">
        <v>5238</v>
      </c>
      <c r="C3997" s="32" t="s">
        <v>770</v>
      </c>
      <c r="D3997" s="32" t="s">
        <v>770</v>
      </c>
      <c r="E3997" s="33" t="s">
        <v>772</v>
      </c>
      <c r="F3997" s="34">
        <v>500000</v>
      </c>
      <c r="G3997" s="34">
        <v>50000</v>
      </c>
      <c r="H3997" s="35" t="s">
        <v>2371</v>
      </c>
    </row>
    <row r="3998" spans="1:8" ht="27" customHeight="1" x14ac:dyDescent="0.2">
      <c r="A3998" s="31" t="s">
        <v>5237</v>
      </c>
      <c r="B3998" s="32" t="s">
        <v>5238</v>
      </c>
      <c r="C3998" s="32" t="s">
        <v>884</v>
      </c>
      <c r="D3998" s="32" t="s">
        <v>1365</v>
      </c>
      <c r="E3998" s="33" t="s">
        <v>885</v>
      </c>
      <c r="F3998" s="34">
        <v>0</v>
      </c>
      <c r="G3998" s="34">
        <v>0</v>
      </c>
      <c r="H3998" s="35" t="s">
        <v>2371</v>
      </c>
    </row>
    <row r="3999" spans="1:8" ht="27" customHeight="1" x14ac:dyDescent="0.2">
      <c r="A3999" s="31" t="s">
        <v>5237</v>
      </c>
      <c r="B3999" s="32" t="s">
        <v>5238</v>
      </c>
      <c r="C3999" s="32" t="s">
        <v>844</v>
      </c>
      <c r="D3999" s="32" t="s">
        <v>844</v>
      </c>
      <c r="E3999" s="33" t="s">
        <v>846</v>
      </c>
      <c r="F3999" s="34">
        <v>0</v>
      </c>
      <c r="G3999" s="34">
        <v>0</v>
      </c>
      <c r="H3999" s="35" t="s">
        <v>2371</v>
      </c>
    </row>
    <row r="4000" spans="1:8" ht="27" customHeight="1" x14ac:dyDescent="0.2">
      <c r="A4000" s="31" t="s">
        <v>5237</v>
      </c>
      <c r="B4000" s="32" t="s">
        <v>5238</v>
      </c>
      <c r="C4000" s="32" t="s">
        <v>773</v>
      </c>
      <c r="D4000" s="32" t="s">
        <v>773</v>
      </c>
      <c r="E4000" s="33" t="s">
        <v>775</v>
      </c>
      <c r="F4000" s="34">
        <v>0</v>
      </c>
      <c r="G4000" s="34">
        <v>0</v>
      </c>
      <c r="H4000" s="35" t="s">
        <v>2371</v>
      </c>
    </row>
    <row r="4001" spans="1:8" ht="27" customHeight="1" x14ac:dyDescent="0.2">
      <c r="A4001" s="31" t="s">
        <v>5237</v>
      </c>
      <c r="B4001" s="32" t="s">
        <v>5238</v>
      </c>
      <c r="C4001" s="32" t="s">
        <v>831</v>
      </c>
      <c r="D4001" s="32" t="s">
        <v>859</v>
      </c>
      <c r="E4001" s="33" t="s">
        <v>859</v>
      </c>
      <c r="F4001" s="34">
        <v>0</v>
      </c>
      <c r="G4001" s="34">
        <v>0</v>
      </c>
      <c r="H4001" s="35" t="s">
        <v>2371</v>
      </c>
    </row>
    <row r="4002" spans="1:8" ht="27" customHeight="1" x14ac:dyDescent="0.2">
      <c r="A4002" s="31" t="s">
        <v>5237</v>
      </c>
      <c r="B4002" s="32" t="s">
        <v>5238</v>
      </c>
      <c r="C4002" s="32" t="s">
        <v>886</v>
      </c>
      <c r="D4002" s="32" t="s">
        <v>886</v>
      </c>
      <c r="E4002" s="33" t="s">
        <v>887</v>
      </c>
      <c r="F4002" s="34">
        <v>0</v>
      </c>
      <c r="G4002" s="34">
        <v>0</v>
      </c>
      <c r="H4002" s="35" t="s">
        <v>2371</v>
      </c>
    </row>
    <row r="4003" spans="1:8" ht="27" customHeight="1" x14ac:dyDescent="0.2">
      <c r="A4003" s="31" t="s">
        <v>5237</v>
      </c>
      <c r="B4003" s="32" t="s">
        <v>5238</v>
      </c>
      <c r="C4003" s="32" t="s">
        <v>860</v>
      </c>
      <c r="D4003" s="32" t="s">
        <v>860</v>
      </c>
      <c r="E4003" s="33" t="s">
        <v>861</v>
      </c>
      <c r="F4003" s="34">
        <v>340000</v>
      </c>
      <c r="G4003" s="34">
        <v>34000</v>
      </c>
      <c r="H4003" s="35" t="s">
        <v>2371</v>
      </c>
    </row>
    <row r="4004" spans="1:8" ht="27" customHeight="1" x14ac:dyDescent="0.2">
      <c r="A4004" s="31" t="s">
        <v>5237</v>
      </c>
      <c r="B4004" s="32" t="s">
        <v>5238</v>
      </c>
      <c r="C4004" s="32" t="s">
        <v>796</v>
      </c>
      <c r="D4004" s="32" t="s">
        <v>796</v>
      </c>
      <c r="E4004" s="33" t="s">
        <v>823</v>
      </c>
      <c r="F4004" s="34">
        <v>1050000</v>
      </c>
      <c r="G4004" s="34">
        <v>1050000</v>
      </c>
      <c r="H4004" s="35" t="s">
        <v>2371</v>
      </c>
    </row>
    <row r="4005" spans="1:8" ht="27" customHeight="1" x14ac:dyDescent="0.2">
      <c r="A4005" s="31" t="s">
        <v>5237</v>
      </c>
      <c r="B4005" s="32" t="s">
        <v>5238</v>
      </c>
      <c r="C4005" s="32" t="s">
        <v>776</v>
      </c>
      <c r="D4005" s="32" t="s">
        <v>776</v>
      </c>
      <c r="E4005" s="33" t="s">
        <v>777</v>
      </c>
      <c r="F4005" s="34">
        <v>274666</v>
      </c>
      <c r="G4005" s="34">
        <v>274666</v>
      </c>
      <c r="H4005" s="35" t="s">
        <v>2371</v>
      </c>
    </row>
    <row r="4006" spans="1:8" ht="27" customHeight="1" x14ac:dyDescent="0.2">
      <c r="A4006" s="31" t="s">
        <v>5237</v>
      </c>
      <c r="B4006" s="32" t="s">
        <v>5238</v>
      </c>
      <c r="C4006" s="32" t="s">
        <v>798</v>
      </c>
      <c r="D4006" s="32" t="s">
        <v>1014</v>
      </c>
      <c r="E4006" s="33" t="s">
        <v>800</v>
      </c>
      <c r="F4006" s="34">
        <v>0</v>
      </c>
      <c r="G4006" s="34">
        <v>0</v>
      </c>
      <c r="H4006" s="35" t="s">
        <v>2371</v>
      </c>
    </row>
    <row r="4007" spans="1:8" ht="27" customHeight="1" x14ac:dyDescent="0.2">
      <c r="A4007" s="31" t="s">
        <v>5237</v>
      </c>
      <c r="B4007" s="32" t="s">
        <v>5238</v>
      </c>
      <c r="C4007" s="32" t="s">
        <v>892</v>
      </c>
      <c r="D4007" s="32" t="s">
        <v>1226</v>
      </c>
      <c r="E4007" s="33" t="s">
        <v>893</v>
      </c>
      <c r="F4007" s="34">
        <v>0</v>
      </c>
      <c r="G4007" s="34">
        <v>0</v>
      </c>
      <c r="H4007" s="35" t="s">
        <v>2371</v>
      </c>
    </row>
    <row r="4008" spans="1:8" ht="27" customHeight="1" x14ac:dyDescent="0.2">
      <c r="A4008" s="31" t="s">
        <v>5237</v>
      </c>
      <c r="B4008" s="32" t="s">
        <v>5238</v>
      </c>
      <c r="C4008" s="32" t="s">
        <v>779</v>
      </c>
      <c r="D4008" s="32" t="s">
        <v>779</v>
      </c>
      <c r="E4008" s="33" t="s">
        <v>780</v>
      </c>
      <c r="F4008" s="34">
        <v>50000</v>
      </c>
      <c r="G4008" s="34">
        <v>50000</v>
      </c>
      <c r="H4008" s="35" t="s">
        <v>2371</v>
      </c>
    </row>
    <row r="4009" spans="1:8" ht="27" customHeight="1" x14ac:dyDescent="0.2">
      <c r="A4009" s="31" t="s">
        <v>5237</v>
      </c>
      <c r="B4009" s="32" t="s">
        <v>5238</v>
      </c>
      <c r="C4009" s="32" t="s">
        <v>782</v>
      </c>
      <c r="D4009" s="32" t="s">
        <v>782</v>
      </c>
      <c r="E4009" s="33" t="s">
        <v>784</v>
      </c>
      <c r="F4009" s="34">
        <v>550000</v>
      </c>
      <c r="G4009" s="34">
        <v>550000</v>
      </c>
      <c r="H4009" s="35" t="s">
        <v>2371</v>
      </c>
    </row>
    <row r="4010" spans="1:8" ht="27" customHeight="1" x14ac:dyDescent="0.2">
      <c r="A4010" s="31" t="s">
        <v>5240</v>
      </c>
      <c r="B4010" s="32" t="s">
        <v>5241</v>
      </c>
      <c r="C4010" s="32" t="s">
        <v>796</v>
      </c>
      <c r="D4010" s="32" t="s">
        <v>5242</v>
      </c>
      <c r="E4010" s="33" t="s">
        <v>772</v>
      </c>
      <c r="F4010" s="34">
        <v>1527685</v>
      </c>
      <c r="G4010" s="34">
        <v>0</v>
      </c>
      <c r="H4010" s="35" t="s">
        <v>829</v>
      </c>
    </row>
    <row r="4011" spans="1:8" ht="27" customHeight="1" x14ac:dyDescent="0.2">
      <c r="A4011" s="31" t="s">
        <v>5240</v>
      </c>
      <c r="B4011" s="32" t="s">
        <v>5241</v>
      </c>
      <c r="C4011" s="32" t="s">
        <v>776</v>
      </c>
      <c r="D4011" s="32" t="s">
        <v>776</v>
      </c>
      <c r="E4011" s="33" t="s">
        <v>777</v>
      </c>
      <c r="F4011" s="34">
        <v>467198</v>
      </c>
      <c r="G4011" s="34">
        <v>1994883</v>
      </c>
      <c r="H4011" s="35" t="s">
        <v>5243</v>
      </c>
    </row>
    <row r="4012" spans="1:8" ht="27" customHeight="1" x14ac:dyDescent="0.2">
      <c r="A4012" s="31" t="s">
        <v>5240</v>
      </c>
      <c r="B4012" s="32" t="s">
        <v>5241</v>
      </c>
      <c r="C4012" s="32" t="s">
        <v>779</v>
      </c>
      <c r="D4012" s="32" t="s">
        <v>779</v>
      </c>
      <c r="E4012" s="33" t="s">
        <v>780</v>
      </c>
      <c r="F4012" s="34">
        <v>17778</v>
      </c>
      <c r="G4012" s="34">
        <v>17778</v>
      </c>
      <c r="H4012" s="35" t="s">
        <v>5244</v>
      </c>
    </row>
    <row r="4013" spans="1:8" ht="27" customHeight="1" x14ac:dyDescent="0.2">
      <c r="A4013" s="31" t="s">
        <v>5245</v>
      </c>
      <c r="B4013" s="32" t="s">
        <v>5246</v>
      </c>
      <c r="C4013" s="32" t="s">
        <v>770</v>
      </c>
      <c r="D4013" s="32" t="s">
        <v>1260</v>
      </c>
      <c r="E4013" s="33" t="s">
        <v>772</v>
      </c>
      <c r="F4013" s="34">
        <v>56400</v>
      </c>
      <c r="G4013" s="34">
        <v>50000</v>
      </c>
      <c r="H4013" s="35" t="s">
        <v>5247</v>
      </c>
    </row>
    <row r="4014" spans="1:8" ht="27" customHeight="1" x14ac:dyDescent="0.2">
      <c r="A4014" s="31" t="s">
        <v>5245</v>
      </c>
      <c r="B4014" s="32" t="s">
        <v>5246</v>
      </c>
      <c r="C4014" s="32" t="s">
        <v>776</v>
      </c>
      <c r="D4014" s="32" t="s">
        <v>5248</v>
      </c>
      <c r="E4014" s="33" t="s">
        <v>777</v>
      </c>
      <c r="F4014" s="34">
        <v>125975</v>
      </c>
      <c r="G4014" s="34">
        <v>100000</v>
      </c>
      <c r="H4014" s="35" t="s">
        <v>5249</v>
      </c>
    </row>
    <row r="4015" spans="1:8" ht="27" customHeight="1" x14ac:dyDescent="0.2">
      <c r="A4015" s="31" t="s">
        <v>5250</v>
      </c>
      <c r="B4015" s="32" t="s">
        <v>5251</v>
      </c>
      <c r="C4015" s="32" t="s">
        <v>763</v>
      </c>
      <c r="D4015" s="32" t="s">
        <v>5252</v>
      </c>
      <c r="E4015" s="33" t="s">
        <v>764</v>
      </c>
      <c r="F4015" s="34">
        <v>0</v>
      </c>
      <c r="G4015" s="34">
        <v>500000</v>
      </c>
      <c r="H4015" s="35" t="s">
        <v>1135</v>
      </c>
    </row>
    <row r="4016" spans="1:8" ht="27" customHeight="1" x14ac:dyDescent="0.2">
      <c r="A4016" s="31" t="s">
        <v>5250</v>
      </c>
      <c r="B4016" s="32" t="s">
        <v>5251</v>
      </c>
      <c r="C4016" s="32" t="s">
        <v>766</v>
      </c>
      <c r="D4016" s="32" t="s">
        <v>1951</v>
      </c>
      <c r="E4016" s="33" t="s">
        <v>768</v>
      </c>
      <c r="F4016" s="34">
        <v>0</v>
      </c>
      <c r="G4016" s="34">
        <v>0</v>
      </c>
      <c r="H4016" s="35" t="s">
        <v>1951</v>
      </c>
    </row>
    <row r="4017" spans="1:8" ht="27" customHeight="1" x14ac:dyDescent="0.2">
      <c r="A4017" s="31" t="s">
        <v>5250</v>
      </c>
      <c r="B4017" s="32" t="s">
        <v>5251</v>
      </c>
      <c r="C4017" s="32" t="s">
        <v>770</v>
      </c>
      <c r="D4017" s="32" t="s">
        <v>820</v>
      </c>
      <c r="E4017" s="33" t="s">
        <v>772</v>
      </c>
      <c r="F4017" s="34">
        <v>850606</v>
      </c>
      <c r="G4017" s="34">
        <v>850800</v>
      </c>
      <c r="H4017" s="35" t="s">
        <v>5253</v>
      </c>
    </row>
    <row r="4018" spans="1:8" ht="27" customHeight="1" x14ac:dyDescent="0.2">
      <c r="A4018" s="31" t="s">
        <v>5250</v>
      </c>
      <c r="B4018" s="32" t="s">
        <v>5251</v>
      </c>
      <c r="C4018" s="32" t="s">
        <v>884</v>
      </c>
      <c r="D4018" s="32" t="s">
        <v>1951</v>
      </c>
      <c r="E4018" s="33" t="s">
        <v>885</v>
      </c>
      <c r="F4018" s="34">
        <v>0</v>
      </c>
      <c r="G4018" s="34">
        <v>0</v>
      </c>
      <c r="H4018" s="35" t="s">
        <v>1951</v>
      </c>
    </row>
    <row r="4019" spans="1:8" ht="27" customHeight="1" x14ac:dyDescent="0.2">
      <c r="A4019" s="31" t="s">
        <v>5250</v>
      </c>
      <c r="B4019" s="32" t="s">
        <v>5251</v>
      </c>
      <c r="C4019" s="32" t="s">
        <v>844</v>
      </c>
      <c r="D4019" s="32" t="s">
        <v>3252</v>
      </c>
      <c r="E4019" s="33" t="s">
        <v>846</v>
      </c>
      <c r="F4019" s="34">
        <v>99217</v>
      </c>
      <c r="G4019" s="34">
        <v>99250</v>
      </c>
      <c r="H4019" s="35" t="s">
        <v>5254</v>
      </c>
    </row>
    <row r="4020" spans="1:8" ht="27" customHeight="1" x14ac:dyDescent="0.2">
      <c r="A4020" s="31" t="s">
        <v>5250</v>
      </c>
      <c r="B4020" s="32" t="s">
        <v>5251</v>
      </c>
      <c r="C4020" s="32" t="s">
        <v>773</v>
      </c>
      <c r="D4020" s="32" t="s">
        <v>1951</v>
      </c>
      <c r="E4020" s="33" t="s">
        <v>775</v>
      </c>
      <c r="F4020" s="34">
        <v>0</v>
      </c>
      <c r="G4020" s="34">
        <v>0</v>
      </c>
      <c r="H4020" s="35" t="s">
        <v>1951</v>
      </c>
    </row>
    <row r="4021" spans="1:8" ht="27" customHeight="1" x14ac:dyDescent="0.2">
      <c r="A4021" s="31" t="s">
        <v>5250</v>
      </c>
      <c r="B4021" s="32" t="s">
        <v>5251</v>
      </c>
      <c r="C4021" s="32" t="s">
        <v>886</v>
      </c>
      <c r="D4021" s="32" t="s">
        <v>1951</v>
      </c>
      <c r="E4021" s="33" t="s">
        <v>887</v>
      </c>
      <c r="F4021" s="34">
        <v>0</v>
      </c>
      <c r="G4021" s="34">
        <v>0</v>
      </c>
      <c r="H4021" s="35" t="s">
        <v>1951</v>
      </c>
    </row>
    <row r="4022" spans="1:8" ht="27" customHeight="1" x14ac:dyDescent="0.2">
      <c r="A4022" s="31" t="s">
        <v>5250</v>
      </c>
      <c r="B4022" s="32" t="s">
        <v>5251</v>
      </c>
      <c r="C4022" s="32" t="s">
        <v>860</v>
      </c>
      <c r="D4022" s="32" t="s">
        <v>911</v>
      </c>
      <c r="E4022" s="33" t="s">
        <v>861</v>
      </c>
      <c r="F4022" s="34">
        <v>452531</v>
      </c>
      <c r="G4022" s="34">
        <v>452600</v>
      </c>
      <c r="H4022" s="35" t="s">
        <v>5255</v>
      </c>
    </row>
    <row r="4023" spans="1:8" ht="27" customHeight="1" x14ac:dyDescent="0.2">
      <c r="A4023" s="31" t="s">
        <v>5250</v>
      </c>
      <c r="B4023" s="32" t="s">
        <v>5251</v>
      </c>
      <c r="C4023" s="32" t="s">
        <v>796</v>
      </c>
      <c r="D4023" s="32" t="s">
        <v>835</v>
      </c>
      <c r="E4023" s="33" t="s">
        <v>772</v>
      </c>
      <c r="F4023" s="34">
        <v>1201294</v>
      </c>
      <c r="G4023" s="34">
        <v>1201300</v>
      </c>
      <c r="H4023" s="35" t="s">
        <v>5256</v>
      </c>
    </row>
    <row r="4024" spans="1:8" ht="27" customHeight="1" x14ac:dyDescent="0.2">
      <c r="A4024" s="31" t="s">
        <v>5250</v>
      </c>
      <c r="B4024" s="32" t="s">
        <v>5251</v>
      </c>
      <c r="C4024" s="32" t="s">
        <v>776</v>
      </c>
      <c r="D4024" s="32" t="s">
        <v>776</v>
      </c>
      <c r="E4024" s="33" t="s">
        <v>777</v>
      </c>
      <c r="F4024" s="34">
        <v>31263</v>
      </c>
      <c r="G4024" s="34">
        <v>31300</v>
      </c>
      <c r="H4024" s="35" t="s">
        <v>5257</v>
      </c>
    </row>
    <row r="4025" spans="1:8" ht="27" customHeight="1" x14ac:dyDescent="0.2">
      <c r="A4025" s="31" t="s">
        <v>5250</v>
      </c>
      <c r="B4025" s="32" t="s">
        <v>5251</v>
      </c>
      <c r="C4025" s="32" t="s">
        <v>798</v>
      </c>
      <c r="D4025" s="32" t="s">
        <v>1951</v>
      </c>
      <c r="E4025" s="33" t="s">
        <v>800</v>
      </c>
      <c r="F4025" s="34">
        <v>0</v>
      </c>
      <c r="G4025" s="34">
        <v>0</v>
      </c>
      <c r="H4025" s="35" t="s">
        <v>1951</v>
      </c>
    </row>
    <row r="4026" spans="1:8" ht="27" customHeight="1" x14ac:dyDescent="0.2">
      <c r="A4026" s="31" t="s">
        <v>5250</v>
      </c>
      <c r="B4026" s="32" t="s">
        <v>5251</v>
      </c>
      <c r="C4026" s="32" t="s">
        <v>779</v>
      </c>
      <c r="D4026" s="32" t="s">
        <v>826</v>
      </c>
      <c r="E4026" s="33" t="s">
        <v>780</v>
      </c>
      <c r="F4026" s="34">
        <v>52522</v>
      </c>
      <c r="G4026" s="34">
        <v>52600</v>
      </c>
      <c r="H4026" s="35" t="s">
        <v>5258</v>
      </c>
    </row>
    <row r="4027" spans="1:8" ht="27" customHeight="1" x14ac:dyDescent="0.2">
      <c r="A4027" s="31" t="s">
        <v>5250</v>
      </c>
      <c r="B4027" s="32" t="s">
        <v>5251</v>
      </c>
      <c r="C4027" s="32" t="s">
        <v>782</v>
      </c>
      <c r="D4027" s="32" t="s">
        <v>782</v>
      </c>
      <c r="E4027" s="33" t="s">
        <v>784</v>
      </c>
      <c r="F4027" s="34">
        <v>350452</v>
      </c>
      <c r="G4027" s="34">
        <v>350600</v>
      </c>
      <c r="H4027" s="35" t="s">
        <v>1135</v>
      </c>
    </row>
    <row r="4028" spans="1:8" ht="27" customHeight="1" x14ac:dyDescent="0.2">
      <c r="A4028" s="31" t="s">
        <v>5259</v>
      </c>
      <c r="B4028" s="32" t="s">
        <v>5260</v>
      </c>
      <c r="C4028" s="32" t="s">
        <v>770</v>
      </c>
      <c r="D4028" s="32" t="s">
        <v>5261</v>
      </c>
      <c r="E4028" s="33" t="s">
        <v>772</v>
      </c>
      <c r="F4028" s="34">
        <v>577741</v>
      </c>
      <c r="G4028" s="34">
        <v>550000</v>
      </c>
      <c r="H4028" s="35" t="s">
        <v>5262</v>
      </c>
    </row>
    <row r="4029" spans="1:8" ht="27" customHeight="1" x14ac:dyDescent="0.2">
      <c r="A4029" s="31" t="s">
        <v>5259</v>
      </c>
      <c r="B4029" s="32" t="s">
        <v>5260</v>
      </c>
      <c r="C4029" s="32" t="s">
        <v>796</v>
      </c>
      <c r="D4029" s="32" t="s">
        <v>811</v>
      </c>
      <c r="E4029" s="33" t="s">
        <v>772</v>
      </c>
      <c r="F4029" s="34">
        <v>300000</v>
      </c>
      <c r="G4029" s="34">
        <v>300000</v>
      </c>
      <c r="H4029" s="35" t="s">
        <v>5263</v>
      </c>
    </row>
    <row r="4030" spans="1:8" ht="27" customHeight="1" x14ac:dyDescent="0.2">
      <c r="A4030" s="31" t="s">
        <v>5259</v>
      </c>
      <c r="B4030" s="32" t="s">
        <v>5260</v>
      </c>
      <c r="C4030" s="32" t="s">
        <v>779</v>
      </c>
      <c r="D4030" s="32" t="s">
        <v>802</v>
      </c>
      <c r="E4030" s="33" t="s">
        <v>780</v>
      </c>
      <c r="F4030" s="34">
        <v>10000</v>
      </c>
      <c r="G4030" s="34">
        <v>10000</v>
      </c>
      <c r="H4030" s="35" t="s">
        <v>5264</v>
      </c>
    </row>
    <row r="4031" spans="1:8" ht="27" customHeight="1" x14ac:dyDescent="0.2">
      <c r="A4031" s="31" t="s">
        <v>5265</v>
      </c>
      <c r="B4031" s="32" t="s">
        <v>5266</v>
      </c>
      <c r="C4031" s="32" t="s">
        <v>763</v>
      </c>
      <c r="D4031" s="32" t="s">
        <v>5267</v>
      </c>
      <c r="E4031" s="33" t="s">
        <v>764</v>
      </c>
      <c r="F4031" s="34">
        <v>200000</v>
      </c>
      <c r="G4031" s="34">
        <v>200000</v>
      </c>
      <c r="H4031" s="35" t="s">
        <v>5268</v>
      </c>
    </row>
    <row r="4032" spans="1:8" ht="27" customHeight="1" x14ac:dyDescent="0.2">
      <c r="A4032" s="31" t="s">
        <v>5265</v>
      </c>
      <c r="B4032" s="32" t="s">
        <v>5266</v>
      </c>
      <c r="C4032" s="32" t="s">
        <v>763</v>
      </c>
      <c r="D4032" s="32" t="s">
        <v>5269</v>
      </c>
      <c r="E4032" s="33" t="s">
        <v>764</v>
      </c>
      <c r="F4032" s="34">
        <v>0</v>
      </c>
      <c r="G4032" s="34">
        <v>1000000</v>
      </c>
      <c r="H4032" s="35" t="s">
        <v>5270</v>
      </c>
    </row>
    <row r="4033" spans="1:8" ht="27" customHeight="1" x14ac:dyDescent="0.2">
      <c r="A4033" s="31" t="s">
        <v>5265</v>
      </c>
      <c r="B4033" s="32" t="s">
        <v>5266</v>
      </c>
      <c r="C4033" s="32" t="s">
        <v>770</v>
      </c>
      <c r="D4033" s="32" t="s">
        <v>820</v>
      </c>
      <c r="E4033" s="33" t="s">
        <v>772</v>
      </c>
      <c r="F4033" s="34">
        <v>229215</v>
      </c>
      <c r="G4033" s="34">
        <v>229215</v>
      </c>
      <c r="H4033" s="35" t="s">
        <v>5271</v>
      </c>
    </row>
    <row r="4034" spans="1:8" ht="27" customHeight="1" x14ac:dyDescent="0.2">
      <c r="A4034" s="31" t="s">
        <v>5265</v>
      </c>
      <c r="B4034" s="32" t="s">
        <v>5266</v>
      </c>
      <c r="C4034" s="32" t="s">
        <v>773</v>
      </c>
      <c r="D4034" s="32" t="s">
        <v>5272</v>
      </c>
      <c r="E4034" s="33" t="s">
        <v>775</v>
      </c>
      <c r="F4034" s="34">
        <v>0</v>
      </c>
      <c r="G4034" s="34">
        <v>100000</v>
      </c>
      <c r="H4034" s="35" t="s">
        <v>5273</v>
      </c>
    </row>
    <row r="4035" spans="1:8" ht="27" customHeight="1" x14ac:dyDescent="0.2">
      <c r="A4035" s="31" t="s">
        <v>5265</v>
      </c>
      <c r="B4035" s="32" t="s">
        <v>5266</v>
      </c>
      <c r="C4035" s="32" t="s">
        <v>860</v>
      </c>
      <c r="D4035" s="32" t="s">
        <v>5274</v>
      </c>
      <c r="E4035" s="33" t="s">
        <v>861</v>
      </c>
      <c r="F4035" s="34">
        <v>0</v>
      </c>
      <c r="G4035" s="34">
        <v>200000</v>
      </c>
      <c r="H4035" s="35" t="s">
        <v>5275</v>
      </c>
    </row>
    <row r="4036" spans="1:8" ht="27" customHeight="1" x14ac:dyDescent="0.2">
      <c r="A4036" s="31" t="s">
        <v>5265</v>
      </c>
      <c r="B4036" s="32" t="s">
        <v>5266</v>
      </c>
      <c r="C4036" s="32" t="s">
        <v>796</v>
      </c>
      <c r="D4036" s="32" t="s">
        <v>1095</v>
      </c>
      <c r="E4036" s="33" t="s">
        <v>823</v>
      </c>
      <c r="F4036" s="34">
        <v>158759</v>
      </c>
      <c r="G4036" s="34">
        <v>158759</v>
      </c>
      <c r="H4036" s="35" t="s">
        <v>5276</v>
      </c>
    </row>
    <row r="4037" spans="1:8" ht="27" customHeight="1" x14ac:dyDescent="0.2">
      <c r="A4037" s="31" t="s">
        <v>5277</v>
      </c>
      <c r="B4037" s="32" t="s">
        <v>5278</v>
      </c>
      <c r="C4037" s="32" t="s">
        <v>763</v>
      </c>
      <c r="D4037" s="32" t="s">
        <v>816</v>
      </c>
      <c r="E4037" s="33" t="s">
        <v>764</v>
      </c>
      <c r="F4037" s="34">
        <v>302</v>
      </c>
      <c r="G4037" s="34">
        <v>302</v>
      </c>
      <c r="H4037" s="35" t="s">
        <v>5279</v>
      </c>
    </row>
    <row r="4038" spans="1:8" ht="27" customHeight="1" x14ac:dyDescent="0.2">
      <c r="A4038" s="31" t="s">
        <v>5277</v>
      </c>
      <c r="B4038" s="32" t="s">
        <v>5278</v>
      </c>
      <c r="C4038" s="32" t="s">
        <v>766</v>
      </c>
      <c r="D4038" s="32" t="s">
        <v>818</v>
      </c>
      <c r="E4038" s="33" t="s">
        <v>768</v>
      </c>
      <c r="F4038" s="34">
        <v>252974</v>
      </c>
      <c r="G4038" s="34">
        <v>252974</v>
      </c>
      <c r="H4038" s="35" t="s">
        <v>5280</v>
      </c>
    </row>
    <row r="4039" spans="1:8" ht="27" customHeight="1" x14ac:dyDescent="0.2">
      <c r="A4039" s="31" t="s">
        <v>5277</v>
      </c>
      <c r="B4039" s="32" t="s">
        <v>5278</v>
      </c>
      <c r="C4039" s="32" t="s">
        <v>770</v>
      </c>
      <c r="D4039" s="32" t="s">
        <v>820</v>
      </c>
      <c r="E4039" s="33" t="s">
        <v>772</v>
      </c>
      <c r="F4039" s="34">
        <v>300000</v>
      </c>
      <c r="G4039" s="34">
        <v>300000</v>
      </c>
      <c r="H4039" s="35" t="s">
        <v>5281</v>
      </c>
    </row>
    <row r="4040" spans="1:8" ht="27" customHeight="1" x14ac:dyDescent="0.2">
      <c r="A4040" s="31" t="s">
        <v>5277</v>
      </c>
      <c r="B4040" s="32" t="s">
        <v>5278</v>
      </c>
      <c r="C4040" s="32" t="s">
        <v>884</v>
      </c>
      <c r="D4040" s="32" t="s">
        <v>972</v>
      </c>
      <c r="E4040" s="33" t="s">
        <v>885</v>
      </c>
      <c r="F4040" s="34">
        <v>28000</v>
      </c>
      <c r="G4040" s="34">
        <v>27000</v>
      </c>
      <c r="H4040" s="35" t="s">
        <v>5282</v>
      </c>
    </row>
    <row r="4041" spans="1:8" ht="27" customHeight="1" x14ac:dyDescent="0.2">
      <c r="A4041" s="31" t="s">
        <v>5277</v>
      </c>
      <c r="B4041" s="32" t="s">
        <v>5278</v>
      </c>
      <c r="C4041" s="32" t="s">
        <v>796</v>
      </c>
      <c r="D4041" s="32" t="s">
        <v>1095</v>
      </c>
      <c r="E4041" s="33" t="s">
        <v>823</v>
      </c>
      <c r="F4041" s="34">
        <v>160000</v>
      </c>
      <c r="G4041" s="34">
        <v>135000</v>
      </c>
      <c r="H4041" s="35" t="s">
        <v>5283</v>
      </c>
    </row>
    <row r="4042" spans="1:8" ht="27" customHeight="1" x14ac:dyDescent="0.2">
      <c r="A4042" s="31" t="s">
        <v>5277</v>
      </c>
      <c r="B4042" s="32" t="s">
        <v>5278</v>
      </c>
      <c r="C4042" s="32" t="s">
        <v>776</v>
      </c>
      <c r="D4042" s="32" t="s">
        <v>812</v>
      </c>
      <c r="E4042" s="33" t="s">
        <v>777</v>
      </c>
      <c r="F4042" s="34">
        <v>89121</v>
      </c>
      <c r="G4042" s="34">
        <v>89121</v>
      </c>
      <c r="H4042" s="35" t="s">
        <v>5284</v>
      </c>
    </row>
    <row r="4043" spans="1:8" ht="27" customHeight="1" x14ac:dyDescent="0.2">
      <c r="A4043" s="31" t="s">
        <v>5277</v>
      </c>
      <c r="B4043" s="32" t="s">
        <v>5278</v>
      </c>
      <c r="C4043" s="32" t="s">
        <v>779</v>
      </c>
      <c r="D4043" s="32" t="s">
        <v>826</v>
      </c>
      <c r="E4043" s="33" t="s">
        <v>780</v>
      </c>
      <c r="F4043" s="34">
        <v>54921</v>
      </c>
      <c r="G4043" s="34">
        <v>54921</v>
      </c>
      <c r="H4043" s="35" t="s">
        <v>5285</v>
      </c>
    </row>
    <row r="4044" spans="1:8" ht="27" customHeight="1" x14ac:dyDescent="0.2">
      <c r="A4044" s="31" t="s">
        <v>5277</v>
      </c>
      <c r="B4044" s="32" t="s">
        <v>5278</v>
      </c>
      <c r="C4044" s="32" t="s">
        <v>782</v>
      </c>
      <c r="D4044" s="32" t="s">
        <v>1391</v>
      </c>
      <c r="E4044" s="33" t="s">
        <v>784</v>
      </c>
      <c r="F4044" s="34">
        <v>30000</v>
      </c>
      <c r="G4044" s="34">
        <v>30000</v>
      </c>
      <c r="H4044" s="35" t="s">
        <v>5286</v>
      </c>
    </row>
    <row r="4045" spans="1:8" ht="27" customHeight="1" x14ac:dyDescent="0.2">
      <c r="A4045" s="31" t="s">
        <v>5287</v>
      </c>
      <c r="B4045" s="32" t="s">
        <v>5288</v>
      </c>
      <c r="C4045" s="32" t="s">
        <v>763</v>
      </c>
      <c r="D4045" s="32" t="s">
        <v>816</v>
      </c>
      <c r="E4045" s="33" t="s">
        <v>764</v>
      </c>
      <c r="F4045" s="34">
        <v>1001037</v>
      </c>
      <c r="G4045" s="34">
        <v>1001300</v>
      </c>
      <c r="H4045" s="35" t="s">
        <v>5289</v>
      </c>
    </row>
    <row r="4046" spans="1:8" ht="27" customHeight="1" x14ac:dyDescent="0.2">
      <c r="A4046" s="31" t="s">
        <v>5287</v>
      </c>
      <c r="B4046" s="32" t="s">
        <v>5288</v>
      </c>
      <c r="C4046" s="32" t="s">
        <v>770</v>
      </c>
      <c r="D4046" s="32" t="s">
        <v>5290</v>
      </c>
      <c r="E4046" s="33" t="s">
        <v>772</v>
      </c>
      <c r="F4046" s="34">
        <v>76445</v>
      </c>
      <c r="G4046" s="34">
        <v>76462</v>
      </c>
      <c r="H4046" s="35" t="s">
        <v>5291</v>
      </c>
    </row>
    <row r="4047" spans="1:8" ht="27" customHeight="1" x14ac:dyDescent="0.2">
      <c r="A4047" s="31" t="s">
        <v>5287</v>
      </c>
      <c r="B4047" s="32" t="s">
        <v>5288</v>
      </c>
      <c r="C4047" s="32" t="s">
        <v>776</v>
      </c>
      <c r="D4047" s="32" t="s">
        <v>4032</v>
      </c>
      <c r="E4047" s="33" t="s">
        <v>777</v>
      </c>
      <c r="F4047" s="34">
        <v>150000</v>
      </c>
      <c r="G4047" s="34">
        <v>150000</v>
      </c>
      <c r="H4047" s="35" t="s">
        <v>5292</v>
      </c>
    </row>
    <row r="4048" spans="1:8" ht="27" customHeight="1" x14ac:dyDescent="0.2">
      <c r="A4048" s="31" t="s">
        <v>5287</v>
      </c>
      <c r="B4048" s="32" t="s">
        <v>5288</v>
      </c>
      <c r="C4048" s="32" t="s">
        <v>779</v>
      </c>
      <c r="D4048" s="32" t="s">
        <v>876</v>
      </c>
      <c r="E4048" s="33" t="s">
        <v>780</v>
      </c>
      <c r="F4048" s="34">
        <v>74885</v>
      </c>
      <c r="G4048" s="34">
        <v>74904</v>
      </c>
      <c r="H4048" s="35" t="s">
        <v>5293</v>
      </c>
    </row>
    <row r="4049" spans="1:8" ht="27" customHeight="1" x14ac:dyDescent="0.2">
      <c r="A4049" s="31" t="s">
        <v>5294</v>
      </c>
      <c r="B4049" s="32" t="s">
        <v>5295</v>
      </c>
      <c r="C4049" s="32" t="s">
        <v>796</v>
      </c>
      <c r="D4049" s="32" t="s">
        <v>1095</v>
      </c>
      <c r="E4049" s="33" t="s">
        <v>772</v>
      </c>
      <c r="F4049" s="34">
        <v>0</v>
      </c>
      <c r="G4049" s="34">
        <v>103400</v>
      </c>
      <c r="H4049" s="35" t="s">
        <v>5296</v>
      </c>
    </row>
    <row r="4050" spans="1:8" ht="27" customHeight="1" x14ac:dyDescent="0.2">
      <c r="A4050" s="31" t="s">
        <v>5294</v>
      </c>
      <c r="B4050" s="32" t="s">
        <v>5295</v>
      </c>
      <c r="C4050" s="32" t="s">
        <v>779</v>
      </c>
      <c r="D4050" s="32" t="s">
        <v>876</v>
      </c>
      <c r="E4050" s="33" t="s">
        <v>780</v>
      </c>
      <c r="F4050" s="34">
        <v>100352</v>
      </c>
      <c r="G4050" s="34">
        <v>96000</v>
      </c>
      <c r="H4050" s="35" t="s">
        <v>5297</v>
      </c>
    </row>
    <row r="4051" spans="1:8" ht="27" customHeight="1" x14ac:dyDescent="0.2">
      <c r="A4051" s="31" t="s">
        <v>5298</v>
      </c>
      <c r="B4051" s="32" t="s">
        <v>5299</v>
      </c>
      <c r="C4051" s="32" t="s">
        <v>796</v>
      </c>
      <c r="D4051" s="32" t="s">
        <v>1576</v>
      </c>
      <c r="E4051" s="33" t="s">
        <v>772</v>
      </c>
      <c r="F4051" s="34">
        <v>150952</v>
      </c>
      <c r="G4051" s="34">
        <v>151965</v>
      </c>
      <c r="H4051" s="35" t="s">
        <v>5300</v>
      </c>
    </row>
    <row r="4052" spans="1:8" ht="27" customHeight="1" x14ac:dyDescent="0.2">
      <c r="A4052" s="31" t="s">
        <v>5298</v>
      </c>
      <c r="B4052" s="32" t="s">
        <v>5299</v>
      </c>
      <c r="C4052" s="32" t="s">
        <v>779</v>
      </c>
      <c r="D4052" s="32" t="s">
        <v>826</v>
      </c>
      <c r="E4052" s="33" t="s">
        <v>780</v>
      </c>
      <c r="F4052" s="34">
        <v>50197</v>
      </c>
      <c r="G4052" s="34">
        <v>50210</v>
      </c>
      <c r="H4052" s="35" t="s">
        <v>5301</v>
      </c>
    </row>
    <row r="4053" spans="1:8" ht="27" customHeight="1" x14ac:dyDescent="0.2">
      <c r="A4053" s="31" t="s">
        <v>5302</v>
      </c>
      <c r="B4053" s="32" t="s">
        <v>5303</v>
      </c>
      <c r="C4053" s="32" t="s">
        <v>770</v>
      </c>
      <c r="D4053" s="32" t="s">
        <v>820</v>
      </c>
      <c r="E4053" s="33" t="s">
        <v>772</v>
      </c>
      <c r="F4053" s="34">
        <v>791139</v>
      </c>
      <c r="G4053" s="34">
        <v>792000</v>
      </c>
      <c r="H4053" s="35" t="s">
        <v>5304</v>
      </c>
    </row>
    <row r="4054" spans="1:8" ht="27" customHeight="1" x14ac:dyDescent="0.2">
      <c r="A4054" s="31" t="s">
        <v>5302</v>
      </c>
      <c r="B4054" s="32" t="s">
        <v>5303</v>
      </c>
      <c r="C4054" s="32" t="s">
        <v>796</v>
      </c>
      <c r="D4054" s="32" t="s">
        <v>1463</v>
      </c>
      <c r="E4054" s="33" t="s">
        <v>772</v>
      </c>
      <c r="F4054" s="34">
        <v>122048</v>
      </c>
      <c r="G4054" s="34">
        <v>123000</v>
      </c>
      <c r="H4054" s="35" t="s">
        <v>5305</v>
      </c>
    </row>
    <row r="4055" spans="1:8" ht="27" customHeight="1" x14ac:dyDescent="0.2">
      <c r="A4055" s="31" t="s">
        <v>5302</v>
      </c>
      <c r="B4055" s="32" t="s">
        <v>5303</v>
      </c>
      <c r="C4055" s="32" t="s">
        <v>776</v>
      </c>
      <c r="D4055" s="32" t="s">
        <v>812</v>
      </c>
      <c r="E4055" s="33" t="s">
        <v>777</v>
      </c>
      <c r="F4055" s="34">
        <v>197178</v>
      </c>
      <c r="G4055" s="34">
        <v>198000</v>
      </c>
      <c r="H4055" s="35" t="s">
        <v>5306</v>
      </c>
    </row>
    <row r="4056" spans="1:8" ht="27" customHeight="1" x14ac:dyDescent="0.2">
      <c r="A4056" s="31" t="s">
        <v>5302</v>
      </c>
      <c r="B4056" s="32" t="s">
        <v>5303</v>
      </c>
      <c r="C4056" s="32" t="s">
        <v>779</v>
      </c>
      <c r="D4056" s="32" t="s">
        <v>826</v>
      </c>
      <c r="E4056" s="33" t="s">
        <v>780</v>
      </c>
      <c r="F4056" s="34">
        <v>160102</v>
      </c>
      <c r="G4056" s="34">
        <v>161000</v>
      </c>
      <c r="H4056" s="35" t="s">
        <v>5307</v>
      </c>
    </row>
    <row r="4057" spans="1:8" ht="27" customHeight="1" x14ac:dyDescent="0.2">
      <c r="A4057" s="31" t="s">
        <v>5302</v>
      </c>
      <c r="B4057" s="32" t="s">
        <v>5303</v>
      </c>
      <c r="C4057" s="32" t="s">
        <v>782</v>
      </c>
      <c r="D4057" s="32" t="s">
        <v>839</v>
      </c>
      <c r="E4057" s="33" t="s">
        <v>784</v>
      </c>
      <c r="F4057" s="34">
        <v>366145</v>
      </c>
      <c r="G4057" s="34">
        <v>368000</v>
      </c>
      <c r="H4057" s="35" t="s">
        <v>5308</v>
      </c>
    </row>
    <row r="4058" spans="1:8" ht="27" customHeight="1" x14ac:dyDescent="0.2">
      <c r="A4058" s="31" t="s">
        <v>5309</v>
      </c>
      <c r="B4058" s="32" t="s">
        <v>5310</v>
      </c>
      <c r="C4058" s="32" t="s">
        <v>763</v>
      </c>
      <c r="D4058" s="32" t="s">
        <v>816</v>
      </c>
      <c r="E4058" s="33" t="s">
        <v>764</v>
      </c>
      <c r="F4058" s="34">
        <v>100183</v>
      </c>
      <c r="G4058" s="34">
        <v>100220</v>
      </c>
      <c r="H4058" s="35" t="s">
        <v>5311</v>
      </c>
    </row>
    <row r="4059" spans="1:8" ht="27" customHeight="1" x14ac:dyDescent="0.2">
      <c r="A4059" s="31" t="s">
        <v>5309</v>
      </c>
      <c r="B4059" s="32" t="s">
        <v>5310</v>
      </c>
      <c r="C4059" s="32" t="s">
        <v>860</v>
      </c>
      <c r="D4059" s="32" t="s">
        <v>911</v>
      </c>
      <c r="E4059" s="33" t="s">
        <v>861</v>
      </c>
      <c r="F4059" s="34">
        <v>50048</v>
      </c>
      <c r="G4059" s="34">
        <v>50067</v>
      </c>
      <c r="H4059" s="35" t="s">
        <v>5312</v>
      </c>
    </row>
    <row r="4060" spans="1:8" ht="27" customHeight="1" x14ac:dyDescent="0.2">
      <c r="A4060" s="31" t="s">
        <v>5309</v>
      </c>
      <c r="B4060" s="32" t="s">
        <v>5310</v>
      </c>
      <c r="C4060" s="32" t="s">
        <v>776</v>
      </c>
      <c r="D4060" s="32" t="s">
        <v>812</v>
      </c>
      <c r="E4060" s="33" t="s">
        <v>777</v>
      </c>
      <c r="F4060" s="34">
        <v>15026</v>
      </c>
      <c r="G4060" s="34">
        <v>15030</v>
      </c>
      <c r="H4060" s="35" t="s">
        <v>5313</v>
      </c>
    </row>
    <row r="4061" spans="1:8" ht="27" customHeight="1" x14ac:dyDescent="0.2">
      <c r="A4061" s="31" t="s">
        <v>5309</v>
      </c>
      <c r="B4061" s="32" t="s">
        <v>5310</v>
      </c>
      <c r="C4061" s="32" t="s">
        <v>779</v>
      </c>
      <c r="D4061" s="32" t="s">
        <v>876</v>
      </c>
      <c r="E4061" s="33" t="s">
        <v>780</v>
      </c>
      <c r="F4061" s="34">
        <v>16068</v>
      </c>
      <c r="G4061" s="34">
        <v>16070</v>
      </c>
      <c r="H4061" s="35" t="s">
        <v>5314</v>
      </c>
    </row>
    <row r="4062" spans="1:8" ht="27" customHeight="1" x14ac:dyDescent="0.2">
      <c r="A4062" s="31" t="s">
        <v>5315</v>
      </c>
      <c r="B4062" s="32" t="s">
        <v>5316</v>
      </c>
      <c r="C4062" s="32" t="s">
        <v>763</v>
      </c>
      <c r="D4062" s="32" t="s">
        <v>816</v>
      </c>
      <c r="E4062" s="33" t="s">
        <v>764</v>
      </c>
      <c r="F4062" s="34">
        <v>504938</v>
      </c>
      <c r="G4062" s="34">
        <v>0</v>
      </c>
      <c r="H4062" s="35" t="s">
        <v>5317</v>
      </c>
    </row>
    <row r="4063" spans="1:8" ht="27" customHeight="1" x14ac:dyDescent="0.2">
      <c r="A4063" s="31" t="s">
        <v>5315</v>
      </c>
      <c r="B4063" s="32" t="s">
        <v>5316</v>
      </c>
      <c r="C4063" s="32" t="s">
        <v>770</v>
      </c>
      <c r="D4063" s="32" t="s">
        <v>820</v>
      </c>
      <c r="E4063" s="33" t="s">
        <v>772</v>
      </c>
      <c r="F4063" s="34">
        <v>471815</v>
      </c>
      <c r="G4063" s="34">
        <v>421815</v>
      </c>
      <c r="H4063" s="35" t="s">
        <v>5318</v>
      </c>
    </row>
    <row r="4064" spans="1:8" ht="27" customHeight="1" x14ac:dyDescent="0.2">
      <c r="A4064" s="31" t="s">
        <v>5315</v>
      </c>
      <c r="B4064" s="32" t="s">
        <v>5316</v>
      </c>
      <c r="C4064" s="32" t="s">
        <v>844</v>
      </c>
      <c r="D4064" s="32" t="s">
        <v>972</v>
      </c>
      <c r="E4064" s="33" t="s">
        <v>846</v>
      </c>
      <c r="F4064" s="34">
        <v>25000</v>
      </c>
      <c r="G4064" s="34">
        <v>25000</v>
      </c>
      <c r="H4064" s="35" t="s">
        <v>1951</v>
      </c>
    </row>
    <row r="4065" spans="1:8" ht="27" customHeight="1" x14ac:dyDescent="0.2">
      <c r="A4065" s="31" t="s">
        <v>5315</v>
      </c>
      <c r="B4065" s="32" t="s">
        <v>5316</v>
      </c>
      <c r="C4065" s="32" t="s">
        <v>860</v>
      </c>
      <c r="D4065" s="32" t="s">
        <v>911</v>
      </c>
      <c r="E4065" s="33" t="s">
        <v>861</v>
      </c>
      <c r="F4065" s="34">
        <v>865012</v>
      </c>
      <c r="G4065" s="34">
        <v>340012</v>
      </c>
      <c r="H4065" s="35" t="s">
        <v>5317</v>
      </c>
    </row>
    <row r="4066" spans="1:8" ht="27" customHeight="1" x14ac:dyDescent="0.2">
      <c r="A4066" s="31" t="s">
        <v>5315</v>
      </c>
      <c r="B4066" s="32" t="s">
        <v>5316</v>
      </c>
      <c r="C4066" s="32" t="s">
        <v>796</v>
      </c>
      <c r="D4066" s="32" t="s">
        <v>5319</v>
      </c>
      <c r="E4066" s="33" t="s">
        <v>772</v>
      </c>
      <c r="F4066" s="34">
        <v>648145</v>
      </c>
      <c r="G4066" s="34">
        <v>490145</v>
      </c>
      <c r="H4066" s="35" t="s">
        <v>5320</v>
      </c>
    </row>
    <row r="4067" spans="1:8" ht="27" customHeight="1" x14ac:dyDescent="0.2">
      <c r="A4067" s="31" t="s">
        <v>5315</v>
      </c>
      <c r="B4067" s="32" t="s">
        <v>5316</v>
      </c>
      <c r="C4067" s="32" t="s">
        <v>776</v>
      </c>
      <c r="D4067" s="32" t="s">
        <v>812</v>
      </c>
      <c r="E4067" s="33" t="s">
        <v>777</v>
      </c>
      <c r="F4067" s="34">
        <v>72000</v>
      </c>
      <c r="G4067" s="34">
        <v>72000</v>
      </c>
      <c r="H4067" s="35" t="s">
        <v>1951</v>
      </c>
    </row>
    <row r="4068" spans="1:8" ht="27" customHeight="1" x14ac:dyDescent="0.2">
      <c r="A4068" s="31" t="s">
        <v>5315</v>
      </c>
      <c r="B4068" s="32" t="s">
        <v>5316</v>
      </c>
      <c r="C4068" s="32" t="s">
        <v>782</v>
      </c>
      <c r="D4068" s="32" t="s">
        <v>839</v>
      </c>
      <c r="E4068" s="33" t="s">
        <v>784</v>
      </c>
      <c r="F4068" s="34">
        <v>217500</v>
      </c>
      <c r="G4068" s="34">
        <v>217500</v>
      </c>
      <c r="H4068" s="35" t="s">
        <v>5321</v>
      </c>
    </row>
    <row r="4069" spans="1:8" ht="27" customHeight="1" x14ac:dyDescent="0.2">
      <c r="A4069" s="31" t="s">
        <v>5322</v>
      </c>
      <c r="B4069" s="32" t="s">
        <v>5323</v>
      </c>
      <c r="C4069" s="32" t="s">
        <v>766</v>
      </c>
      <c r="D4069" s="32" t="s">
        <v>818</v>
      </c>
      <c r="E4069" s="33" t="s">
        <v>768</v>
      </c>
      <c r="F4069" s="34">
        <v>287488</v>
      </c>
      <c r="G4069" s="34">
        <v>587488</v>
      </c>
      <c r="H4069" s="35" t="s">
        <v>5324</v>
      </c>
    </row>
    <row r="4070" spans="1:8" ht="27" customHeight="1" x14ac:dyDescent="0.2">
      <c r="A4070" s="31" t="s">
        <v>5325</v>
      </c>
      <c r="B4070" s="32" t="s">
        <v>5326</v>
      </c>
      <c r="C4070" s="32" t="s">
        <v>763</v>
      </c>
      <c r="D4070" s="32" t="s">
        <v>5327</v>
      </c>
      <c r="E4070" s="33" t="s">
        <v>764</v>
      </c>
      <c r="F4070" s="34">
        <v>3337100</v>
      </c>
      <c r="G4070" s="34">
        <v>3982611</v>
      </c>
      <c r="H4070" s="35" t="s">
        <v>5328</v>
      </c>
    </row>
    <row r="4071" spans="1:8" ht="27" customHeight="1" x14ac:dyDescent="0.2">
      <c r="A4071" s="31" t="s">
        <v>5325</v>
      </c>
      <c r="B4071" s="32" t="s">
        <v>5326</v>
      </c>
      <c r="C4071" s="32" t="s">
        <v>770</v>
      </c>
      <c r="D4071" s="32" t="s">
        <v>5329</v>
      </c>
      <c r="E4071" s="33" t="s">
        <v>772</v>
      </c>
      <c r="F4071" s="34">
        <v>490331</v>
      </c>
      <c r="G4071" s="34">
        <v>430458</v>
      </c>
      <c r="H4071" s="35" t="s">
        <v>5330</v>
      </c>
    </row>
    <row r="4072" spans="1:8" ht="27" customHeight="1" x14ac:dyDescent="0.2">
      <c r="A4072" s="31" t="s">
        <v>5325</v>
      </c>
      <c r="B4072" s="32" t="s">
        <v>5326</v>
      </c>
      <c r="C4072" s="32" t="s">
        <v>860</v>
      </c>
      <c r="D4072" s="32" t="s">
        <v>1174</v>
      </c>
      <c r="E4072" s="33" t="s">
        <v>861</v>
      </c>
      <c r="F4072" s="34">
        <v>317777</v>
      </c>
      <c r="G4072" s="34">
        <v>317855</v>
      </c>
      <c r="H4072" s="35" t="s">
        <v>5331</v>
      </c>
    </row>
    <row r="4073" spans="1:8" ht="27" customHeight="1" x14ac:dyDescent="0.2">
      <c r="A4073" s="31" t="s">
        <v>5325</v>
      </c>
      <c r="B4073" s="32" t="s">
        <v>5326</v>
      </c>
      <c r="C4073" s="32" t="s">
        <v>796</v>
      </c>
      <c r="D4073" s="32" t="s">
        <v>1422</v>
      </c>
      <c r="E4073" s="33" t="s">
        <v>823</v>
      </c>
      <c r="F4073" s="34">
        <v>1289420</v>
      </c>
      <c r="G4073" s="34">
        <v>1036676</v>
      </c>
      <c r="H4073" s="35" t="s">
        <v>5332</v>
      </c>
    </row>
    <row r="4074" spans="1:8" ht="27" customHeight="1" x14ac:dyDescent="0.2">
      <c r="A4074" s="31" t="s">
        <v>5325</v>
      </c>
      <c r="B4074" s="32" t="s">
        <v>5326</v>
      </c>
      <c r="C4074" s="32" t="s">
        <v>776</v>
      </c>
      <c r="D4074" s="32" t="s">
        <v>2074</v>
      </c>
      <c r="E4074" s="33" t="s">
        <v>777</v>
      </c>
      <c r="F4074" s="34">
        <v>251568</v>
      </c>
      <c r="G4074" s="34">
        <v>123248</v>
      </c>
      <c r="H4074" s="35" t="s">
        <v>5333</v>
      </c>
    </row>
    <row r="4075" spans="1:8" ht="27" customHeight="1" x14ac:dyDescent="0.2">
      <c r="A4075" s="31" t="s">
        <v>5325</v>
      </c>
      <c r="B4075" s="32" t="s">
        <v>5326</v>
      </c>
      <c r="C4075" s="32" t="s">
        <v>779</v>
      </c>
      <c r="D4075" s="32" t="s">
        <v>1179</v>
      </c>
      <c r="E4075" s="33" t="s">
        <v>780</v>
      </c>
      <c r="F4075" s="34">
        <v>261933</v>
      </c>
      <c r="G4075" s="34">
        <v>35997</v>
      </c>
      <c r="H4075" s="35" t="s">
        <v>5334</v>
      </c>
    </row>
    <row r="4076" spans="1:8" ht="27" customHeight="1" x14ac:dyDescent="0.2">
      <c r="A4076" s="31" t="s">
        <v>5335</v>
      </c>
      <c r="B4076" s="32" t="s">
        <v>5336</v>
      </c>
      <c r="C4076" s="32" t="s">
        <v>763</v>
      </c>
      <c r="D4076" s="32" t="s">
        <v>816</v>
      </c>
      <c r="E4076" s="33" t="s">
        <v>764</v>
      </c>
      <c r="F4076" s="34">
        <v>37816</v>
      </c>
      <c r="G4076" s="34">
        <v>37816</v>
      </c>
      <c r="H4076" s="35" t="s">
        <v>5337</v>
      </c>
    </row>
    <row r="4077" spans="1:8" ht="27" customHeight="1" x14ac:dyDescent="0.2">
      <c r="A4077" s="31" t="s">
        <v>5335</v>
      </c>
      <c r="B4077" s="32" t="s">
        <v>5336</v>
      </c>
      <c r="C4077" s="32" t="s">
        <v>763</v>
      </c>
      <c r="D4077" s="32" t="s">
        <v>967</v>
      </c>
      <c r="E4077" s="33" t="s">
        <v>764</v>
      </c>
      <c r="F4077" s="34">
        <v>400331</v>
      </c>
      <c r="G4077" s="34">
        <v>400331</v>
      </c>
      <c r="H4077" s="35" t="s">
        <v>5337</v>
      </c>
    </row>
    <row r="4078" spans="1:8" ht="27" customHeight="1" x14ac:dyDescent="0.2">
      <c r="A4078" s="31" t="s">
        <v>5335</v>
      </c>
      <c r="B4078" s="32" t="s">
        <v>5336</v>
      </c>
      <c r="C4078" s="32" t="s">
        <v>763</v>
      </c>
      <c r="D4078" s="32" t="s">
        <v>1041</v>
      </c>
      <c r="E4078" s="33" t="s">
        <v>764</v>
      </c>
      <c r="F4078" s="34">
        <v>370611</v>
      </c>
      <c r="G4078" s="34">
        <v>370611</v>
      </c>
      <c r="H4078" s="35" t="s">
        <v>5337</v>
      </c>
    </row>
    <row r="4079" spans="1:8" ht="27" customHeight="1" x14ac:dyDescent="0.2">
      <c r="A4079" s="31" t="s">
        <v>5335</v>
      </c>
      <c r="B4079" s="32" t="s">
        <v>5336</v>
      </c>
      <c r="C4079" s="32" t="s">
        <v>763</v>
      </c>
      <c r="D4079" s="32" t="s">
        <v>1019</v>
      </c>
      <c r="E4079" s="33" t="s">
        <v>764</v>
      </c>
      <c r="F4079" s="34">
        <v>94</v>
      </c>
      <c r="G4079" s="34">
        <v>0</v>
      </c>
      <c r="H4079" s="35" t="s">
        <v>5338</v>
      </c>
    </row>
    <row r="4080" spans="1:8" ht="27" customHeight="1" x14ac:dyDescent="0.2">
      <c r="A4080" s="31" t="s">
        <v>5335</v>
      </c>
      <c r="B4080" s="32" t="s">
        <v>5336</v>
      </c>
      <c r="C4080" s="32" t="s">
        <v>763</v>
      </c>
      <c r="D4080" s="32" t="s">
        <v>5339</v>
      </c>
      <c r="E4080" s="33" t="s">
        <v>764</v>
      </c>
      <c r="F4080" s="34">
        <v>962833</v>
      </c>
      <c r="G4080" s="34">
        <v>695720</v>
      </c>
      <c r="H4080" s="35" t="s">
        <v>5340</v>
      </c>
    </row>
    <row r="4081" spans="1:8" ht="27" customHeight="1" x14ac:dyDescent="0.2">
      <c r="A4081" s="31" t="s">
        <v>5335</v>
      </c>
      <c r="B4081" s="32" t="s">
        <v>5336</v>
      </c>
      <c r="C4081" s="32" t="s">
        <v>770</v>
      </c>
      <c r="D4081" s="32" t="s">
        <v>820</v>
      </c>
      <c r="E4081" s="33" t="s">
        <v>772</v>
      </c>
      <c r="F4081" s="34">
        <v>189427</v>
      </c>
      <c r="G4081" s="34">
        <v>189427</v>
      </c>
      <c r="H4081" s="35" t="s">
        <v>5341</v>
      </c>
    </row>
    <row r="4082" spans="1:8" ht="27" customHeight="1" x14ac:dyDescent="0.2">
      <c r="A4082" s="31" t="s">
        <v>5335</v>
      </c>
      <c r="B4082" s="32" t="s">
        <v>5336</v>
      </c>
      <c r="C4082" s="32" t="s">
        <v>773</v>
      </c>
      <c r="D4082" s="32" t="s">
        <v>973</v>
      </c>
      <c r="E4082" s="33" t="s">
        <v>775</v>
      </c>
      <c r="F4082" s="34">
        <v>1062971</v>
      </c>
      <c r="G4082" s="34">
        <v>1068000</v>
      </c>
      <c r="H4082" s="35" t="s">
        <v>5342</v>
      </c>
    </row>
    <row r="4083" spans="1:8" ht="27" customHeight="1" x14ac:dyDescent="0.2">
      <c r="A4083" s="31" t="s">
        <v>5335</v>
      </c>
      <c r="B4083" s="32" t="s">
        <v>5336</v>
      </c>
      <c r="C4083" s="32" t="s">
        <v>796</v>
      </c>
      <c r="D4083" s="32" t="s">
        <v>811</v>
      </c>
      <c r="E4083" s="33" t="s">
        <v>823</v>
      </c>
      <c r="F4083" s="34">
        <v>4459721</v>
      </c>
      <c r="G4083" s="34">
        <v>4356638</v>
      </c>
      <c r="H4083" s="35" t="s">
        <v>5343</v>
      </c>
    </row>
    <row r="4084" spans="1:8" ht="27" customHeight="1" x14ac:dyDescent="0.2">
      <c r="A4084" s="31" t="s">
        <v>5335</v>
      </c>
      <c r="B4084" s="32" t="s">
        <v>5336</v>
      </c>
      <c r="C4084" s="32" t="s">
        <v>776</v>
      </c>
      <c r="D4084" s="32" t="s">
        <v>776</v>
      </c>
      <c r="E4084" s="33" t="s">
        <v>777</v>
      </c>
      <c r="F4084" s="34">
        <v>0</v>
      </c>
      <c r="G4084" s="34">
        <v>67025</v>
      </c>
      <c r="H4084" s="35" t="s">
        <v>5344</v>
      </c>
    </row>
    <row r="4085" spans="1:8" ht="27" customHeight="1" x14ac:dyDescent="0.2">
      <c r="A4085" s="31" t="s">
        <v>5335</v>
      </c>
      <c r="B4085" s="32" t="s">
        <v>5336</v>
      </c>
      <c r="C4085" s="32" t="s">
        <v>779</v>
      </c>
      <c r="D4085" s="32" t="s">
        <v>826</v>
      </c>
      <c r="E4085" s="33" t="s">
        <v>780</v>
      </c>
      <c r="F4085" s="34">
        <v>770690</v>
      </c>
      <c r="G4085" s="34">
        <v>770800</v>
      </c>
      <c r="H4085" s="35" t="s">
        <v>5345</v>
      </c>
    </row>
    <row r="4086" spans="1:8" ht="27" customHeight="1" x14ac:dyDescent="0.2">
      <c r="A4086" s="31" t="s">
        <v>5335</v>
      </c>
      <c r="B4086" s="32" t="s">
        <v>5336</v>
      </c>
      <c r="C4086" s="32" t="s">
        <v>782</v>
      </c>
      <c r="D4086" s="32" t="s">
        <v>813</v>
      </c>
      <c r="E4086" s="33" t="s">
        <v>784</v>
      </c>
      <c r="F4086" s="34">
        <v>1089237</v>
      </c>
      <c r="G4086" s="34">
        <v>1090500</v>
      </c>
      <c r="H4086" s="35" t="s">
        <v>5346</v>
      </c>
    </row>
    <row r="4087" spans="1:8" ht="27" customHeight="1" x14ac:dyDescent="0.2">
      <c r="A4087" s="31" t="s">
        <v>5347</v>
      </c>
      <c r="B4087" s="32" t="s">
        <v>5348</v>
      </c>
      <c r="C4087" s="32" t="s">
        <v>763</v>
      </c>
      <c r="D4087" s="32" t="s">
        <v>3974</v>
      </c>
      <c r="E4087" s="33" t="s">
        <v>764</v>
      </c>
      <c r="F4087" s="34">
        <v>372541</v>
      </c>
      <c r="G4087" s="34">
        <v>597541</v>
      </c>
      <c r="H4087" s="35" t="s">
        <v>5337</v>
      </c>
    </row>
    <row r="4088" spans="1:8" ht="27" customHeight="1" x14ac:dyDescent="0.2">
      <c r="A4088" s="31" t="s">
        <v>5347</v>
      </c>
      <c r="B4088" s="32" t="s">
        <v>5348</v>
      </c>
      <c r="C4088" s="32" t="s">
        <v>766</v>
      </c>
      <c r="D4088" s="32" t="s">
        <v>832</v>
      </c>
      <c r="E4088" s="33" t="s">
        <v>768</v>
      </c>
      <c r="F4088" s="34">
        <v>60300</v>
      </c>
      <c r="G4088" s="34">
        <v>60300</v>
      </c>
      <c r="H4088" s="35" t="s">
        <v>5349</v>
      </c>
    </row>
    <row r="4089" spans="1:8" ht="27" customHeight="1" x14ac:dyDescent="0.2">
      <c r="A4089" s="31" t="s">
        <v>5347</v>
      </c>
      <c r="B4089" s="32" t="s">
        <v>5348</v>
      </c>
      <c r="C4089" s="32" t="s">
        <v>770</v>
      </c>
      <c r="D4089" s="32" t="s">
        <v>3761</v>
      </c>
      <c r="E4089" s="33" t="s">
        <v>772</v>
      </c>
      <c r="F4089" s="34">
        <v>334207</v>
      </c>
      <c r="G4089" s="34">
        <v>294238</v>
      </c>
      <c r="H4089" s="35" t="s">
        <v>5350</v>
      </c>
    </row>
    <row r="4090" spans="1:8" ht="27" customHeight="1" x14ac:dyDescent="0.2">
      <c r="A4090" s="31" t="s">
        <v>5347</v>
      </c>
      <c r="B4090" s="32" t="s">
        <v>5348</v>
      </c>
      <c r="C4090" s="32" t="s">
        <v>844</v>
      </c>
      <c r="D4090" s="32" t="s">
        <v>972</v>
      </c>
      <c r="E4090" s="33" t="s">
        <v>846</v>
      </c>
      <c r="F4090" s="34">
        <v>496638</v>
      </c>
      <c r="G4090" s="34">
        <v>496638</v>
      </c>
      <c r="H4090" s="35" t="s">
        <v>5351</v>
      </c>
    </row>
    <row r="4091" spans="1:8" ht="27" customHeight="1" x14ac:dyDescent="0.2">
      <c r="A4091" s="31" t="s">
        <v>5347</v>
      </c>
      <c r="B4091" s="32" t="s">
        <v>5348</v>
      </c>
      <c r="C4091" s="32" t="s">
        <v>773</v>
      </c>
      <c r="D4091" s="32" t="s">
        <v>973</v>
      </c>
      <c r="E4091" s="33" t="s">
        <v>775</v>
      </c>
      <c r="F4091" s="34">
        <v>563683</v>
      </c>
      <c r="G4091" s="34">
        <v>563683</v>
      </c>
      <c r="H4091" s="35" t="s">
        <v>1112</v>
      </c>
    </row>
    <row r="4092" spans="1:8" ht="27" customHeight="1" x14ac:dyDescent="0.2">
      <c r="A4092" s="31" t="s">
        <v>5347</v>
      </c>
      <c r="B4092" s="32" t="s">
        <v>5348</v>
      </c>
      <c r="C4092" s="32" t="s">
        <v>860</v>
      </c>
      <c r="D4092" s="32" t="s">
        <v>3708</v>
      </c>
      <c r="E4092" s="33" t="s">
        <v>861</v>
      </c>
      <c r="F4092" s="34">
        <v>1053003</v>
      </c>
      <c r="G4092" s="34">
        <v>1353003</v>
      </c>
      <c r="H4092" s="35" t="s">
        <v>5352</v>
      </c>
    </row>
    <row r="4093" spans="1:8" ht="27" customHeight="1" x14ac:dyDescent="0.2">
      <c r="A4093" s="31" t="s">
        <v>5347</v>
      </c>
      <c r="B4093" s="32" t="s">
        <v>5348</v>
      </c>
      <c r="C4093" s="32" t="s">
        <v>796</v>
      </c>
      <c r="D4093" s="32" t="s">
        <v>1095</v>
      </c>
      <c r="E4093" s="33" t="s">
        <v>823</v>
      </c>
      <c r="F4093" s="34">
        <v>1480341</v>
      </c>
      <c r="G4093" s="34">
        <v>1480341</v>
      </c>
      <c r="H4093" s="35" t="s">
        <v>5353</v>
      </c>
    </row>
    <row r="4094" spans="1:8" ht="27" customHeight="1" x14ac:dyDescent="0.2">
      <c r="A4094" s="31" t="s">
        <v>5347</v>
      </c>
      <c r="B4094" s="32" t="s">
        <v>5348</v>
      </c>
      <c r="C4094" s="32" t="s">
        <v>776</v>
      </c>
      <c r="D4094" s="32" t="s">
        <v>3670</v>
      </c>
      <c r="E4094" s="33" t="s">
        <v>777</v>
      </c>
      <c r="F4094" s="34">
        <v>20000</v>
      </c>
      <c r="G4094" s="34">
        <v>20000</v>
      </c>
      <c r="H4094" s="35" t="s">
        <v>1112</v>
      </c>
    </row>
    <row r="4095" spans="1:8" ht="27" customHeight="1" x14ac:dyDescent="0.2">
      <c r="A4095" s="31" t="s">
        <v>5347</v>
      </c>
      <c r="B4095" s="32" t="s">
        <v>5348</v>
      </c>
      <c r="C4095" s="32" t="s">
        <v>798</v>
      </c>
      <c r="D4095" s="32" t="s">
        <v>799</v>
      </c>
      <c r="E4095" s="33" t="s">
        <v>800</v>
      </c>
      <c r="F4095" s="34">
        <v>107868</v>
      </c>
      <c r="G4095" s="34">
        <v>107868</v>
      </c>
      <c r="H4095" s="35" t="s">
        <v>5354</v>
      </c>
    </row>
    <row r="4096" spans="1:8" ht="27" customHeight="1" x14ac:dyDescent="0.2">
      <c r="A4096" s="31" t="s">
        <v>5347</v>
      </c>
      <c r="B4096" s="32" t="s">
        <v>5348</v>
      </c>
      <c r="C4096" s="32" t="s">
        <v>779</v>
      </c>
      <c r="D4096" s="32" t="s">
        <v>5355</v>
      </c>
      <c r="E4096" s="33" t="s">
        <v>780</v>
      </c>
      <c r="F4096" s="34">
        <v>85747</v>
      </c>
      <c r="G4096" s="34">
        <v>85747</v>
      </c>
      <c r="H4096" s="35" t="s">
        <v>5354</v>
      </c>
    </row>
    <row r="4097" spans="1:8" ht="27" customHeight="1" x14ac:dyDescent="0.2">
      <c r="A4097" s="31" t="s">
        <v>5347</v>
      </c>
      <c r="B4097" s="32" t="s">
        <v>5348</v>
      </c>
      <c r="C4097" s="32" t="s">
        <v>782</v>
      </c>
      <c r="D4097" s="32" t="s">
        <v>5356</v>
      </c>
      <c r="E4097" s="33" t="s">
        <v>784</v>
      </c>
      <c r="F4097" s="34">
        <v>311451</v>
      </c>
      <c r="G4097" s="34">
        <v>311451</v>
      </c>
      <c r="H4097" s="35" t="s">
        <v>5357</v>
      </c>
    </row>
    <row r="4098" spans="1:8" ht="27" customHeight="1" x14ac:dyDescent="0.2">
      <c r="A4098" s="31" t="s">
        <v>5358</v>
      </c>
      <c r="B4098" s="32" t="s">
        <v>5359</v>
      </c>
      <c r="C4098" s="32" t="s">
        <v>763</v>
      </c>
      <c r="D4098" s="32" t="s">
        <v>5360</v>
      </c>
      <c r="E4098" s="33" t="s">
        <v>764</v>
      </c>
      <c r="F4098" s="34">
        <v>800000</v>
      </c>
      <c r="G4098" s="34">
        <v>900000</v>
      </c>
      <c r="H4098" s="35" t="s">
        <v>1421</v>
      </c>
    </row>
    <row r="4099" spans="1:8" ht="27" customHeight="1" x14ac:dyDescent="0.2">
      <c r="A4099" s="31" t="s">
        <v>5358</v>
      </c>
      <c r="B4099" s="32" t="s">
        <v>5359</v>
      </c>
      <c r="C4099" s="32" t="s">
        <v>763</v>
      </c>
      <c r="D4099" s="32" t="s">
        <v>1665</v>
      </c>
      <c r="E4099" s="33" t="s">
        <v>764</v>
      </c>
      <c r="F4099" s="34">
        <v>482151</v>
      </c>
      <c r="G4099" s="34">
        <v>500000</v>
      </c>
      <c r="H4099" s="35" t="s">
        <v>5361</v>
      </c>
    </row>
    <row r="4100" spans="1:8" ht="27" customHeight="1" x14ac:dyDescent="0.2">
      <c r="A4100" s="31" t="s">
        <v>5358</v>
      </c>
      <c r="B4100" s="32" t="s">
        <v>5359</v>
      </c>
      <c r="C4100" s="32" t="s">
        <v>766</v>
      </c>
      <c r="D4100" s="32" t="s">
        <v>767</v>
      </c>
      <c r="E4100" s="33" t="s">
        <v>768</v>
      </c>
      <c r="F4100" s="34">
        <v>826215</v>
      </c>
      <c r="G4100" s="34">
        <v>830000</v>
      </c>
      <c r="H4100" s="35" t="s">
        <v>1421</v>
      </c>
    </row>
    <row r="4101" spans="1:8" ht="27" customHeight="1" x14ac:dyDescent="0.2">
      <c r="A4101" s="31" t="s">
        <v>5358</v>
      </c>
      <c r="B4101" s="32" t="s">
        <v>5359</v>
      </c>
      <c r="C4101" s="32" t="s">
        <v>770</v>
      </c>
      <c r="D4101" s="32" t="s">
        <v>5362</v>
      </c>
      <c r="E4101" s="33" t="s">
        <v>772</v>
      </c>
      <c r="F4101" s="34">
        <v>368355</v>
      </c>
      <c r="G4101" s="34">
        <v>368355</v>
      </c>
      <c r="H4101" s="35" t="s">
        <v>1421</v>
      </c>
    </row>
    <row r="4102" spans="1:8" ht="27" customHeight="1" x14ac:dyDescent="0.2">
      <c r="A4102" s="31" t="s">
        <v>5358</v>
      </c>
      <c r="B4102" s="32" t="s">
        <v>5359</v>
      </c>
      <c r="C4102" s="32" t="s">
        <v>844</v>
      </c>
      <c r="D4102" s="32" t="s">
        <v>844</v>
      </c>
      <c r="E4102" s="33" t="s">
        <v>846</v>
      </c>
      <c r="F4102" s="34">
        <v>404885</v>
      </c>
      <c r="G4102" s="34">
        <v>404885</v>
      </c>
      <c r="H4102" s="35" t="s">
        <v>1421</v>
      </c>
    </row>
    <row r="4103" spans="1:8" ht="27" customHeight="1" x14ac:dyDescent="0.2">
      <c r="A4103" s="31" t="s">
        <v>5358</v>
      </c>
      <c r="B4103" s="32" t="s">
        <v>5359</v>
      </c>
      <c r="C4103" s="32" t="s">
        <v>796</v>
      </c>
      <c r="D4103" s="32" t="s">
        <v>796</v>
      </c>
      <c r="E4103" s="33" t="s">
        <v>772</v>
      </c>
      <c r="F4103" s="34">
        <v>588125</v>
      </c>
      <c r="G4103" s="34">
        <v>688125</v>
      </c>
      <c r="H4103" s="35" t="s">
        <v>1421</v>
      </c>
    </row>
    <row r="4104" spans="1:8" ht="27" customHeight="1" x14ac:dyDescent="0.2">
      <c r="A4104" s="31" t="s">
        <v>5358</v>
      </c>
      <c r="B4104" s="32" t="s">
        <v>5359</v>
      </c>
      <c r="C4104" s="32" t="s">
        <v>779</v>
      </c>
      <c r="D4104" s="32" t="s">
        <v>2469</v>
      </c>
      <c r="E4104" s="33" t="s">
        <v>780</v>
      </c>
      <c r="F4104" s="34">
        <v>372884</v>
      </c>
      <c r="G4104" s="34">
        <v>372884</v>
      </c>
      <c r="H4104" s="35" t="s">
        <v>1421</v>
      </c>
    </row>
    <row r="4105" spans="1:8" ht="27" customHeight="1" x14ac:dyDescent="0.2">
      <c r="A4105" s="31" t="s">
        <v>5358</v>
      </c>
      <c r="B4105" s="32" t="s">
        <v>5359</v>
      </c>
      <c r="C4105" s="32" t="s">
        <v>782</v>
      </c>
      <c r="D4105" s="32" t="s">
        <v>782</v>
      </c>
      <c r="E4105" s="33" t="s">
        <v>784</v>
      </c>
      <c r="F4105" s="34">
        <v>50240</v>
      </c>
      <c r="G4105" s="34">
        <v>50240</v>
      </c>
      <c r="H4105" s="35" t="s">
        <v>1421</v>
      </c>
    </row>
    <row r="4106" spans="1:8" ht="27" customHeight="1" x14ac:dyDescent="0.2">
      <c r="A4106" s="31" t="s">
        <v>5363</v>
      </c>
      <c r="B4106" s="32" t="s">
        <v>5364</v>
      </c>
      <c r="C4106" s="32" t="s">
        <v>763</v>
      </c>
      <c r="D4106" s="32" t="s">
        <v>933</v>
      </c>
      <c r="E4106" s="33" t="s">
        <v>764</v>
      </c>
      <c r="F4106" s="34">
        <v>1626004</v>
      </c>
      <c r="G4106" s="34">
        <v>1724878</v>
      </c>
      <c r="H4106" s="35" t="s">
        <v>5365</v>
      </c>
    </row>
    <row r="4107" spans="1:8" ht="27" customHeight="1" x14ac:dyDescent="0.2">
      <c r="A4107" s="31" t="s">
        <v>5363</v>
      </c>
      <c r="B4107" s="32" t="s">
        <v>5364</v>
      </c>
      <c r="C4107" s="32" t="s">
        <v>763</v>
      </c>
      <c r="D4107" s="32" t="s">
        <v>4770</v>
      </c>
      <c r="E4107" s="33" t="s">
        <v>764</v>
      </c>
      <c r="F4107" s="34">
        <v>677853</v>
      </c>
      <c r="G4107" s="34">
        <v>677853</v>
      </c>
      <c r="H4107" s="35" t="s">
        <v>5366</v>
      </c>
    </row>
    <row r="4108" spans="1:8" ht="27" customHeight="1" x14ac:dyDescent="0.2">
      <c r="A4108" s="31" t="s">
        <v>5363</v>
      </c>
      <c r="B4108" s="32" t="s">
        <v>5364</v>
      </c>
      <c r="C4108" s="32" t="s">
        <v>763</v>
      </c>
      <c r="D4108" s="32" t="s">
        <v>4028</v>
      </c>
      <c r="E4108" s="33" t="s">
        <v>764</v>
      </c>
      <c r="F4108" s="34">
        <v>0</v>
      </c>
      <c r="G4108" s="34">
        <v>500000</v>
      </c>
      <c r="H4108" s="35" t="s">
        <v>5366</v>
      </c>
    </row>
    <row r="4109" spans="1:8" ht="27" customHeight="1" x14ac:dyDescent="0.2">
      <c r="A4109" s="31" t="s">
        <v>5363</v>
      </c>
      <c r="B4109" s="32" t="s">
        <v>5364</v>
      </c>
      <c r="C4109" s="32" t="s">
        <v>770</v>
      </c>
      <c r="D4109" s="32" t="s">
        <v>919</v>
      </c>
      <c r="E4109" s="33" t="s">
        <v>772</v>
      </c>
      <c r="F4109" s="34">
        <v>836117</v>
      </c>
      <c r="G4109" s="34">
        <v>836117</v>
      </c>
      <c r="H4109" s="35" t="s">
        <v>5366</v>
      </c>
    </row>
    <row r="4110" spans="1:8" ht="27" customHeight="1" x14ac:dyDescent="0.2">
      <c r="A4110" s="31" t="s">
        <v>5363</v>
      </c>
      <c r="B4110" s="32" t="s">
        <v>5364</v>
      </c>
      <c r="C4110" s="32" t="s">
        <v>796</v>
      </c>
      <c r="D4110" s="32" t="s">
        <v>1314</v>
      </c>
      <c r="E4110" s="33" t="s">
        <v>823</v>
      </c>
      <c r="F4110" s="34">
        <v>773925</v>
      </c>
      <c r="G4110" s="34">
        <v>773925</v>
      </c>
      <c r="H4110" s="35" t="s">
        <v>5366</v>
      </c>
    </row>
    <row r="4111" spans="1:8" ht="27" customHeight="1" x14ac:dyDescent="0.2">
      <c r="A4111" s="31" t="s">
        <v>5363</v>
      </c>
      <c r="B4111" s="32" t="s">
        <v>5364</v>
      </c>
      <c r="C4111" s="32" t="s">
        <v>779</v>
      </c>
      <c r="D4111" s="32" t="s">
        <v>876</v>
      </c>
      <c r="E4111" s="33" t="s">
        <v>780</v>
      </c>
      <c r="F4111" s="34">
        <v>80428</v>
      </c>
      <c r="G4111" s="34">
        <v>80428</v>
      </c>
      <c r="H4111" s="35" t="s">
        <v>5367</v>
      </c>
    </row>
    <row r="4112" spans="1:8" ht="27" customHeight="1" x14ac:dyDescent="0.2">
      <c r="A4112" s="31" t="s">
        <v>5368</v>
      </c>
      <c r="B4112" s="32" t="s">
        <v>5369</v>
      </c>
      <c r="C4112" s="32" t="s">
        <v>763</v>
      </c>
      <c r="D4112" s="32" t="s">
        <v>5370</v>
      </c>
      <c r="E4112" s="33" t="s">
        <v>764</v>
      </c>
      <c r="F4112" s="34">
        <v>1059330</v>
      </c>
      <c r="G4112" s="34">
        <v>1059330</v>
      </c>
      <c r="H4112" s="35" t="s">
        <v>5371</v>
      </c>
    </row>
    <row r="4113" spans="1:8" ht="27" customHeight="1" x14ac:dyDescent="0.2">
      <c r="A4113" s="31" t="s">
        <v>5368</v>
      </c>
      <c r="B4113" s="32" t="s">
        <v>5369</v>
      </c>
      <c r="C4113" s="32" t="s">
        <v>763</v>
      </c>
      <c r="D4113" s="32" t="s">
        <v>5372</v>
      </c>
      <c r="E4113" s="33" t="s">
        <v>764</v>
      </c>
      <c r="F4113" s="34">
        <v>0</v>
      </c>
      <c r="G4113" s="34">
        <v>797280</v>
      </c>
      <c r="H4113" s="35" t="s">
        <v>5373</v>
      </c>
    </row>
    <row r="4114" spans="1:8" ht="27" customHeight="1" x14ac:dyDescent="0.2">
      <c r="A4114" s="31" t="s">
        <v>5368</v>
      </c>
      <c r="B4114" s="32" t="s">
        <v>5369</v>
      </c>
      <c r="C4114" s="32" t="s">
        <v>766</v>
      </c>
      <c r="D4114" s="32" t="s">
        <v>832</v>
      </c>
      <c r="E4114" s="33" t="s">
        <v>768</v>
      </c>
      <c r="F4114" s="34">
        <v>169595</v>
      </c>
      <c r="G4114" s="34">
        <v>169595</v>
      </c>
      <c r="H4114" s="35" t="s">
        <v>5374</v>
      </c>
    </row>
    <row r="4115" spans="1:8" ht="27" customHeight="1" x14ac:dyDescent="0.2">
      <c r="A4115" s="31" t="s">
        <v>5368</v>
      </c>
      <c r="B4115" s="32" t="s">
        <v>5369</v>
      </c>
      <c r="C4115" s="32" t="s">
        <v>770</v>
      </c>
      <c r="D4115" s="32" t="s">
        <v>820</v>
      </c>
      <c r="E4115" s="33" t="s">
        <v>772</v>
      </c>
      <c r="F4115" s="34">
        <v>167997</v>
      </c>
      <c r="G4115" s="34">
        <v>567997</v>
      </c>
      <c r="H4115" s="35" t="s">
        <v>5374</v>
      </c>
    </row>
    <row r="4116" spans="1:8" ht="27" customHeight="1" x14ac:dyDescent="0.2">
      <c r="A4116" s="31" t="s">
        <v>5368</v>
      </c>
      <c r="B4116" s="32" t="s">
        <v>5369</v>
      </c>
      <c r="C4116" s="32" t="s">
        <v>844</v>
      </c>
      <c r="D4116" s="32" t="s">
        <v>5375</v>
      </c>
      <c r="E4116" s="33" t="s">
        <v>846</v>
      </c>
      <c r="F4116" s="34">
        <v>1246281</v>
      </c>
      <c r="G4116" s="34">
        <v>1246281</v>
      </c>
      <c r="H4116" s="35" t="s">
        <v>5376</v>
      </c>
    </row>
    <row r="4117" spans="1:8" ht="27" customHeight="1" x14ac:dyDescent="0.2">
      <c r="A4117" s="31" t="s">
        <v>5368</v>
      </c>
      <c r="B4117" s="32" t="s">
        <v>5369</v>
      </c>
      <c r="C4117" s="32" t="s">
        <v>773</v>
      </c>
      <c r="D4117" s="32" t="s">
        <v>973</v>
      </c>
      <c r="E4117" s="33" t="s">
        <v>775</v>
      </c>
      <c r="F4117" s="34">
        <v>1246381</v>
      </c>
      <c r="G4117" s="34">
        <v>1246381</v>
      </c>
      <c r="H4117" s="35" t="s">
        <v>5377</v>
      </c>
    </row>
    <row r="4118" spans="1:8" ht="27" customHeight="1" x14ac:dyDescent="0.2">
      <c r="A4118" s="31" t="s">
        <v>5368</v>
      </c>
      <c r="B4118" s="32" t="s">
        <v>5369</v>
      </c>
      <c r="C4118" s="32" t="s">
        <v>796</v>
      </c>
      <c r="D4118" s="32" t="s">
        <v>835</v>
      </c>
      <c r="E4118" s="33" t="s">
        <v>772</v>
      </c>
      <c r="F4118" s="34">
        <v>3667001</v>
      </c>
      <c r="G4118" s="34">
        <v>3667001</v>
      </c>
      <c r="H4118" s="35" t="s">
        <v>5374</v>
      </c>
    </row>
    <row r="4119" spans="1:8" ht="27" customHeight="1" x14ac:dyDescent="0.2">
      <c r="A4119" s="31" t="s">
        <v>5368</v>
      </c>
      <c r="B4119" s="32" t="s">
        <v>5369</v>
      </c>
      <c r="C4119" s="32" t="s">
        <v>776</v>
      </c>
      <c r="D4119" s="32" t="s">
        <v>812</v>
      </c>
      <c r="E4119" s="33" t="s">
        <v>777</v>
      </c>
      <c r="F4119" s="34">
        <v>143662</v>
      </c>
      <c r="G4119" s="34">
        <v>143662</v>
      </c>
      <c r="H4119" s="35" t="s">
        <v>5378</v>
      </c>
    </row>
    <row r="4120" spans="1:8" ht="27" customHeight="1" x14ac:dyDescent="0.2">
      <c r="A4120" s="31" t="s">
        <v>5368</v>
      </c>
      <c r="B4120" s="32" t="s">
        <v>5369</v>
      </c>
      <c r="C4120" s="32" t="s">
        <v>779</v>
      </c>
      <c r="D4120" s="32" t="s">
        <v>876</v>
      </c>
      <c r="E4120" s="33" t="s">
        <v>780</v>
      </c>
      <c r="F4120" s="34">
        <v>505535</v>
      </c>
      <c r="G4120" s="34">
        <v>255534</v>
      </c>
      <c r="H4120" s="35" t="s">
        <v>5374</v>
      </c>
    </row>
    <row r="4121" spans="1:8" ht="27" customHeight="1" x14ac:dyDescent="0.2">
      <c r="A4121" s="31" t="s">
        <v>5368</v>
      </c>
      <c r="B4121" s="32" t="s">
        <v>5369</v>
      </c>
      <c r="C4121" s="32" t="s">
        <v>782</v>
      </c>
      <c r="D4121" s="32" t="s">
        <v>1391</v>
      </c>
      <c r="E4121" s="33" t="s">
        <v>784</v>
      </c>
      <c r="F4121" s="34">
        <v>541534</v>
      </c>
      <c r="G4121" s="34">
        <v>391534</v>
      </c>
      <c r="H4121" s="35" t="s">
        <v>5374</v>
      </c>
    </row>
    <row r="4122" spans="1:8" ht="27" customHeight="1" x14ac:dyDescent="0.2">
      <c r="A4122" s="31" t="s">
        <v>5379</v>
      </c>
      <c r="B4122" s="32" t="s">
        <v>5380</v>
      </c>
      <c r="C4122" s="32" t="s">
        <v>763</v>
      </c>
      <c r="D4122" s="32" t="s">
        <v>5381</v>
      </c>
      <c r="E4122" s="33" t="s">
        <v>764</v>
      </c>
      <c r="F4122" s="34">
        <v>50891</v>
      </c>
      <c r="G4122" s="34">
        <v>50891</v>
      </c>
      <c r="H4122" s="35" t="s">
        <v>5382</v>
      </c>
    </row>
    <row r="4123" spans="1:8" ht="27" customHeight="1" x14ac:dyDescent="0.2">
      <c r="A4123" s="31" t="s">
        <v>5379</v>
      </c>
      <c r="B4123" s="32" t="s">
        <v>5380</v>
      </c>
      <c r="C4123" s="32" t="s">
        <v>763</v>
      </c>
      <c r="D4123" s="32" t="s">
        <v>5383</v>
      </c>
      <c r="E4123" s="33" t="s">
        <v>764</v>
      </c>
      <c r="F4123" s="34">
        <v>0</v>
      </c>
      <c r="G4123" s="34">
        <v>200000</v>
      </c>
      <c r="H4123" s="35" t="s">
        <v>5384</v>
      </c>
    </row>
    <row r="4124" spans="1:8" ht="27" customHeight="1" x14ac:dyDescent="0.2">
      <c r="A4124" s="31" t="s">
        <v>5379</v>
      </c>
      <c r="B4124" s="32" t="s">
        <v>5380</v>
      </c>
      <c r="C4124" s="32" t="s">
        <v>763</v>
      </c>
      <c r="D4124" s="32" t="s">
        <v>5385</v>
      </c>
      <c r="E4124" s="33" t="s">
        <v>764</v>
      </c>
      <c r="F4124" s="34">
        <v>0</v>
      </c>
      <c r="G4124" s="34">
        <v>0</v>
      </c>
      <c r="H4124" s="35" t="s">
        <v>5386</v>
      </c>
    </row>
    <row r="4125" spans="1:8" ht="27" customHeight="1" x14ac:dyDescent="0.2">
      <c r="A4125" s="31" t="s">
        <v>5379</v>
      </c>
      <c r="B4125" s="32" t="s">
        <v>5380</v>
      </c>
      <c r="C4125" s="32" t="s">
        <v>763</v>
      </c>
      <c r="D4125" s="32" t="s">
        <v>5387</v>
      </c>
      <c r="E4125" s="33" t="s">
        <v>764</v>
      </c>
      <c r="F4125" s="34">
        <v>764786</v>
      </c>
      <c r="G4125" s="34">
        <v>764786</v>
      </c>
      <c r="H4125" s="35" t="s">
        <v>5382</v>
      </c>
    </row>
    <row r="4126" spans="1:8" ht="27" customHeight="1" x14ac:dyDescent="0.2">
      <c r="A4126" s="31" t="s">
        <v>5379</v>
      </c>
      <c r="B4126" s="32" t="s">
        <v>5380</v>
      </c>
      <c r="C4126" s="32" t="s">
        <v>770</v>
      </c>
      <c r="D4126" s="32" t="s">
        <v>1121</v>
      </c>
      <c r="E4126" s="33" t="s">
        <v>772</v>
      </c>
      <c r="F4126" s="34">
        <v>359795</v>
      </c>
      <c r="G4126" s="34">
        <v>320000</v>
      </c>
      <c r="H4126" s="35" t="s">
        <v>5388</v>
      </c>
    </row>
    <row r="4127" spans="1:8" ht="27" customHeight="1" x14ac:dyDescent="0.2">
      <c r="A4127" s="31" t="s">
        <v>5379</v>
      </c>
      <c r="B4127" s="32" t="s">
        <v>5380</v>
      </c>
      <c r="C4127" s="32" t="s">
        <v>844</v>
      </c>
      <c r="D4127" s="32" t="s">
        <v>1162</v>
      </c>
      <c r="E4127" s="33" t="s">
        <v>846</v>
      </c>
      <c r="F4127" s="34">
        <v>1000000</v>
      </c>
      <c r="G4127" s="34">
        <v>900000</v>
      </c>
      <c r="H4127" s="35" t="s">
        <v>5389</v>
      </c>
    </row>
    <row r="4128" spans="1:8" ht="27" customHeight="1" x14ac:dyDescent="0.2">
      <c r="A4128" s="31" t="s">
        <v>5379</v>
      </c>
      <c r="B4128" s="32" t="s">
        <v>5380</v>
      </c>
      <c r="C4128" s="32" t="s">
        <v>773</v>
      </c>
      <c r="D4128" s="32" t="s">
        <v>1025</v>
      </c>
      <c r="E4128" s="33" t="s">
        <v>775</v>
      </c>
      <c r="F4128" s="34">
        <v>1000479</v>
      </c>
      <c r="G4128" s="34">
        <v>1000479</v>
      </c>
      <c r="H4128" s="35" t="s">
        <v>5390</v>
      </c>
    </row>
    <row r="4129" spans="1:8" ht="27" customHeight="1" x14ac:dyDescent="0.2">
      <c r="A4129" s="31" t="s">
        <v>5379</v>
      </c>
      <c r="B4129" s="32" t="s">
        <v>5380</v>
      </c>
      <c r="C4129" s="32" t="s">
        <v>860</v>
      </c>
      <c r="D4129" s="32" t="s">
        <v>1027</v>
      </c>
      <c r="E4129" s="33" t="s">
        <v>861</v>
      </c>
      <c r="F4129" s="34">
        <v>575655</v>
      </c>
      <c r="G4129" s="34">
        <v>700655</v>
      </c>
      <c r="H4129" s="35" t="s">
        <v>5391</v>
      </c>
    </row>
    <row r="4130" spans="1:8" ht="27" customHeight="1" x14ac:dyDescent="0.2">
      <c r="A4130" s="31" t="s">
        <v>5379</v>
      </c>
      <c r="B4130" s="32" t="s">
        <v>5380</v>
      </c>
      <c r="C4130" s="32" t="s">
        <v>796</v>
      </c>
      <c r="D4130" s="32" t="s">
        <v>954</v>
      </c>
      <c r="E4130" s="33" t="s">
        <v>823</v>
      </c>
      <c r="F4130" s="34">
        <v>548721</v>
      </c>
      <c r="G4130" s="34">
        <v>548721</v>
      </c>
      <c r="H4130" s="35" t="s">
        <v>5382</v>
      </c>
    </row>
    <row r="4131" spans="1:8" ht="27" customHeight="1" x14ac:dyDescent="0.2">
      <c r="A4131" s="31" t="s">
        <v>5379</v>
      </c>
      <c r="B4131" s="32" t="s">
        <v>5380</v>
      </c>
      <c r="C4131" s="32" t="s">
        <v>776</v>
      </c>
      <c r="D4131" s="32" t="s">
        <v>914</v>
      </c>
      <c r="E4131" s="33" t="s">
        <v>777</v>
      </c>
      <c r="F4131" s="34">
        <v>217678</v>
      </c>
      <c r="G4131" s="34">
        <v>217678</v>
      </c>
      <c r="H4131" s="35" t="s">
        <v>5392</v>
      </c>
    </row>
    <row r="4132" spans="1:8" ht="27" customHeight="1" x14ac:dyDescent="0.2">
      <c r="A4132" s="31" t="s">
        <v>5379</v>
      </c>
      <c r="B4132" s="32" t="s">
        <v>5380</v>
      </c>
      <c r="C4132" s="32" t="s">
        <v>779</v>
      </c>
      <c r="D4132" s="32" t="s">
        <v>927</v>
      </c>
      <c r="E4132" s="33" t="s">
        <v>780</v>
      </c>
      <c r="F4132" s="34">
        <v>554456</v>
      </c>
      <c r="G4132" s="34">
        <v>545000</v>
      </c>
      <c r="H4132" s="35" t="s">
        <v>5393</v>
      </c>
    </row>
    <row r="4133" spans="1:8" ht="27" customHeight="1" x14ac:dyDescent="0.2">
      <c r="A4133" s="31" t="s">
        <v>5379</v>
      </c>
      <c r="B4133" s="32" t="s">
        <v>5380</v>
      </c>
      <c r="C4133" s="32" t="s">
        <v>782</v>
      </c>
      <c r="D4133" s="32" t="s">
        <v>1539</v>
      </c>
      <c r="E4133" s="33" t="s">
        <v>784</v>
      </c>
      <c r="F4133" s="34">
        <v>260000</v>
      </c>
      <c r="G4133" s="34">
        <v>260000</v>
      </c>
      <c r="H4133" s="35" t="s">
        <v>5394</v>
      </c>
    </row>
    <row r="4134" spans="1:8" ht="27" customHeight="1" x14ac:dyDescent="0.2">
      <c r="A4134" s="31" t="s">
        <v>5395</v>
      </c>
      <c r="B4134" s="32" t="s">
        <v>5396</v>
      </c>
      <c r="C4134" s="32" t="s">
        <v>763</v>
      </c>
      <c r="D4134" s="32" t="s">
        <v>5397</v>
      </c>
      <c r="E4134" s="33" t="s">
        <v>764</v>
      </c>
      <c r="F4134" s="34">
        <v>157246</v>
      </c>
      <c r="G4134" s="34">
        <v>287246</v>
      </c>
      <c r="H4134" s="35" t="s">
        <v>5398</v>
      </c>
    </row>
    <row r="4135" spans="1:8" ht="27" customHeight="1" x14ac:dyDescent="0.2">
      <c r="A4135" s="31" t="s">
        <v>5395</v>
      </c>
      <c r="B4135" s="32" t="s">
        <v>5396</v>
      </c>
      <c r="C4135" s="32" t="s">
        <v>763</v>
      </c>
      <c r="D4135" s="32" t="s">
        <v>5399</v>
      </c>
      <c r="E4135" s="33" t="s">
        <v>764</v>
      </c>
      <c r="F4135" s="34">
        <v>10107</v>
      </c>
      <c r="G4135" s="34">
        <v>25000</v>
      </c>
      <c r="H4135" s="35" t="s">
        <v>5400</v>
      </c>
    </row>
    <row r="4136" spans="1:8" ht="27" customHeight="1" x14ac:dyDescent="0.2">
      <c r="A4136" s="31" t="s">
        <v>5395</v>
      </c>
      <c r="B4136" s="32" t="s">
        <v>5396</v>
      </c>
      <c r="C4136" s="32" t="s">
        <v>766</v>
      </c>
      <c r="D4136" s="32" t="s">
        <v>765</v>
      </c>
      <c r="E4136" s="33" t="s">
        <v>768</v>
      </c>
      <c r="F4136" s="34">
        <v>0</v>
      </c>
      <c r="G4136" s="34">
        <v>0</v>
      </c>
      <c r="H4136" s="35" t="s">
        <v>765</v>
      </c>
    </row>
    <row r="4137" spans="1:8" ht="27" customHeight="1" x14ac:dyDescent="0.2">
      <c r="A4137" s="31" t="s">
        <v>5395</v>
      </c>
      <c r="B4137" s="32" t="s">
        <v>5396</v>
      </c>
      <c r="C4137" s="32" t="s">
        <v>770</v>
      </c>
      <c r="D4137" s="32" t="s">
        <v>919</v>
      </c>
      <c r="E4137" s="33" t="s">
        <v>772</v>
      </c>
      <c r="F4137" s="34">
        <v>220862</v>
      </c>
      <c r="G4137" s="34">
        <v>210000</v>
      </c>
      <c r="H4137" s="35" t="s">
        <v>5400</v>
      </c>
    </row>
    <row r="4138" spans="1:8" ht="27" customHeight="1" x14ac:dyDescent="0.2">
      <c r="A4138" s="31" t="s">
        <v>5395</v>
      </c>
      <c r="B4138" s="32" t="s">
        <v>5396</v>
      </c>
      <c r="C4138" s="32" t="s">
        <v>884</v>
      </c>
      <c r="D4138" s="32" t="s">
        <v>765</v>
      </c>
      <c r="E4138" s="33" t="s">
        <v>885</v>
      </c>
      <c r="F4138" s="34">
        <v>0</v>
      </c>
      <c r="G4138" s="34">
        <v>0</v>
      </c>
      <c r="H4138" s="35" t="s">
        <v>765</v>
      </c>
    </row>
    <row r="4139" spans="1:8" ht="27" customHeight="1" x14ac:dyDescent="0.2">
      <c r="A4139" s="31" t="s">
        <v>5395</v>
      </c>
      <c r="B4139" s="32" t="s">
        <v>5396</v>
      </c>
      <c r="C4139" s="32" t="s">
        <v>844</v>
      </c>
      <c r="D4139" s="32" t="s">
        <v>972</v>
      </c>
      <c r="E4139" s="33" t="s">
        <v>846</v>
      </c>
      <c r="F4139" s="34">
        <v>90258</v>
      </c>
      <c r="G4139" s="34">
        <v>90300</v>
      </c>
      <c r="H4139" s="35" t="s">
        <v>5400</v>
      </c>
    </row>
    <row r="4140" spans="1:8" ht="27" customHeight="1" x14ac:dyDescent="0.2">
      <c r="A4140" s="31" t="s">
        <v>5395</v>
      </c>
      <c r="B4140" s="32" t="s">
        <v>5396</v>
      </c>
      <c r="C4140" s="32" t="s">
        <v>773</v>
      </c>
      <c r="D4140" s="32" t="s">
        <v>765</v>
      </c>
      <c r="E4140" s="33" t="s">
        <v>775</v>
      </c>
      <c r="F4140" s="34">
        <v>0</v>
      </c>
      <c r="G4140" s="34">
        <v>0</v>
      </c>
      <c r="H4140" s="35" t="s">
        <v>765</v>
      </c>
    </row>
    <row r="4141" spans="1:8" ht="27" customHeight="1" x14ac:dyDescent="0.2">
      <c r="A4141" s="31" t="s">
        <v>5395</v>
      </c>
      <c r="B4141" s="32" t="s">
        <v>5396</v>
      </c>
      <c r="C4141" s="32" t="s">
        <v>886</v>
      </c>
      <c r="D4141" s="32" t="s">
        <v>765</v>
      </c>
      <c r="E4141" s="33" t="s">
        <v>887</v>
      </c>
      <c r="F4141" s="34">
        <v>0</v>
      </c>
      <c r="G4141" s="34">
        <v>0</v>
      </c>
      <c r="H4141" s="35" t="s">
        <v>765</v>
      </c>
    </row>
    <row r="4142" spans="1:8" ht="27" customHeight="1" x14ac:dyDescent="0.2">
      <c r="A4142" s="31" t="s">
        <v>5395</v>
      </c>
      <c r="B4142" s="32" t="s">
        <v>5396</v>
      </c>
      <c r="C4142" s="32" t="s">
        <v>860</v>
      </c>
      <c r="D4142" s="32" t="s">
        <v>765</v>
      </c>
      <c r="E4142" s="33" t="s">
        <v>861</v>
      </c>
      <c r="F4142" s="34">
        <v>0</v>
      </c>
      <c r="G4142" s="34">
        <v>0</v>
      </c>
      <c r="H4142" s="35" t="s">
        <v>765</v>
      </c>
    </row>
    <row r="4143" spans="1:8" ht="27" customHeight="1" x14ac:dyDescent="0.2">
      <c r="A4143" s="31" t="s">
        <v>5395</v>
      </c>
      <c r="B4143" s="32" t="s">
        <v>5396</v>
      </c>
      <c r="C4143" s="32" t="s">
        <v>796</v>
      </c>
      <c r="D4143" s="32" t="s">
        <v>811</v>
      </c>
      <c r="E4143" s="33" t="s">
        <v>823</v>
      </c>
      <c r="F4143" s="34">
        <v>181241</v>
      </c>
      <c r="G4143" s="34">
        <v>181250</v>
      </c>
      <c r="H4143" s="35" t="s">
        <v>5400</v>
      </c>
    </row>
    <row r="4144" spans="1:8" ht="27" customHeight="1" x14ac:dyDescent="0.2">
      <c r="A4144" s="31" t="s">
        <v>5395</v>
      </c>
      <c r="B4144" s="32" t="s">
        <v>5396</v>
      </c>
      <c r="C4144" s="32" t="s">
        <v>776</v>
      </c>
      <c r="D4144" s="32" t="s">
        <v>5401</v>
      </c>
      <c r="E4144" s="33" t="s">
        <v>777</v>
      </c>
      <c r="F4144" s="34">
        <v>0</v>
      </c>
      <c r="G4144" s="34">
        <v>62000</v>
      </c>
      <c r="H4144" s="35" t="s">
        <v>5402</v>
      </c>
    </row>
    <row r="4145" spans="1:8" ht="27" customHeight="1" x14ac:dyDescent="0.2">
      <c r="A4145" s="31" t="s">
        <v>5395</v>
      </c>
      <c r="B4145" s="32" t="s">
        <v>5396</v>
      </c>
      <c r="C4145" s="32" t="s">
        <v>798</v>
      </c>
      <c r="D4145" s="32" t="s">
        <v>765</v>
      </c>
      <c r="E4145" s="33" t="s">
        <v>800</v>
      </c>
      <c r="F4145" s="34">
        <v>0</v>
      </c>
      <c r="G4145" s="34">
        <v>0</v>
      </c>
      <c r="H4145" s="35" t="s">
        <v>765</v>
      </c>
    </row>
    <row r="4146" spans="1:8" ht="27" customHeight="1" x14ac:dyDescent="0.2">
      <c r="A4146" s="31" t="s">
        <v>5395</v>
      </c>
      <c r="B4146" s="32" t="s">
        <v>5396</v>
      </c>
      <c r="C4146" s="32" t="s">
        <v>892</v>
      </c>
      <c r="D4146" s="32" t="s">
        <v>765</v>
      </c>
      <c r="E4146" s="33" t="s">
        <v>893</v>
      </c>
      <c r="F4146" s="34">
        <v>0</v>
      </c>
      <c r="G4146" s="34">
        <v>0</v>
      </c>
      <c r="H4146" s="35" t="s">
        <v>765</v>
      </c>
    </row>
    <row r="4147" spans="1:8" ht="27" customHeight="1" x14ac:dyDescent="0.2">
      <c r="A4147" s="31" t="s">
        <v>5395</v>
      </c>
      <c r="B4147" s="32" t="s">
        <v>5396</v>
      </c>
      <c r="C4147" s="32" t="s">
        <v>779</v>
      </c>
      <c r="D4147" s="32" t="s">
        <v>876</v>
      </c>
      <c r="E4147" s="33" t="s">
        <v>780</v>
      </c>
      <c r="F4147" s="34">
        <v>92672</v>
      </c>
      <c r="G4147" s="34">
        <v>92700</v>
      </c>
      <c r="H4147" s="35" t="s">
        <v>5403</v>
      </c>
    </row>
    <row r="4148" spans="1:8" ht="27" customHeight="1" x14ac:dyDescent="0.2">
      <c r="A4148" s="31" t="s">
        <v>5395</v>
      </c>
      <c r="B4148" s="32" t="s">
        <v>5396</v>
      </c>
      <c r="C4148" s="32" t="s">
        <v>782</v>
      </c>
      <c r="D4148" s="32" t="s">
        <v>813</v>
      </c>
      <c r="E4148" s="33" t="s">
        <v>784</v>
      </c>
      <c r="F4148" s="34">
        <v>101832</v>
      </c>
      <c r="G4148" s="34">
        <v>102000</v>
      </c>
      <c r="H4148" s="35" t="s">
        <v>5400</v>
      </c>
    </row>
    <row r="4149" spans="1:8" ht="27" customHeight="1" x14ac:dyDescent="0.2">
      <c r="A4149" s="31" t="s">
        <v>5404</v>
      </c>
      <c r="B4149" s="32" t="s">
        <v>5405</v>
      </c>
      <c r="C4149" s="32" t="s">
        <v>766</v>
      </c>
      <c r="D4149" s="32" t="s">
        <v>767</v>
      </c>
      <c r="E4149" s="33" t="s">
        <v>768</v>
      </c>
      <c r="F4149" s="34">
        <v>1762166</v>
      </c>
      <c r="G4149" s="34">
        <v>1763000</v>
      </c>
      <c r="H4149" s="35" t="s">
        <v>4143</v>
      </c>
    </row>
    <row r="4150" spans="1:8" ht="27" customHeight="1" x14ac:dyDescent="0.2">
      <c r="A4150" s="31" t="s">
        <v>5404</v>
      </c>
      <c r="B4150" s="32" t="s">
        <v>5405</v>
      </c>
      <c r="C4150" s="32" t="s">
        <v>770</v>
      </c>
      <c r="D4150" s="32" t="s">
        <v>3761</v>
      </c>
      <c r="E4150" s="33" t="s">
        <v>772</v>
      </c>
      <c r="F4150" s="34">
        <v>1050625</v>
      </c>
      <c r="G4150" s="34">
        <v>1051000</v>
      </c>
      <c r="H4150" s="35" t="s">
        <v>859</v>
      </c>
    </row>
    <row r="4151" spans="1:8" ht="27" customHeight="1" x14ac:dyDescent="0.2">
      <c r="A4151" s="31" t="s">
        <v>5404</v>
      </c>
      <c r="B4151" s="32" t="s">
        <v>5405</v>
      </c>
      <c r="C4151" s="32" t="s">
        <v>844</v>
      </c>
      <c r="D4151" s="32" t="s">
        <v>844</v>
      </c>
      <c r="E4151" s="33" t="s">
        <v>846</v>
      </c>
      <c r="F4151" s="34">
        <v>440745</v>
      </c>
      <c r="G4151" s="34">
        <v>441000</v>
      </c>
      <c r="H4151" s="35" t="s">
        <v>5406</v>
      </c>
    </row>
    <row r="4152" spans="1:8" ht="27" customHeight="1" x14ac:dyDescent="0.2">
      <c r="A4152" s="31" t="s">
        <v>5404</v>
      </c>
      <c r="B4152" s="32" t="s">
        <v>5405</v>
      </c>
      <c r="C4152" s="32" t="s">
        <v>773</v>
      </c>
      <c r="D4152" s="32" t="s">
        <v>773</v>
      </c>
      <c r="E4152" s="33" t="s">
        <v>775</v>
      </c>
      <c r="F4152" s="34">
        <v>1148976</v>
      </c>
      <c r="G4152" s="34">
        <v>1149000</v>
      </c>
      <c r="H4152" s="35" t="s">
        <v>5407</v>
      </c>
    </row>
    <row r="4153" spans="1:8" ht="27" customHeight="1" x14ac:dyDescent="0.2">
      <c r="A4153" s="31" t="s">
        <v>5404</v>
      </c>
      <c r="B4153" s="32" t="s">
        <v>5405</v>
      </c>
      <c r="C4153" s="32" t="s">
        <v>796</v>
      </c>
      <c r="D4153" s="32" t="s">
        <v>1050</v>
      </c>
      <c r="E4153" s="33" t="s">
        <v>823</v>
      </c>
      <c r="F4153" s="34">
        <v>632540</v>
      </c>
      <c r="G4153" s="34">
        <v>633000</v>
      </c>
      <c r="H4153" s="35" t="s">
        <v>862</v>
      </c>
    </row>
    <row r="4154" spans="1:8" ht="27" customHeight="1" x14ac:dyDescent="0.2">
      <c r="A4154" s="31" t="s">
        <v>5404</v>
      </c>
      <c r="B4154" s="32" t="s">
        <v>5405</v>
      </c>
      <c r="C4154" s="32" t="s">
        <v>779</v>
      </c>
      <c r="D4154" s="32" t="s">
        <v>802</v>
      </c>
      <c r="E4154" s="33" t="s">
        <v>780</v>
      </c>
      <c r="F4154" s="34">
        <v>357732</v>
      </c>
      <c r="G4154" s="34">
        <v>358000</v>
      </c>
      <c r="H4154" s="35" t="s">
        <v>5408</v>
      </c>
    </row>
    <row r="4155" spans="1:8" ht="27" customHeight="1" x14ac:dyDescent="0.2">
      <c r="A4155" s="31" t="s">
        <v>5409</v>
      </c>
      <c r="B4155" s="32" t="s">
        <v>742</v>
      </c>
      <c r="C4155" s="32" t="s">
        <v>763</v>
      </c>
      <c r="D4155" s="32" t="s">
        <v>967</v>
      </c>
      <c r="E4155" s="33" t="s">
        <v>764</v>
      </c>
      <c r="F4155" s="34">
        <v>775000</v>
      </c>
      <c r="G4155" s="34">
        <v>1000000</v>
      </c>
      <c r="H4155" s="35" t="s">
        <v>5410</v>
      </c>
    </row>
    <row r="4156" spans="1:8" ht="27" customHeight="1" x14ac:dyDescent="0.2">
      <c r="A4156" s="31" t="s">
        <v>5409</v>
      </c>
      <c r="B4156" s="32" t="s">
        <v>742</v>
      </c>
      <c r="C4156" s="32" t="s">
        <v>766</v>
      </c>
      <c r="D4156" s="32" t="s">
        <v>767</v>
      </c>
      <c r="E4156" s="33" t="s">
        <v>768</v>
      </c>
      <c r="F4156" s="34">
        <v>485157</v>
      </c>
      <c r="G4156" s="34">
        <v>410157</v>
      </c>
      <c r="H4156" s="35" t="s">
        <v>5411</v>
      </c>
    </row>
    <row r="4157" spans="1:8" ht="27" customHeight="1" x14ac:dyDescent="0.2">
      <c r="A4157" s="31" t="s">
        <v>5409</v>
      </c>
      <c r="B4157" s="32" t="s">
        <v>742</v>
      </c>
      <c r="C4157" s="32" t="s">
        <v>770</v>
      </c>
      <c r="D4157" s="32" t="s">
        <v>770</v>
      </c>
      <c r="E4157" s="33" t="s">
        <v>772</v>
      </c>
      <c r="F4157" s="34">
        <v>222330</v>
      </c>
      <c r="G4157" s="34">
        <v>192330</v>
      </c>
      <c r="H4157" s="35" t="s">
        <v>5411</v>
      </c>
    </row>
    <row r="4158" spans="1:8" ht="27" customHeight="1" x14ac:dyDescent="0.2">
      <c r="A4158" s="31" t="s">
        <v>5409</v>
      </c>
      <c r="B4158" s="32" t="s">
        <v>742</v>
      </c>
      <c r="C4158" s="32" t="s">
        <v>844</v>
      </c>
      <c r="D4158" s="32" t="s">
        <v>844</v>
      </c>
      <c r="E4158" s="33" t="s">
        <v>846</v>
      </c>
      <c r="F4158" s="34">
        <v>293085</v>
      </c>
      <c r="G4158" s="34">
        <v>293085</v>
      </c>
      <c r="H4158" s="35" t="s">
        <v>5410</v>
      </c>
    </row>
    <row r="4159" spans="1:8" ht="27" customHeight="1" x14ac:dyDescent="0.2">
      <c r="A4159" s="31" t="s">
        <v>5409</v>
      </c>
      <c r="B4159" s="32" t="s">
        <v>742</v>
      </c>
      <c r="C4159" s="32" t="s">
        <v>773</v>
      </c>
      <c r="D4159" s="32" t="s">
        <v>773</v>
      </c>
      <c r="E4159" s="33" t="s">
        <v>775</v>
      </c>
      <c r="F4159" s="34">
        <v>541296</v>
      </c>
      <c r="G4159" s="34">
        <v>441000</v>
      </c>
      <c r="H4159" s="35" t="s">
        <v>5411</v>
      </c>
    </row>
    <row r="4160" spans="1:8" ht="27" customHeight="1" x14ac:dyDescent="0.2">
      <c r="A4160" s="31" t="s">
        <v>5409</v>
      </c>
      <c r="B4160" s="32" t="s">
        <v>742</v>
      </c>
      <c r="C4160" s="32" t="s">
        <v>831</v>
      </c>
      <c r="D4160" s="32" t="s">
        <v>933</v>
      </c>
      <c r="E4160" s="33" t="s">
        <v>5412</v>
      </c>
      <c r="F4160" s="34">
        <v>265504</v>
      </c>
      <c r="G4160" s="34">
        <v>180500</v>
      </c>
      <c r="H4160" s="35" t="s">
        <v>5411</v>
      </c>
    </row>
    <row r="4161" spans="1:8" ht="27" customHeight="1" x14ac:dyDescent="0.2">
      <c r="A4161" s="31" t="s">
        <v>5409</v>
      </c>
      <c r="B4161" s="32" t="s">
        <v>742</v>
      </c>
      <c r="C4161" s="32" t="s">
        <v>860</v>
      </c>
      <c r="D4161" s="32" t="s">
        <v>911</v>
      </c>
      <c r="E4161" s="33" t="s">
        <v>861</v>
      </c>
      <c r="F4161" s="34">
        <v>507170</v>
      </c>
      <c r="G4161" s="34">
        <v>507170</v>
      </c>
      <c r="H4161" s="35" t="s">
        <v>5410</v>
      </c>
    </row>
    <row r="4162" spans="1:8" ht="27" customHeight="1" x14ac:dyDescent="0.2">
      <c r="A4162" s="31" t="s">
        <v>5409</v>
      </c>
      <c r="B4162" s="32" t="s">
        <v>742</v>
      </c>
      <c r="C4162" s="32" t="s">
        <v>796</v>
      </c>
      <c r="D4162" s="32" t="s">
        <v>1444</v>
      </c>
      <c r="E4162" s="33" t="s">
        <v>823</v>
      </c>
      <c r="F4162" s="34">
        <v>392216</v>
      </c>
      <c r="G4162" s="34">
        <v>392216</v>
      </c>
      <c r="H4162" s="35" t="s">
        <v>5411</v>
      </c>
    </row>
    <row r="4163" spans="1:8" ht="27" customHeight="1" x14ac:dyDescent="0.2">
      <c r="A4163" s="31" t="s">
        <v>5409</v>
      </c>
      <c r="B4163" s="32" t="s">
        <v>742</v>
      </c>
      <c r="C4163" s="32" t="s">
        <v>776</v>
      </c>
      <c r="D4163" s="32" t="s">
        <v>776</v>
      </c>
      <c r="E4163" s="33" t="s">
        <v>777</v>
      </c>
      <c r="F4163" s="34">
        <v>338035</v>
      </c>
      <c r="G4163" s="34">
        <v>335000</v>
      </c>
      <c r="H4163" s="35" t="s">
        <v>5413</v>
      </c>
    </row>
    <row r="4164" spans="1:8" ht="27" customHeight="1" x14ac:dyDescent="0.2">
      <c r="A4164" s="31" t="s">
        <v>5409</v>
      </c>
      <c r="B4164" s="32" t="s">
        <v>742</v>
      </c>
      <c r="C4164" s="32" t="s">
        <v>779</v>
      </c>
      <c r="D4164" s="32" t="s">
        <v>1661</v>
      </c>
      <c r="E4164" s="33" t="s">
        <v>780</v>
      </c>
      <c r="F4164" s="34">
        <v>165475</v>
      </c>
      <c r="G4164" s="34">
        <v>160000</v>
      </c>
      <c r="H4164" s="35" t="s">
        <v>5414</v>
      </c>
    </row>
    <row r="4165" spans="1:8" ht="27" customHeight="1" x14ac:dyDescent="0.2">
      <c r="A4165" s="31" t="s">
        <v>5415</v>
      </c>
      <c r="B4165" s="32" t="s">
        <v>5416</v>
      </c>
      <c r="C4165" s="32" t="s">
        <v>763</v>
      </c>
      <c r="D4165" s="32" t="s">
        <v>3708</v>
      </c>
      <c r="E4165" s="33" t="s">
        <v>764</v>
      </c>
      <c r="F4165" s="34">
        <v>1827999</v>
      </c>
      <c r="G4165" s="34">
        <v>1286361</v>
      </c>
      <c r="H4165" s="35" t="s">
        <v>5417</v>
      </c>
    </row>
    <row r="4166" spans="1:8" ht="27" customHeight="1" x14ac:dyDescent="0.2">
      <c r="A4166" s="31" t="s">
        <v>5415</v>
      </c>
      <c r="B4166" s="32" t="s">
        <v>5416</v>
      </c>
      <c r="C4166" s="32" t="s">
        <v>763</v>
      </c>
      <c r="D4166" s="32" t="s">
        <v>1322</v>
      </c>
      <c r="E4166" s="33" t="s">
        <v>764</v>
      </c>
      <c r="F4166" s="34">
        <v>340179</v>
      </c>
      <c r="G4166" s="34">
        <v>2500000</v>
      </c>
      <c r="H4166" s="35" t="s">
        <v>5418</v>
      </c>
    </row>
    <row r="4167" spans="1:8" ht="27" customHeight="1" x14ac:dyDescent="0.2">
      <c r="A4167" s="31" t="s">
        <v>5415</v>
      </c>
      <c r="B4167" s="32" t="s">
        <v>5416</v>
      </c>
      <c r="C4167" s="32" t="s">
        <v>766</v>
      </c>
      <c r="D4167" s="32" t="s">
        <v>1049</v>
      </c>
      <c r="E4167" s="33" t="s">
        <v>768</v>
      </c>
      <c r="F4167" s="34">
        <v>0</v>
      </c>
      <c r="G4167" s="34">
        <v>0</v>
      </c>
      <c r="H4167" s="35" t="s">
        <v>5419</v>
      </c>
    </row>
    <row r="4168" spans="1:8" ht="27" customHeight="1" x14ac:dyDescent="0.2">
      <c r="A4168" s="31" t="s">
        <v>5415</v>
      </c>
      <c r="B4168" s="32" t="s">
        <v>5416</v>
      </c>
      <c r="C4168" s="32" t="s">
        <v>770</v>
      </c>
      <c r="D4168" s="32" t="s">
        <v>810</v>
      </c>
      <c r="E4168" s="33" t="s">
        <v>772</v>
      </c>
      <c r="F4168" s="34">
        <v>107788</v>
      </c>
      <c r="G4168" s="34">
        <v>108000</v>
      </c>
      <c r="H4168" s="35" t="s">
        <v>5420</v>
      </c>
    </row>
    <row r="4169" spans="1:8" ht="27" customHeight="1" x14ac:dyDescent="0.2">
      <c r="A4169" s="31" t="s">
        <v>5415</v>
      </c>
      <c r="B4169" s="32" t="s">
        <v>5416</v>
      </c>
      <c r="C4169" s="32" t="s">
        <v>884</v>
      </c>
      <c r="D4169" s="32" t="s">
        <v>1049</v>
      </c>
      <c r="E4169" s="33" t="s">
        <v>885</v>
      </c>
      <c r="F4169" s="34">
        <v>0</v>
      </c>
      <c r="G4169" s="34">
        <v>0</v>
      </c>
      <c r="H4169" s="35" t="s">
        <v>5419</v>
      </c>
    </row>
    <row r="4170" spans="1:8" ht="27" customHeight="1" x14ac:dyDescent="0.2">
      <c r="A4170" s="31" t="s">
        <v>5415</v>
      </c>
      <c r="B4170" s="32" t="s">
        <v>5416</v>
      </c>
      <c r="C4170" s="32" t="s">
        <v>844</v>
      </c>
      <c r="D4170" s="32" t="s">
        <v>1049</v>
      </c>
      <c r="E4170" s="33" t="s">
        <v>846</v>
      </c>
      <c r="F4170" s="34">
        <v>0</v>
      </c>
      <c r="G4170" s="34">
        <v>0</v>
      </c>
      <c r="H4170" s="35" t="s">
        <v>5421</v>
      </c>
    </row>
    <row r="4171" spans="1:8" ht="27" customHeight="1" x14ac:dyDescent="0.2">
      <c r="A4171" s="31" t="s">
        <v>5415</v>
      </c>
      <c r="B4171" s="32" t="s">
        <v>5416</v>
      </c>
      <c r="C4171" s="32" t="s">
        <v>773</v>
      </c>
      <c r="D4171" s="32" t="s">
        <v>973</v>
      </c>
      <c r="E4171" s="33" t="s">
        <v>775</v>
      </c>
      <c r="F4171" s="34">
        <v>664700</v>
      </c>
      <c r="G4171" s="34">
        <v>666000</v>
      </c>
      <c r="H4171" s="35" t="s">
        <v>5422</v>
      </c>
    </row>
    <row r="4172" spans="1:8" ht="27" customHeight="1" x14ac:dyDescent="0.2">
      <c r="A4172" s="31" t="s">
        <v>5415</v>
      </c>
      <c r="B4172" s="32" t="s">
        <v>5416</v>
      </c>
      <c r="C4172" s="32" t="s">
        <v>886</v>
      </c>
      <c r="D4172" s="32" t="s">
        <v>1049</v>
      </c>
      <c r="E4172" s="33" t="s">
        <v>887</v>
      </c>
      <c r="F4172" s="34">
        <v>0</v>
      </c>
      <c r="G4172" s="34">
        <v>0</v>
      </c>
      <c r="H4172" s="35" t="s">
        <v>1049</v>
      </c>
    </row>
    <row r="4173" spans="1:8" ht="27" customHeight="1" x14ac:dyDescent="0.2">
      <c r="A4173" s="31" t="s">
        <v>5415</v>
      </c>
      <c r="B4173" s="32" t="s">
        <v>5416</v>
      </c>
      <c r="C4173" s="32" t="s">
        <v>860</v>
      </c>
      <c r="D4173" s="32" t="s">
        <v>1049</v>
      </c>
      <c r="E4173" s="33" t="s">
        <v>861</v>
      </c>
      <c r="F4173" s="34">
        <v>0</v>
      </c>
      <c r="G4173" s="34">
        <v>0</v>
      </c>
      <c r="H4173" s="35" t="s">
        <v>1049</v>
      </c>
    </row>
    <row r="4174" spans="1:8" ht="27" customHeight="1" x14ac:dyDescent="0.2">
      <c r="A4174" s="31" t="s">
        <v>5415</v>
      </c>
      <c r="B4174" s="32" t="s">
        <v>5416</v>
      </c>
      <c r="C4174" s="32" t="s">
        <v>796</v>
      </c>
      <c r="D4174" s="32" t="s">
        <v>811</v>
      </c>
      <c r="E4174" s="33" t="s">
        <v>772</v>
      </c>
      <c r="F4174" s="34">
        <v>1174862</v>
      </c>
      <c r="G4174" s="34">
        <v>876000</v>
      </c>
      <c r="H4174" s="35" t="s">
        <v>5423</v>
      </c>
    </row>
    <row r="4175" spans="1:8" ht="27" customHeight="1" x14ac:dyDescent="0.2">
      <c r="A4175" s="31" t="s">
        <v>5415</v>
      </c>
      <c r="B4175" s="32" t="s">
        <v>5416</v>
      </c>
      <c r="C4175" s="32" t="s">
        <v>776</v>
      </c>
      <c r="D4175" s="32" t="s">
        <v>812</v>
      </c>
      <c r="E4175" s="33" t="s">
        <v>777</v>
      </c>
      <c r="F4175" s="34">
        <v>0</v>
      </c>
      <c r="G4175" s="34">
        <v>0</v>
      </c>
      <c r="H4175" s="35" t="s">
        <v>5424</v>
      </c>
    </row>
    <row r="4176" spans="1:8" ht="27" customHeight="1" x14ac:dyDescent="0.2">
      <c r="A4176" s="31" t="s">
        <v>5415</v>
      </c>
      <c r="B4176" s="32" t="s">
        <v>5416</v>
      </c>
      <c r="C4176" s="32" t="s">
        <v>798</v>
      </c>
      <c r="D4176" s="32" t="s">
        <v>1049</v>
      </c>
      <c r="E4176" s="33" t="s">
        <v>800</v>
      </c>
      <c r="F4176" s="34">
        <v>0</v>
      </c>
      <c r="G4176" s="34">
        <v>0</v>
      </c>
      <c r="H4176" s="35" t="s">
        <v>5419</v>
      </c>
    </row>
    <row r="4177" spans="1:8" ht="27" customHeight="1" x14ac:dyDescent="0.2">
      <c r="A4177" s="31" t="s">
        <v>5415</v>
      </c>
      <c r="B4177" s="32" t="s">
        <v>5416</v>
      </c>
      <c r="C4177" s="32" t="s">
        <v>892</v>
      </c>
      <c r="D4177" s="32" t="s">
        <v>1049</v>
      </c>
      <c r="E4177" s="33" t="s">
        <v>893</v>
      </c>
      <c r="F4177" s="34">
        <v>0</v>
      </c>
      <c r="G4177" s="34">
        <v>0</v>
      </c>
      <c r="H4177" s="35" t="s">
        <v>1049</v>
      </c>
    </row>
    <row r="4178" spans="1:8" ht="27" customHeight="1" x14ac:dyDescent="0.2">
      <c r="A4178" s="31" t="s">
        <v>5415</v>
      </c>
      <c r="B4178" s="32" t="s">
        <v>5416</v>
      </c>
      <c r="C4178" s="32" t="s">
        <v>779</v>
      </c>
      <c r="D4178" s="32" t="s">
        <v>826</v>
      </c>
      <c r="E4178" s="33" t="s">
        <v>780</v>
      </c>
      <c r="F4178" s="34">
        <v>112115</v>
      </c>
      <c r="G4178" s="34">
        <v>108000</v>
      </c>
      <c r="H4178" s="35" t="s">
        <v>5425</v>
      </c>
    </row>
    <row r="4179" spans="1:8" ht="27" customHeight="1" x14ac:dyDescent="0.2">
      <c r="A4179" s="31" t="s">
        <v>5415</v>
      </c>
      <c r="B4179" s="32" t="s">
        <v>5416</v>
      </c>
      <c r="C4179" s="32" t="s">
        <v>782</v>
      </c>
      <c r="D4179" s="32" t="s">
        <v>964</v>
      </c>
      <c r="E4179" s="33" t="s">
        <v>784</v>
      </c>
      <c r="F4179" s="34">
        <v>227435</v>
      </c>
      <c r="G4179" s="34">
        <v>197963</v>
      </c>
      <c r="H4179" s="35" t="s">
        <v>5426</v>
      </c>
    </row>
    <row r="4180" spans="1:8" ht="27" customHeight="1" x14ac:dyDescent="0.2">
      <c r="A4180" s="31" t="s">
        <v>5427</v>
      </c>
      <c r="B4180" s="32" t="s">
        <v>5428</v>
      </c>
      <c r="C4180" s="32" t="s">
        <v>763</v>
      </c>
      <c r="D4180" s="32" t="s">
        <v>816</v>
      </c>
      <c r="E4180" s="33" t="s">
        <v>764</v>
      </c>
      <c r="F4180" s="34">
        <v>55662</v>
      </c>
      <c r="G4180" s="34">
        <v>155662</v>
      </c>
      <c r="H4180" s="35" t="s">
        <v>5429</v>
      </c>
    </row>
    <row r="4181" spans="1:8" ht="27" customHeight="1" x14ac:dyDescent="0.2">
      <c r="A4181" s="31" t="s">
        <v>5427</v>
      </c>
      <c r="B4181" s="32" t="s">
        <v>5428</v>
      </c>
      <c r="C4181" s="32" t="s">
        <v>763</v>
      </c>
      <c r="D4181" s="32" t="s">
        <v>3708</v>
      </c>
      <c r="E4181" s="33" t="s">
        <v>764</v>
      </c>
      <c r="F4181" s="34">
        <v>544967</v>
      </c>
      <c r="G4181" s="34">
        <v>794967</v>
      </c>
      <c r="H4181" s="35" t="s">
        <v>5430</v>
      </c>
    </row>
    <row r="4182" spans="1:8" ht="27" customHeight="1" x14ac:dyDescent="0.2">
      <c r="A4182" s="31" t="s">
        <v>5427</v>
      </c>
      <c r="B4182" s="32" t="s">
        <v>5428</v>
      </c>
      <c r="C4182" s="32" t="s">
        <v>770</v>
      </c>
      <c r="D4182" s="32" t="s">
        <v>5431</v>
      </c>
      <c r="E4182" s="33" t="s">
        <v>772</v>
      </c>
      <c r="F4182" s="34">
        <v>607922</v>
      </c>
      <c r="G4182" s="34">
        <v>697922</v>
      </c>
      <c r="H4182" s="35" t="s">
        <v>5432</v>
      </c>
    </row>
    <row r="4183" spans="1:8" ht="27" customHeight="1" x14ac:dyDescent="0.2">
      <c r="A4183" s="31" t="s">
        <v>5427</v>
      </c>
      <c r="B4183" s="32" t="s">
        <v>5428</v>
      </c>
      <c r="C4183" s="32" t="s">
        <v>773</v>
      </c>
      <c r="D4183" s="32" t="s">
        <v>973</v>
      </c>
      <c r="E4183" s="33" t="s">
        <v>775</v>
      </c>
      <c r="F4183" s="34">
        <v>237247</v>
      </c>
      <c r="G4183" s="34">
        <v>237247</v>
      </c>
      <c r="H4183" s="35" t="s">
        <v>5429</v>
      </c>
    </row>
    <row r="4184" spans="1:8" ht="27" customHeight="1" x14ac:dyDescent="0.2">
      <c r="A4184" s="31" t="s">
        <v>5427</v>
      </c>
      <c r="B4184" s="32" t="s">
        <v>5428</v>
      </c>
      <c r="C4184" s="32" t="s">
        <v>860</v>
      </c>
      <c r="D4184" s="32" t="s">
        <v>1049</v>
      </c>
      <c r="E4184" s="33" t="s">
        <v>861</v>
      </c>
      <c r="F4184" s="34">
        <v>0</v>
      </c>
      <c r="G4184" s="34">
        <v>0</v>
      </c>
      <c r="H4184" s="35" t="s">
        <v>829</v>
      </c>
    </row>
    <row r="4185" spans="1:8" ht="27" customHeight="1" x14ac:dyDescent="0.2">
      <c r="A4185" s="31" t="s">
        <v>5427</v>
      </c>
      <c r="B4185" s="32" t="s">
        <v>5428</v>
      </c>
      <c r="C4185" s="32" t="s">
        <v>796</v>
      </c>
      <c r="D4185" s="32" t="s">
        <v>5433</v>
      </c>
      <c r="E4185" s="33" t="s">
        <v>772</v>
      </c>
      <c r="F4185" s="34">
        <v>539143</v>
      </c>
      <c r="G4185" s="34">
        <v>1039143</v>
      </c>
      <c r="H4185" s="35" t="s">
        <v>5430</v>
      </c>
    </row>
    <row r="4186" spans="1:8" ht="27" customHeight="1" x14ac:dyDescent="0.2">
      <c r="A4186" s="31" t="s">
        <v>5427</v>
      </c>
      <c r="B4186" s="32" t="s">
        <v>5428</v>
      </c>
      <c r="C4186" s="32" t="s">
        <v>776</v>
      </c>
      <c r="D4186" s="32" t="s">
        <v>812</v>
      </c>
      <c r="E4186" s="33" t="s">
        <v>777</v>
      </c>
      <c r="F4186" s="34">
        <v>31925</v>
      </c>
      <c r="G4186" s="34">
        <v>31925</v>
      </c>
      <c r="H4186" s="35" t="s">
        <v>5429</v>
      </c>
    </row>
    <row r="4187" spans="1:8" ht="27" customHeight="1" x14ac:dyDescent="0.2">
      <c r="A4187" s="31" t="s">
        <v>5427</v>
      </c>
      <c r="B4187" s="32" t="s">
        <v>5428</v>
      </c>
      <c r="C4187" s="32" t="s">
        <v>779</v>
      </c>
      <c r="D4187" s="32" t="s">
        <v>826</v>
      </c>
      <c r="E4187" s="33" t="s">
        <v>780</v>
      </c>
      <c r="F4187" s="34">
        <v>349725</v>
      </c>
      <c r="G4187" s="34">
        <v>347725</v>
      </c>
      <c r="H4187" s="35" t="s">
        <v>5434</v>
      </c>
    </row>
    <row r="4188" spans="1:8" ht="27" customHeight="1" x14ac:dyDescent="0.2">
      <c r="A4188" s="31" t="s">
        <v>5427</v>
      </c>
      <c r="B4188" s="32" t="s">
        <v>5428</v>
      </c>
      <c r="C4188" s="32" t="s">
        <v>782</v>
      </c>
      <c r="D4188" s="32" t="s">
        <v>964</v>
      </c>
      <c r="E4188" s="33" t="s">
        <v>784</v>
      </c>
      <c r="F4188" s="34">
        <v>0</v>
      </c>
      <c r="G4188" s="34">
        <v>300000</v>
      </c>
      <c r="H4188" s="35" t="s">
        <v>5435</v>
      </c>
    </row>
    <row r="4189" spans="1:8" ht="27" customHeight="1" x14ac:dyDescent="0.2">
      <c r="A4189" s="31" t="s">
        <v>5436</v>
      </c>
      <c r="B4189" s="32" t="s">
        <v>5437</v>
      </c>
      <c r="C4189" s="32" t="s">
        <v>763</v>
      </c>
      <c r="D4189" s="32" t="s">
        <v>763</v>
      </c>
      <c r="E4189" s="33" t="s">
        <v>764</v>
      </c>
      <c r="F4189" s="34">
        <v>504179</v>
      </c>
      <c r="G4189" s="34">
        <v>705428</v>
      </c>
      <c r="H4189" s="35" t="s">
        <v>5438</v>
      </c>
    </row>
    <row r="4190" spans="1:8" ht="27" customHeight="1" x14ac:dyDescent="0.2">
      <c r="A4190" s="31" t="s">
        <v>5436</v>
      </c>
      <c r="B4190" s="32" t="s">
        <v>5437</v>
      </c>
      <c r="C4190" s="32" t="s">
        <v>766</v>
      </c>
      <c r="D4190" s="32" t="s">
        <v>767</v>
      </c>
      <c r="E4190" s="33" t="s">
        <v>768</v>
      </c>
      <c r="F4190" s="34">
        <v>315374</v>
      </c>
      <c r="G4190" s="34">
        <v>316156</v>
      </c>
      <c r="H4190" s="35" t="s">
        <v>5439</v>
      </c>
    </row>
    <row r="4191" spans="1:8" ht="27" customHeight="1" x14ac:dyDescent="0.2">
      <c r="A4191" s="31" t="s">
        <v>5436</v>
      </c>
      <c r="B4191" s="32" t="s">
        <v>5437</v>
      </c>
      <c r="C4191" s="32" t="s">
        <v>770</v>
      </c>
      <c r="D4191" s="32" t="s">
        <v>5440</v>
      </c>
      <c r="E4191" s="33" t="s">
        <v>772</v>
      </c>
      <c r="F4191" s="34">
        <v>1417477</v>
      </c>
      <c r="G4191" s="34">
        <v>1390987</v>
      </c>
      <c r="H4191" s="35" t="s">
        <v>5441</v>
      </c>
    </row>
    <row r="4192" spans="1:8" ht="27" customHeight="1" x14ac:dyDescent="0.2">
      <c r="A4192" s="31" t="s">
        <v>5436</v>
      </c>
      <c r="B4192" s="32" t="s">
        <v>5437</v>
      </c>
      <c r="C4192" s="32" t="s">
        <v>773</v>
      </c>
      <c r="D4192" s="32" t="s">
        <v>5442</v>
      </c>
      <c r="E4192" s="33" t="s">
        <v>775</v>
      </c>
      <c r="F4192" s="34">
        <v>759515</v>
      </c>
      <c r="G4192" s="34">
        <v>806530</v>
      </c>
      <c r="H4192" s="35" t="s">
        <v>5443</v>
      </c>
    </row>
    <row r="4193" spans="1:8" ht="27" customHeight="1" x14ac:dyDescent="0.2">
      <c r="A4193" s="31" t="s">
        <v>5436</v>
      </c>
      <c r="B4193" s="32" t="s">
        <v>5437</v>
      </c>
      <c r="C4193" s="32" t="s">
        <v>831</v>
      </c>
      <c r="D4193" s="32" t="s">
        <v>5444</v>
      </c>
      <c r="E4193" s="33" t="s">
        <v>5445</v>
      </c>
      <c r="F4193" s="34">
        <v>249304</v>
      </c>
      <c r="G4193" s="34">
        <v>250514</v>
      </c>
      <c r="H4193" s="35" t="s">
        <v>5446</v>
      </c>
    </row>
    <row r="4194" spans="1:8" ht="27" customHeight="1" x14ac:dyDescent="0.2">
      <c r="A4194" s="31" t="s">
        <v>5436</v>
      </c>
      <c r="B4194" s="32" t="s">
        <v>5437</v>
      </c>
      <c r="C4194" s="32" t="s">
        <v>796</v>
      </c>
      <c r="D4194" s="32" t="s">
        <v>796</v>
      </c>
      <c r="E4194" s="33" t="s">
        <v>772</v>
      </c>
      <c r="F4194" s="34">
        <v>2541128</v>
      </c>
      <c r="G4194" s="34">
        <v>2517422</v>
      </c>
      <c r="H4194" s="35" t="s">
        <v>5447</v>
      </c>
    </row>
    <row r="4195" spans="1:8" ht="27" customHeight="1" x14ac:dyDescent="0.2">
      <c r="A4195" s="31" t="s">
        <v>5436</v>
      </c>
      <c r="B4195" s="32" t="s">
        <v>5437</v>
      </c>
      <c r="C4195" s="32" t="s">
        <v>776</v>
      </c>
      <c r="D4195" s="32" t="s">
        <v>776</v>
      </c>
      <c r="E4195" s="33" t="s">
        <v>777</v>
      </c>
      <c r="F4195" s="34">
        <v>1875707</v>
      </c>
      <c r="G4195" s="34">
        <v>1815800</v>
      </c>
      <c r="H4195" s="35" t="s">
        <v>5448</v>
      </c>
    </row>
    <row r="4196" spans="1:8" ht="27" customHeight="1" x14ac:dyDescent="0.2">
      <c r="A4196" s="31" t="s">
        <v>5436</v>
      </c>
      <c r="B4196" s="32" t="s">
        <v>5437</v>
      </c>
      <c r="C4196" s="32" t="s">
        <v>779</v>
      </c>
      <c r="D4196" s="32" t="s">
        <v>779</v>
      </c>
      <c r="E4196" s="33" t="s">
        <v>780</v>
      </c>
      <c r="F4196" s="34">
        <v>354470</v>
      </c>
      <c r="G4196" s="34">
        <v>355348</v>
      </c>
      <c r="H4196" s="35" t="s">
        <v>5449</v>
      </c>
    </row>
    <row r="4197" spans="1:8" ht="27" customHeight="1" x14ac:dyDescent="0.2">
      <c r="A4197" s="31" t="s">
        <v>5450</v>
      </c>
      <c r="B4197" s="32" t="s">
        <v>5451</v>
      </c>
      <c r="C4197" s="32" t="s">
        <v>770</v>
      </c>
      <c r="D4197" s="32" t="s">
        <v>5452</v>
      </c>
      <c r="E4197" s="33" t="s">
        <v>772</v>
      </c>
      <c r="F4197" s="34">
        <v>491139</v>
      </c>
      <c r="G4197" s="34">
        <v>491139</v>
      </c>
      <c r="H4197" s="35" t="s">
        <v>5453</v>
      </c>
    </row>
    <row r="4198" spans="1:8" ht="27" customHeight="1" x14ac:dyDescent="0.2">
      <c r="A4198" s="31" t="s">
        <v>5450</v>
      </c>
      <c r="B4198" s="32" t="s">
        <v>5451</v>
      </c>
      <c r="C4198" s="32" t="s">
        <v>844</v>
      </c>
      <c r="D4198" s="32" t="s">
        <v>972</v>
      </c>
      <c r="E4198" s="33" t="s">
        <v>846</v>
      </c>
      <c r="F4198" s="34">
        <v>64569</v>
      </c>
      <c r="G4198" s="34">
        <v>64569</v>
      </c>
      <c r="H4198" s="35" t="s">
        <v>1547</v>
      </c>
    </row>
    <row r="4199" spans="1:8" ht="27" customHeight="1" x14ac:dyDescent="0.2">
      <c r="A4199" s="31" t="s">
        <v>5450</v>
      </c>
      <c r="B4199" s="32" t="s">
        <v>5451</v>
      </c>
      <c r="C4199" s="32" t="s">
        <v>860</v>
      </c>
      <c r="D4199" s="32" t="s">
        <v>5454</v>
      </c>
      <c r="E4199" s="33" t="s">
        <v>861</v>
      </c>
      <c r="F4199" s="34">
        <v>81519</v>
      </c>
      <c r="G4199" s="34">
        <v>81519</v>
      </c>
      <c r="H4199" s="35" t="s">
        <v>1547</v>
      </c>
    </row>
    <row r="4200" spans="1:8" ht="27" customHeight="1" x14ac:dyDescent="0.2">
      <c r="A4200" s="31" t="s">
        <v>5450</v>
      </c>
      <c r="B4200" s="32" t="s">
        <v>5451</v>
      </c>
      <c r="C4200" s="32" t="s">
        <v>796</v>
      </c>
      <c r="D4200" s="32" t="s">
        <v>1314</v>
      </c>
      <c r="E4200" s="33" t="s">
        <v>823</v>
      </c>
      <c r="F4200" s="34">
        <v>1523011</v>
      </c>
      <c r="G4200" s="34">
        <v>1173011</v>
      </c>
      <c r="H4200" s="35" t="s">
        <v>5455</v>
      </c>
    </row>
    <row r="4201" spans="1:8" ht="27" customHeight="1" x14ac:dyDescent="0.2">
      <c r="A4201" s="31" t="s">
        <v>5450</v>
      </c>
      <c r="B4201" s="32" t="s">
        <v>5451</v>
      </c>
      <c r="C4201" s="32" t="s">
        <v>776</v>
      </c>
      <c r="D4201" s="32" t="s">
        <v>4032</v>
      </c>
      <c r="E4201" s="33" t="s">
        <v>777</v>
      </c>
      <c r="F4201" s="34">
        <v>1783278</v>
      </c>
      <c r="G4201" s="34">
        <v>1783278</v>
      </c>
      <c r="H4201" s="35" t="s">
        <v>5456</v>
      </c>
    </row>
    <row r="4202" spans="1:8" ht="27" customHeight="1" x14ac:dyDescent="0.2">
      <c r="A4202" s="31" t="s">
        <v>5450</v>
      </c>
      <c r="B4202" s="32" t="s">
        <v>5451</v>
      </c>
      <c r="C4202" s="32" t="s">
        <v>779</v>
      </c>
      <c r="D4202" s="32" t="s">
        <v>927</v>
      </c>
      <c r="E4202" s="33" t="s">
        <v>780</v>
      </c>
      <c r="F4202" s="34">
        <v>164769</v>
      </c>
      <c r="G4202" s="34">
        <v>164769</v>
      </c>
      <c r="H4202" s="35" t="s">
        <v>5457</v>
      </c>
    </row>
    <row r="4203" spans="1:8" ht="27" customHeight="1" x14ac:dyDescent="0.2">
      <c r="A4203" s="31" t="s">
        <v>5458</v>
      </c>
      <c r="B4203" s="32" t="s">
        <v>5459</v>
      </c>
      <c r="C4203" s="32" t="s">
        <v>763</v>
      </c>
      <c r="D4203" s="32" t="s">
        <v>3023</v>
      </c>
      <c r="E4203" s="33" t="s">
        <v>764</v>
      </c>
      <c r="F4203" s="34">
        <v>1970537</v>
      </c>
      <c r="G4203" s="34">
        <v>1970537</v>
      </c>
      <c r="H4203" s="35" t="s">
        <v>859</v>
      </c>
    </row>
    <row r="4204" spans="1:8" ht="27" customHeight="1" x14ac:dyDescent="0.2">
      <c r="A4204" s="31" t="s">
        <v>5458</v>
      </c>
      <c r="B4204" s="32" t="s">
        <v>5459</v>
      </c>
      <c r="C4204" s="32" t="s">
        <v>763</v>
      </c>
      <c r="D4204" s="32" t="s">
        <v>5399</v>
      </c>
      <c r="E4204" s="33" t="s">
        <v>764</v>
      </c>
      <c r="F4204" s="34">
        <v>4126399</v>
      </c>
      <c r="G4204" s="34">
        <v>4126399</v>
      </c>
      <c r="H4204" s="35" t="s">
        <v>859</v>
      </c>
    </row>
    <row r="4205" spans="1:8" ht="27" customHeight="1" x14ac:dyDescent="0.2">
      <c r="A4205" s="31" t="s">
        <v>5458</v>
      </c>
      <c r="B4205" s="32" t="s">
        <v>5459</v>
      </c>
      <c r="C4205" s="32" t="s">
        <v>770</v>
      </c>
      <c r="D4205" s="32" t="s">
        <v>5460</v>
      </c>
      <c r="E4205" s="33" t="s">
        <v>772</v>
      </c>
      <c r="F4205" s="34">
        <v>431796</v>
      </c>
      <c r="G4205" s="34">
        <v>431000</v>
      </c>
      <c r="H4205" s="35" t="s">
        <v>5461</v>
      </c>
    </row>
    <row r="4206" spans="1:8" ht="27" customHeight="1" x14ac:dyDescent="0.2">
      <c r="A4206" s="31" t="s">
        <v>5458</v>
      </c>
      <c r="B4206" s="32" t="s">
        <v>5459</v>
      </c>
      <c r="C4206" s="32" t="s">
        <v>773</v>
      </c>
      <c r="D4206" s="32" t="s">
        <v>973</v>
      </c>
      <c r="E4206" s="33" t="s">
        <v>775</v>
      </c>
      <c r="F4206" s="34">
        <v>198061</v>
      </c>
      <c r="G4206" s="34">
        <v>198100</v>
      </c>
      <c r="H4206" s="35" t="s">
        <v>5462</v>
      </c>
    </row>
    <row r="4207" spans="1:8" ht="27" customHeight="1" x14ac:dyDescent="0.2">
      <c r="A4207" s="31" t="s">
        <v>5458</v>
      </c>
      <c r="B4207" s="32" t="s">
        <v>5459</v>
      </c>
      <c r="C4207" s="32" t="s">
        <v>796</v>
      </c>
      <c r="D4207" s="32" t="s">
        <v>796</v>
      </c>
      <c r="E4207" s="33" t="s">
        <v>772</v>
      </c>
      <c r="F4207" s="34">
        <v>1145453</v>
      </c>
      <c r="G4207" s="34">
        <v>1145500</v>
      </c>
      <c r="H4207" s="35" t="s">
        <v>5463</v>
      </c>
    </row>
    <row r="4208" spans="1:8" ht="27" customHeight="1" x14ac:dyDescent="0.2">
      <c r="A4208" s="31" t="s">
        <v>5458</v>
      </c>
      <c r="B4208" s="32" t="s">
        <v>5459</v>
      </c>
      <c r="C4208" s="32" t="s">
        <v>776</v>
      </c>
      <c r="D4208" s="32" t="s">
        <v>812</v>
      </c>
      <c r="E4208" s="33" t="s">
        <v>777</v>
      </c>
      <c r="F4208" s="34">
        <v>5100440</v>
      </c>
      <c r="G4208" s="34">
        <v>5100000</v>
      </c>
      <c r="H4208" s="35" t="s">
        <v>5464</v>
      </c>
    </row>
    <row r="4209" spans="1:8" ht="27" customHeight="1" x14ac:dyDescent="0.2">
      <c r="A4209" s="31" t="s">
        <v>5458</v>
      </c>
      <c r="B4209" s="32" t="s">
        <v>5459</v>
      </c>
      <c r="C4209" s="32" t="s">
        <v>779</v>
      </c>
      <c r="D4209" s="32" t="s">
        <v>779</v>
      </c>
      <c r="E4209" s="33" t="s">
        <v>780</v>
      </c>
      <c r="F4209" s="34">
        <v>246969</v>
      </c>
      <c r="G4209" s="34">
        <v>247000</v>
      </c>
      <c r="H4209" s="35" t="s">
        <v>5465</v>
      </c>
    </row>
    <row r="4210" spans="1:8" ht="27" customHeight="1" x14ac:dyDescent="0.2">
      <c r="A4210" s="31" t="s">
        <v>5458</v>
      </c>
      <c r="B4210" s="32" t="s">
        <v>5459</v>
      </c>
      <c r="C4210" s="32" t="s">
        <v>782</v>
      </c>
      <c r="D4210" s="32" t="s">
        <v>783</v>
      </c>
      <c r="E4210" s="33" t="s">
        <v>784</v>
      </c>
      <c r="F4210" s="34">
        <v>200000</v>
      </c>
      <c r="G4210" s="34">
        <v>200100</v>
      </c>
      <c r="H4210" s="35" t="s">
        <v>5466</v>
      </c>
    </row>
    <row r="4211" spans="1:8" ht="27" customHeight="1" x14ac:dyDescent="0.2">
      <c r="A4211" s="31" t="s">
        <v>5467</v>
      </c>
      <c r="B4211" s="32" t="s">
        <v>5468</v>
      </c>
      <c r="C4211" s="32" t="s">
        <v>763</v>
      </c>
      <c r="D4211" s="32" t="s">
        <v>763</v>
      </c>
      <c r="E4211" s="33" t="s">
        <v>764</v>
      </c>
      <c r="F4211" s="34">
        <v>63367</v>
      </c>
      <c r="G4211" s="34">
        <v>63380</v>
      </c>
      <c r="H4211" s="35" t="s">
        <v>5469</v>
      </c>
    </row>
    <row r="4212" spans="1:8" ht="27" customHeight="1" x14ac:dyDescent="0.2">
      <c r="A4212" s="31" t="s">
        <v>5467</v>
      </c>
      <c r="B4212" s="32" t="s">
        <v>5468</v>
      </c>
      <c r="C4212" s="32" t="s">
        <v>860</v>
      </c>
      <c r="D4212" s="32" t="s">
        <v>911</v>
      </c>
      <c r="E4212" s="33" t="s">
        <v>861</v>
      </c>
      <c r="F4212" s="34">
        <v>2276116</v>
      </c>
      <c r="G4212" s="34">
        <v>2287497</v>
      </c>
      <c r="H4212" s="35" t="s">
        <v>5470</v>
      </c>
    </row>
    <row r="4213" spans="1:8" ht="27" customHeight="1" x14ac:dyDescent="0.2">
      <c r="A4213" s="31" t="s">
        <v>5467</v>
      </c>
      <c r="B4213" s="32" t="s">
        <v>5468</v>
      </c>
      <c r="C4213" s="32" t="s">
        <v>779</v>
      </c>
      <c r="D4213" s="32" t="s">
        <v>826</v>
      </c>
      <c r="E4213" s="33" t="s">
        <v>780</v>
      </c>
      <c r="F4213" s="34">
        <v>10671</v>
      </c>
      <c r="G4213" s="34">
        <v>10724</v>
      </c>
      <c r="H4213" s="35" t="s">
        <v>1667</v>
      </c>
    </row>
    <row r="4214" spans="1:8" ht="27" customHeight="1" x14ac:dyDescent="0.2">
      <c r="A4214" s="31" t="s">
        <v>5471</v>
      </c>
      <c r="B4214" s="32" t="s">
        <v>5472</v>
      </c>
      <c r="C4214" s="32" t="s">
        <v>763</v>
      </c>
      <c r="D4214" s="32" t="s">
        <v>763</v>
      </c>
      <c r="E4214" s="33" t="s">
        <v>764</v>
      </c>
      <c r="F4214" s="34">
        <v>43385</v>
      </c>
      <c r="G4214" s="34">
        <v>43493</v>
      </c>
      <c r="H4214" s="35" t="s">
        <v>5473</v>
      </c>
    </row>
    <row r="4215" spans="1:8" ht="27" customHeight="1" x14ac:dyDescent="0.2">
      <c r="A4215" s="31" t="s">
        <v>5471</v>
      </c>
      <c r="B4215" s="32" t="s">
        <v>5472</v>
      </c>
      <c r="C4215" s="32" t="s">
        <v>766</v>
      </c>
      <c r="D4215" s="32" t="s">
        <v>767</v>
      </c>
      <c r="E4215" s="33" t="s">
        <v>768</v>
      </c>
      <c r="F4215" s="34">
        <v>248445</v>
      </c>
      <c r="G4215" s="34">
        <v>249066</v>
      </c>
      <c r="H4215" s="35" t="s">
        <v>5473</v>
      </c>
    </row>
    <row r="4216" spans="1:8" ht="27" customHeight="1" x14ac:dyDescent="0.2">
      <c r="A4216" s="31" t="s">
        <v>5471</v>
      </c>
      <c r="B4216" s="32" t="s">
        <v>5472</v>
      </c>
      <c r="C4216" s="32" t="s">
        <v>770</v>
      </c>
      <c r="D4216" s="32" t="s">
        <v>5474</v>
      </c>
      <c r="E4216" s="33" t="s">
        <v>772</v>
      </c>
      <c r="F4216" s="34">
        <v>1242936</v>
      </c>
      <c r="G4216" s="34">
        <v>1243043</v>
      </c>
      <c r="H4216" s="35" t="s">
        <v>5475</v>
      </c>
    </row>
    <row r="4217" spans="1:8" ht="27" customHeight="1" x14ac:dyDescent="0.2">
      <c r="A4217" s="31" t="s">
        <v>5471</v>
      </c>
      <c r="B4217" s="32" t="s">
        <v>5472</v>
      </c>
      <c r="C4217" s="32" t="s">
        <v>773</v>
      </c>
      <c r="D4217" s="32" t="s">
        <v>773</v>
      </c>
      <c r="E4217" s="33" t="s">
        <v>775</v>
      </c>
      <c r="F4217" s="34">
        <v>22480</v>
      </c>
      <c r="G4217" s="34">
        <v>22536</v>
      </c>
      <c r="H4217" s="35" t="s">
        <v>5476</v>
      </c>
    </row>
    <row r="4218" spans="1:8" ht="27" customHeight="1" x14ac:dyDescent="0.2">
      <c r="A4218" s="31" t="s">
        <v>5471</v>
      </c>
      <c r="B4218" s="32" t="s">
        <v>5472</v>
      </c>
      <c r="C4218" s="32" t="s">
        <v>886</v>
      </c>
      <c r="D4218" s="32" t="s">
        <v>886</v>
      </c>
      <c r="E4218" s="33" t="s">
        <v>887</v>
      </c>
      <c r="F4218" s="34">
        <v>54788</v>
      </c>
      <c r="G4218" s="34">
        <v>54925</v>
      </c>
      <c r="H4218" s="35" t="s">
        <v>5477</v>
      </c>
    </row>
    <row r="4219" spans="1:8" ht="27" customHeight="1" x14ac:dyDescent="0.2">
      <c r="A4219" s="31" t="s">
        <v>5471</v>
      </c>
      <c r="B4219" s="32" t="s">
        <v>5472</v>
      </c>
      <c r="C4219" s="32" t="s">
        <v>776</v>
      </c>
      <c r="D4219" s="32" t="s">
        <v>776</v>
      </c>
      <c r="E4219" s="33" t="s">
        <v>777</v>
      </c>
      <c r="F4219" s="34">
        <v>2832022</v>
      </c>
      <c r="G4219" s="34">
        <v>2839102</v>
      </c>
      <c r="H4219" s="35" t="s">
        <v>5478</v>
      </c>
    </row>
    <row r="4220" spans="1:8" ht="27" customHeight="1" x14ac:dyDescent="0.2">
      <c r="A4220" s="31" t="s">
        <v>5479</v>
      </c>
      <c r="B4220" s="32" t="s">
        <v>5480</v>
      </c>
      <c r="C4220" s="32" t="s">
        <v>770</v>
      </c>
      <c r="D4220" s="32" t="s">
        <v>830</v>
      </c>
      <c r="E4220" s="33" t="s">
        <v>772</v>
      </c>
      <c r="F4220" s="34">
        <v>129811</v>
      </c>
      <c r="G4220" s="34">
        <v>130201</v>
      </c>
      <c r="H4220" s="35" t="s">
        <v>5481</v>
      </c>
    </row>
    <row r="4221" spans="1:8" ht="27" customHeight="1" x14ac:dyDescent="0.2">
      <c r="A4221" s="31" t="s">
        <v>5479</v>
      </c>
      <c r="B4221" s="32" t="s">
        <v>5480</v>
      </c>
      <c r="C4221" s="32" t="s">
        <v>796</v>
      </c>
      <c r="D4221" s="32" t="s">
        <v>5482</v>
      </c>
      <c r="E4221" s="33" t="s">
        <v>772</v>
      </c>
      <c r="F4221" s="34">
        <v>100046</v>
      </c>
      <c r="G4221" s="34">
        <v>100070</v>
      </c>
      <c r="H4221" s="35" t="s">
        <v>5483</v>
      </c>
    </row>
    <row r="4222" spans="1:8" ht="27" customHeight="1" x14ac:dyDescent="0.2">
      <c r="A4222" s="31" t="s">
        <v>5479</v>
      </c>
      <c r="B4222" s="32" t="s">
        <v>5480</v>
      </c>
      <c r="C4222" s="32" t="s">
        <v>776</v>
      </c>
      <c r="D4222" s="32" t="s">
        <v>812</v>
      </c>
      <c r="E4222" s="33" t="s">
        <v>777</v>
      </c>
      <c r="F4222" s="34">
        <v>3883346</v>
      </c>
      <c r="G4222" s="34">
        <v>3454228</v>
      </c>
      <c r="H4222" s="35" t="s">
        <v>5484</v>
      </c>
    </row>
    <row r="4223" spans="1:8" ht="27" customHeight="1" x14ac:dyDescent="0.2">
      <c r="A4223" s="31" t="s">
        <v>5485</v>
      </c>
      <c r="B4223" s="32" t="s">
        <v>5486</v>
      </c>
      <c r="C4223" s="32" t="s">
        <v>763</v>
      </c>
      <c r="D4223" s="32" t="s">
        <v>1924</v>
      </c>
      <c r="E4223" s="33" t="s">
        <v>764</v>
      </c>
      <c r="F4223" s="34">
        <v>987862</v>
      </c>
      <c r="G4223" s="34">
        <v>1000000</v>
      </c>
      <c r="H4223" s="35" t="s">
        <v>5487</v>
      </c>
    </row>
    <row r="4224" spans="1:8" ht="27" customHeight="1" x14ac:dyDescent="0.2">
      <c r="A4224" s="31" t="s">
        <v>5485</v>
      </c>
      <c r="B4224" s="32" t="s">
        <v>5486</v>
      </c>
      <c r="C4224" s="32" t="s">
        <v>844</v>
      </c>
      <c r="D4224" s="32" t="s">
        <v>5488</v>
      </c>
      <c r="E4224" s="33" t="s">
        <v>846</v>
      </c>
      <c r="F4224" s="34">
        <v>1413840</v>
      </c>
      <c r="G4224" s="34">
        <v>1413840</v>
      </c>
      <c r="H4224" s="35" t="s">
        <v>5489</v>
      </c>
    </row>
    <row r="4225" spans="1:8" ht="27" customHeight="1" x14ac:dyDescent="0.2">
      <c r="A4225" s="31" t="s">
        <v>5485</v>
      </c>
      <c r="B4225" s="32" t="s">
        <v>5486</v>
      </c>
      <c r="C4225" s="32" t="s">
        <v>796</v>
      </c>
      <c r="D4225" s="32" t="s">
        <v>835</v>
      </c>
      <c r="E4225" s="33" t="s">
        <v>772</v>
      </c>
      <c r="F4225" s="34">
        <v>693855</v>
      </c>
      <c r="G4225" s="34">
        <v>693855</v>
      </c>
      <c r="H4225" s="35" t="s">
        <v>5490</v>
      </c>
    </row>
    <row r="4226" spans="1:8" ht="27" customHeight="1" x14ac:dyDescent="0.2">
      <c r="A4226" s="31" t="s">
        <v>5485</v>
      </c>
      <c r="B4226" s="32" t="s">
        <v>5486</v>
      </c>
      <c r="C4226" s="32" t="s">
        <v>776</v>
      </c>
      <c r="D4226" s="32" t="s">
        <v>776</v>
      </c>
      <c r="E4226" s="33" t="s">
        <v>777</v>
      </c>
      <c r="F4226" s="34">
        <v>1532665</v>
      </c>
      <c r="G4226" s="34">
        <v>1532665</v>
      </c>
      <c r="H4226" s="35" t="s">
        <v>5491</v>
      </c>
    </row>
    <row r="4227" spans="1:8" ht="27" customHeight="1" x14ac:dyDescent="0.2">
      <c r="A4227" s="31" t="s">
        <v>5485</v>
      </c>
      <c r="B4227" s="32" t="s">
        <v>5486</v>
      </c>
      <c r="C4227" s="32" t="s">
        <v>779</v>
      </c>
      <c r="D4227" s="32" t="s">
        <v>802</v>
      </c>
      <c r="E4227" s="33" t="s">
        <v>780</v>
      </c>
      <c r="F4227" s="34">
        <v>79363</v>
      </c>
      <c r="G4227" s="34">
        <v>79363</v>
      </c>
      <c r="H4227" s="35" t="s">
        <v>5492</v>
      </c>
    </row>
    <row r="4228" spans="1:8" ht="27" customHeight="1" x14ac:dyDescent="0.2">
      <c r="A4228" s="31" t="s">
        <v>5493</v>
      </c>
      <c r="B4228" s="32" t="s">
        <v>5494</v>
      </c>
      <c r="C4228" s="32" t="s">
        <v>763</v>
      </c>
      <c r="D4228" s="32" t="s">
        <v>816</v>
      </c>
      <c r="E4228" s="33" t="s">
        <v>764</v>
      </c>
      <c r="F4228" s="34">
        <v>2200346</v>
      </c>
      <c r="G4228" s="34">
        <v>0</v>
      </c>
      <c r="H4228" s="35" t="s">
        <v>5495</v>
      </c>
    </row>
    <row r="4229" spans="1:8" ht="27" customHeight="1" x14ac:dyDescent="0.2">
      <c r="A4229" s="31" t="s">
        <v>5493</v>
      </c>
      <c r="B4229" s="32" t="s">
        <v>5494</v>
      </c>
      <c r="C4229" s="32" t="s">
        <v>766</v>
      </c>
      <c r="D4229" s="32" t="s">
        <v>818</v>
      </c>
      <c r="E4229" s="33" t="s">
        <v>768</v>
      </c>
      <c r="F4229" s="34">
        <v>800000</v>
      </c>
      <c r="G4229" s="34">
        <v>800000</v>
      </c>
      <c r="H4229" s="35" t="s">
        <v>5496</v>
      </c>
    </row>
    <row r="4230" spans="1:8" ht="27" customHeight="1" x14ac:dyDescent="0.2">
      <c r="A4230" s="31" t="s">
        <v>5493</v>
      </c>
      <c r="B4230" s="32" t="s">
        <v>5494</v>
      </c>
      <c r="C4230" s="32" t="s">
        <v>796</v>
      </c>
      <c r="D4230" s="32" t="s">
        <v>811</v>
      </c>
      <c r="E4230" s="33" t="s">
        <v>823</v>
      </c>
      <c r="F4230" s="34">
        <v>83476</v>
      </c>
      <c r="G4230" s="34">
        <v>83476</v>
      </c>
      <c r="H4230" s="35" t="s">
        <v>5497</v>
      </c>
    </row>
    <row r="4231" spans="1:8" ht="27" customHeight="1" x14ac:dyDescent="0.2">
      <c r="A4231" s="31" t="s">
        <v>5493</v>
      </c>
      <c r="B4231" s="32" t="s">
        <v>5494</v>
      </c>
      <c r="C4231" s="32" t="s">
        <v>776</v>
      </c>
      <c r="D4231" s="32" t="s">
        <v>914</v>
      </c>
      <c r="E4231" s="33" t="s">
        <v>777</v>
      </c>
      <c r="F4231" s="34">
        <v>3021959</v>
      </c>
      <c r="G4231" s="34">
        <v>1975000</v>
      </c>
      <c r="H4231" s="35" t="s">
        <v>5498</v>
      </c>
    </row>
    <row r="4232" spans="1:8" ht="27" customHeight="1" x14ac:dyDescent="0.2">
      <c r="A4232" s="31" t="s">
        <v>5499</v>
      </c>
      <c r="B4232" s="32" t="s">
        <v>384</v>
      </c>
      <c r="C4232" s="32" t="s">
        <v>763</v>
      </c>
      <c r="D4232" s="32" t="s">
        <v>1361</v>
      </c>
      <c r="E4232" s="33" t="s">
        <v>764</v>
      </c>
      <c r="F4232" s="34">
        <v>303167</v>
      </c>
      <c r="G4232" s="34">
        <v>305000</v>
      </c>
      <c r="H4232" s="35" t="s">
        <v>5500</v>
      </c>
    </row>
    <row r="4233" spans="1:8" ht="27" customHeight="1" x14ac:dyDescent="0.2">
      <c r="A4233" s="31" t="s">
        <v>5499</v>
      </c>
      <c r="B4233" s="32" t="s">
        <v>384</v>
      </c>
      <c r="C4233" s="32" t="s">
        <v>770</v>
      </c>
      <c r="D4233" s="32" t="s">
        <v>770</v>
      </c>
      <c r="E4233" s="33" t="s">
        <v>772</v>
      </c>
      <c r="F4233" s="34">
        <v>505998</v>
      </c>
      <c r="G4233" s="34">
        <v>495000</v>
      </c>
      <c r="H4233" s="35" t="s">
        <v>5501</v>
      </c>
    </row>
    <row r="4234" spans="1:8" ht="27" customHeight="1" x14ac:dyDescent="0.2">
      <c r="A4234" s="31" t="s">
        <v>5499</v>
      </c>
      <c r="B4234" s="32" t="s">
        <v>384</v>
      </c>
      <c r="C4234" s="32" t="s">
        <v>776</v>
      </c>
      <c r="D4234" s="32" t="s">
        <v>812</v>
      </c>
      <c r="E4234" s="33" t="s">
        <v>777</v>
      </c>
      <c r="F4234" s="34">
        <v>940292</v>
      </c>
      <c r="G4234" s="34">
        <v>790500</v>
      </c>
      <c r="H4234" s="35" t="s">
        <v>5502</v>
      </c>
    </row>
    <row r="4235" spans="1:8" ht="27" customHeight="1" x14ac:dyDescent="0.2">
      <c r="A4235" s="31" t="s">
        <v>5499</v>
      </c>
      <c r="B4235" s="32" t="s">
        <v>384</v>
      </c>
      <c r="C4235" s="32" t="s">
        <v>782</v>
      </c>
      <c r="D4235" s="32" t="s">
        <v>1391</v>
      </c>
      <c r="E4235" s="33" t="s">
        <v>784</v>
      </c>
      <c r="F4235" s="34">
        <v>343342</v>
      </c>
      <c r="G4235" s="34">
        <v>345000</v>
      </c>
      <c r="H4235" s="35" t="s">
        <v>5503</v>
      </c>
    </row>
    <row r="4236" spans="1:8" ht="27" customHeight="1" x14ac:dyDescent="0.2">
      <c r="A4236" s="31" t="s">
        <v>5504</v>
      </c>
      <c r="B4236" s="32" t="s">
        <v>5505</v>
      </c>
      <c r="C4236" s="32" t="s">
        <v>763</v>
      </c>
      <c r="D4236" s="32" t="s">
        <v>1935</v>
      </c>
      <c r="E4236" s="33" t="s">
        <v>764</v>
      </c>
      <c r="F4236" s="34">
        <v>1602493</v>
      </c>
      <c r="G4236" s="34">
        <v>2000000</v>
      </c>
      <c r="H4236" s="35" t="s">
        <v>5506</v>
      </c>
    </row>
    <row r="4237" spans="1:8" ht="27" customHeight="1" x14ac:dyDescent="0.2">
      <c r="A4237" s="31" t="s">
        <v>5504</v>
      </c>
      <c r="B4237" s="32" t="s">
        <v>5505</v>
      </c>
      <c r="C4237" s="32" t="s">
        <v>766</v>
      </c>
      <c r="D4237" s="32" t="s">
        <v>1301</v>
      </c>
      <c r="E4237" s="33" t="s">
        <v>768</v>
      </c>
      <c r="F4237" s="34">
        <v>406679</v>
      </c>
      <c r="G4237" s="34">
        <v>406679</v>
      </c>
      <c r="H4237" s="35" t="s">
        <v>5507</v>
      </c>
    </row>
    <row r="4238" spans="1:8" ht="27" customHeight="1" x14ac:dyDescent="0.2">
      <c r="A4238" s="31" t="s">
        <v>5504</v>
      </c>
      <c r="B4238" s="32" t="s">
        <v>5505</v>
      </c>
      <c r="C4238" s="32" t="s">
        <v>770</v>
      </c>
      <c r="D4238" s="32" t="s">
        <v>5508</v>
      </c>
      <c r="E4238" s="33" t="s">
        <v>772</v>
      </c>
      <c r="F4238" s="34">
        <v>97553</v>
      </c>
      <c r="G4238" s="34">
        <v>97553</v>
      </c>
      <c r="H4238" s="35" t="s">
        <v>1840</v>
      </c>
    </row>
    <row r="4239" spans="1:8" ht="27" customHeight="1" x14ac:dyDescent="0.2">
      <c r="A4239" s="31" t="s">
        <v>5504</v>
      </c>
      <c r="B4239" s="32" t="s">
        <v>5505</v>
      </c>
      <c r="C4239" s="32" t="s">
        <v>796</v>
      </c>
      <c r="D4239" s="32" t="s">
        <v>1422</v>
      </c>
      <c r="E4239" s="33" t="s">
        <v>823</v>
      </c>
      <c r="F4239" s="34">
        <v>676944</v>
      </c>
      <c r="G4239" s="34">
        <v>676944</v>
      </c>
      <c r="H4239" s="35" t="s">
        <v>5509</v>
      </c>
    </row>
    <row r="4240" spans="1:8" ht="27" customHeight="1" x14ac:dyDescent="0.2">
      <c r="A4240" s="31" t="s">
        <v>5504</v>
      </c>
      <c r="B4240" s="32" t="s">
        <v>5505</v>
      </c>
      <c r="C4240" s="32" t="s">
        <v>776</v>
      </c>
      <c r="D4240" s="32" t="s">
        <v>914</v>
      </c>
      <c r="E4240" s="33" t="s">
        <v>777</v>
      </c>
      <c r="F4240" s="34">
        <v>3092195</v>
      </c>
      <c r="G4240" s="34">
        <v>2969698</v>
      </c>
      <c r="H4240" s="35" t="s">
        <v>5510</v>
      </c>
    </row>
    <row r="4241" spans="1:8" ht="27" customHeight="1" x14ac:dyDescent="0.2">
      <c r="A4241" s="31" t="s">
        <v>5504</v>
      </c>
      <c r="B4241" s="32" t="s">
        <v>5505</v>
      </c>
      <c r="C4241" s="32" t="s">
        <v>779</v>
      </c>
      <c r="D4241" s="32" t="s">
        <v>1426</v>
      </c>
      <c r="E4241" s="33" t="s">
        <v>780</v>
      </c>
      <c r="F4241" s="34">
        <v>123083</v>
      </c>
      <c r="G4241" s="34">
        <v>123083</v>
      </c>
      <c r="H4241" s="35" t="s">
        <v>4981</v>
      </c>
    </row>
    <row r="4242" spans="1:8" ht="27" customHeight="1" x14ac:dyDescent="0.2">
      <c r="A4242" s="31" t="s">
        <v>5511</v>
      </c>
      <c r="B4242" s="32" t="s">
        <v>5512</v>
      </c>
      <c r="C4242" s="32" t="s">
        <v>763</v>
      </c>
      <c r="D4242" s="32" t="s">
        <v>1335</v>
      </c>
      <c r="E4242" s="33" t="s">
        <v>764</v>
      </c>
      <c r="F4242" s="34">
        <v>150000</v>
      </c>
      <c r="G4242" s="34">
        <v>850000</v>
      </c>
      <c r="H4242" s="35" t="s">
        <v>5513</v>
      </c>
    </row>
    <row r="4243" spans="1:8" ht="27" customHeight="1" x14ac:dyDescent="0.2">
      <c r="A4243" s="31" t="s">
        <v>5511</v>
      </c>
      <c r="B4243" s="32" t="s">
        <v>5512</v>
      </c>
      <c r="C4243" s="32" t="s">
        <v>766</v>
      </c>
      <c r="D4243" s="32" t="s">
        <v>818</v>
      </c>
      <c r="E4243" s="33" t="s">
        <v>768</v>
      </c>
      <c r="F4243" s="34">
        <v>20237</v>
      </c>
      <c r="G4243" s="34">
        <v>20237</v>
      </c>
      <c r="H4243" s="35" t="s">
        <v>1951</v>
      </c>
    </row>
    <row r="4244" spans="1:8" ht="27" customHeight="1" x14ac:dyDescent="0.2">
      <c r="A4244" s="31" t="s">
        <v>5511</v>
      </c>
      <c r="B4244" s="32" t="s">
        <v>5512</v>
      </c>
      <c r="C4244" s="32" t="s">
        <v>770</v>
      </c>
      <c r="D4244" s="32" t="s">
        <v>1121</v>
      </c>
      <c r="E4244" s="33" t="s">
        <v>772</v>
      </c>
      <c r="F4244" s="34">
        <v>209587</v>
      </c>
      <c r="G4244" s="34">
        <v>250000</v>
      </c>
      <c r="H4244" s="35" t="s">
        <v>1951</v>
      </c>
    </row>
    <row r="4245" spans="1:8" ht="27" customHeight="1" x14ac:dyDescent="0.2">
      <c r="A4245" s="31" t="s">
        <v>5511</v>
      </c>
      <c r="B4245" s="32" t="s">
        <v>5512</v>
      </c>
      <c r="C4245" s="32" t="s">
        <v>860</v>
      </c>
      <c r="D4245" s="32" t="s">
        <v>1027</v>
      </c>
      <c r="E4245" s="33" t="s">
        <v>861</v>
      </c>
      <c r="F4245" s="34">
        <v>200000</v>
      </c>
      <c r="G4245" s="34">
        <v>200000</v>
      </c>
      <c r="H4245" s="35" t="s">
        <v>1951</v>
      </c>
    </row>
    <row r="4246" spans="1:8" ht="27" customHeight="1" x14ac:dyDescent="0.2">
      <c r="A4246" s="31" t="s">
        <v>5511</v>
      </c>
      <c r="B4246" s="32" t="s">
        <v>5512</v>
      </c>
      <c r="C4246" s="32" t="s">
        <v>796</v>
      </c>
      <c r="D4246" s="32" t="s">
        <v>5514</v>
      </c>
      <c r="E4246" s="33" t="s">
        <v>772</v>
      </c>
      <c r="F4246" s="34">
        <v>1553310</v>
      </c>
      <c r="G4246" s="34">
        <v>1000000</v>
      </c>
      <c r="H4246" s="35" t="s">
        <v>5515</v>
      </c>
    </row>
    <row r="4247" spans="1:8" ht="27" customHeight="1" x14ac:dyDescent="0.2">
      <c r="A4247" s="31" t="s">
        <v>5511</v>
      </c>
      <c r="B4247" s="32" t="s">
        <v>5512</v>
      </c>
      <c r="C4247" s="32" t="s">
        <v>776</v>
      </c>
      <c r="D4247" s="32" t="s">
        <v>914</v>
      </c>
      <c r="E4247" s="33" t="s">
        <v>777</v>
      </c>
      <c r="F4247" s="34">
        <v>1595638</v>
      </c>
      <c r="G4247" s="34">
        <v>1050000</v>
      </c>
      <c r="H4247" s="35" t="s">
        <v>5516</v>
      </c>
    </row>
    <row r="4248" spans="1:8" ht="27" customHeight="1" x14ac:dyDescent="0.2">
      <c r="A4248" s="31" t="s">
        <v>5517</v>
      </c>
      <c r="B4248" s="32" t="s">
        <v>5518</v>
      </c>
      <c r="C4248" s="32" t="s">
        <v>763</v>
      </c>
      <c r="D4248" s="32" t="s">
        <v>763</v>
      </c>
      <c r="E4248" s="33" t="s">
        <v>764</v>
      </c>
      <c r="F4248" s="34">
        <v>500000</v>
      </c>
      <c r="G4248" s="34">
        <v>750000</v>
      </c>
      <c r="H4248" s="35" t="s">
        <v>5519</v>
      </c>
    </row>
    <row r="4249" spans="1:8" ht="27" customHeight="1" x14ac:dyDescent="0.2">
      <c r="A4249" s="31" t="s">
        <v>5517</v>
      </c>
      <c r="B4249" s="32" t="s">
        <v>5518</v>
      </c>
      <c r="C4249" s="32" t="s">
        <v>770</v>
      </c>
      <c r="D4249" s="32" t="s">
        <v>810</v>
      </c>
      <c r="E4249" s="33" t="s">
        <v>772</v>
      </c>
      <c r="F4249" s="34">
        <v>1840969</v>
      </c>
      <c r="G4249" s="34">
        <v>1840969</v>
      </c>
      <c r="H4249" s="35" t="s">
        <v>5520</v>
      </c>
    </row>
    <row r="4250" spans="1:8" ht="27" customHeight="1" x14ac:dyDescent="0.2">
      <c r="A4250" s="31" t="s">
        <v>5517</v>
      </c>
      <c r="B4250" s="32" t="s">
        <v>5518</v>
      </c>
      <c r="C4250" s="32" t="s">
        <v>796</v>
      </c>
      <c r="D4250" s="32" t="s">
        <v>796</v>
      </c>
      <c r="E4250" s="33" t="s">
        <v>772</v>
      </c>
      <c r="F4250" s="34">
        <v>2482144</v>
      </c>
      <c r="G4250" s="34">
        <v>2482144</v>
      </c>
      <c r="H4250" s="35" t="s">
        <v>5521</v>
      </c>
    </row>
    <row r="4251" spans="1:8" ht="27" customHeight="1" x14ac:dyDescent="0.2">
      <c r="A4251" s="31" t="s">
        <v>5517</v>
      </c>
      <c r="B4251" s="32" t="s">
        <v>5518</v>
      </c>
      <c r="C4251" s="32" t="s">
        <v>776</v>
      </c>
      <c r="D4251" s="32" t="s">
        <v>776</v>
      </c>
      <c r="E4251" s="33" t="s">
        <v>777</v>
      </c>
      <c r="F4251" s="34">
        <v>6656987</v>
      </c>
      <c r="G4251" s="34">
        <v>5988606</v>
      </c>
      <c r="H4251" s="35" t="s">
        <v>5522</v>
      </c>
    </row>
    <row r="4252" spans="1:8" ht="27" customHeight="1" x14ac:dyDescent="0.2">
      <c r="A4252" s="31" t="s">
        <v>5517</v>
      </c>
      <c r="B4252" s="32" t="s">
        <v>5518</v>
      </c>
      <c r="C4252" s="32" t="s">
        <v>779</v>
      </c>
      <c r="D4252" s="32" t="s">
        <v>779</v>
      </c>
      <c r="E4252" s="33" t="s">
        <v>780</v>
      </c>
      <c r="F4252" s="34">
        <v>250000</v>
      </c>
      <c r="G4252" s="34">
        <v>250000</v>
      </c>
      <c r="H4252" s="35" t="s">
        <v>5523</v>
      </c>
    </row>
    <row r="4253" spans="1:8" ht="27" customHeight="1" x14ac:dyDescent="0.2">
      <c r="A4253" s="31" t="s">
        <v>5524</v>
      </c>
      <c r="B4253" s="32" t="s">
        <v>5525</v>
      </c>
      <c r="C4253" s="32" t="s">
        <v>796</v>
      </c>
      <c r="D4253" s="32" t="s">
        <v>1314</v>
      </c>
      <c r="E4253" s="33" t="s">
        <v>772</v>
      </c>
      <c r="F4253" s="34">
        <v>1376979</v>
      </c>
      <c r="G4253" s="34">
        <v>1619266</v>
      </c>
      <c r="H4253" s="35" t="s">
        <v>5526</v>
      </c>
    </row>
    <row r="4254" spans="1:8" ht="27" customHeight="1" x14ac:dyDescent="0.2">
      <c r="A4254" s="31" t="s">
        <v>5524</v>
      </c>
      <c r="B4254" s="32" t="s">
        <v>5525</v>
      </c>
      <c r="C4254" s="32" t="s">
        <v>776</v>
      </c>
      <c r="D4254" s="32" t="s">
        <v>5527</v>
      </c>
      <c r="E4254" s="33" t="s">
        <v>777</v>
      </c>
      <c r="F4254" s="34">
        <v>3802763</v>
      </c>
      <c r="G4254" s="34">
        <v>4339263</v>
      </c>
      <c r="H4254" s="35" t="s">
        <v>4177</v>
      </c>
    </row>
    <row r="4255" spans="1:8" ht="27" customHeight="1" x14ac:dyDescent="0.2">
      <c r="A4255" s="31" t="s">
        <v>5528</v>
      </c>
      <c r="B4255" s="32" t="s">
        <v>5529</v>
      </c>
      <c r="C4255" s="32" t="s">
        <v>763</v>
      </c>
      <c r="D4255" s="32" t="s">
        <v>931</v>
      </c>
      <c r="E4255" s="33" t="s">
        <v>764</v>
      </c>
      <c r="F4255" s="34">
        <v>4748602</v>
      </c>
      <c r="G4255" s="34">
        <v>23000</v>
      </c>
      <c r="H4255" s="35" t="s">
        <v>5530</v>
      </c>
    </row>
    <row r="4256" spans="1:8" ht="27" customHeight="1" x14ac:dyDescent="0.2">
      <c r="A4256" s="31" t="s">
        <v>5528</v>
      </c>
      <c r="B4256" s="32" t="s">
        <v>5529</v>
      </c>
      <c r="C4256" s="32" t="s">
        <v>770</v>
      </c>
      <c r="D4256" s="32" t="s">
        <v>810</v>
      </c>
      <c r="E4256" s="33" t="s">
        <v>772</v>
      </c>
      <c r="F4256" s="34">
        <v>1363804</v>
      </c>
      <c r="G4256" s="34">
        <v>1380852</v>
      </c>
      <c r="H4256" s="35" t="s">
        <v>5531</v>
      </c>
    </row>
    <row r="4257" spans="1:8" ht="27" customHeight="1" x14ac:dyDescent="0.2">
      <c r="A4257" s="31" t="s">
        <v>5528</v>
      </c>
      <c r="B4257" s="32" t="s">
        <v>5529</v>
      </c>
      <c r="C4257" s="32" t="s">
        <v>776</v>
      </c>
      <c r="D4257" s="32" t="s">
        <v>5527</v>
      </c>
      <c r="E4257" s="33" t="s">
        <v>777</v>
      </c>
      <c r="F4257" s="34">
        <v>10816267</v>
      </c>
      <c r="G4257" s="34">
        <v>10799595</v>
      </c>
      <c r="H4257" s="35" t="s">
        <v>5532</v>
      </c>
    </row>
    <row r="4258" spans="1:8" ht="27" customHeight="1" x14ac:dyDescent="0.2">
      <c r="A4258" s="31" t="s">
        <v>5528</v>
      </c>
      <c r="B4258" s="32" t="s">
        <v>5529</v>
      </c>
      <c r="C4258" s="32" t="s">
        <v>782</v>
      </c>
      <c r="D4258" s="32" t="s">
        <v>2662</v>
      </c>
      <c r="E4258" s="33" t="s">
        <v>784</v>
      </c>
      <c r="F4258" s="34">
        <v>347357</v>
      </c>
      <c r="G4258" s="34">
        <v>351699</v>
      </c>
      <c r="H4258" s="35" t="s">
        <v>5533</v>
      </c>
    </row>
    <row r="4259" spans="1:8" ht="27" customHeight="1" x14ac:dyDescent="0.2">
      <c r="A4259" s="31" t="s">
        <v>5534</v>
      </c>
      <c r="B4259" s="32" t="s">
        <v>5535</v>
      </c>
      <c r="C4259" s="32" t="s">
        <v>770</v>
      </c>
      <c r="D4259" s="32" t="s">
        <v>770</v>
      </c>
      <c r="E4259" s="33" t="s">
        <v>772</v>
      </c>
      <c r="F4259" s="34">
        <v>804397</v>
      </c>
      <c r="G4259" s="34">
        <v>804397</v>
      </c>
      <c r="H4259" s="35" t="s">
        <v>5536</v>
      </c>
    </row>
    <row r="4260" spans="1:8" ht="27" customHeight="1" x14ac:dyDescent="0.2">
      <c r="A4260" s="31" t="s">
        <v>5534</v>
      </c>
      <c r="B4260" s="32" t="s">
        <v>5535</v>
      </c>
      <c r="C4260" s="32" t="s">
        <v>773</v>
      </c>
      <c r="D4260" s="32" t="s">
        <v>5442</v>
      </c>
      <c r="E4260" s="33" t="s">
        <v>775</v>
      </c>
      <c r="F4260" s="34">
        <v>500000</v>
      </c>
      <c r="G4260" s="34">
        <v>600000</v>
      </c>
      <c r="H4260" s="35" t="s">
        <v>5537</v>
      </c>
    </row>
    <row r="4261" spans="1:8" ht="27" customHeight="1" x14ac:dyDescent="0.2">
      <c r="A4261" s="31" t="s">
        <v>5534</v>
      </c>
      <c r="B4261" s="32" t="s">
        <v>5535</v>
      </c>
      <c r="C4261" s="32" t="s">
        <v>886</v>
      </c>
      <c r="D4261" s="32" t="s">
        <v>886</v>
      </c>
      <c r="E4261" s="33" t="s">
        <v>887</v>
      </c>
      <c r="F4261" s="34">
        <v>33155</v>
      </c>
      <c r="G4261" s="34">
        <v>33155</v>
      </c>
      <c r="H4261" s="35" t="s">
        <v>5538</v>
      </c>
    </row>
    <row r="4262" spans="1:8" ht="27" customHeight="1" x14ac:dyDescent="0.2">
      <c r="A4262" s="31" t="s">
        <v>5534</v>
      </c>
      <c r="B4262" s="32" t="s">
        <v>5535</v>
      </c>
      <c r="C4262" s="32" t="s">
        <v>796</v>
      </c>
      <c r="D4262" s="32" t="s">
        <v>796</v>
      </c>
      <c r="E4262" s="33" t="s">
        <v>823</v>
      </c>
      <c r="F4262" s="34">
        <v>3296333</v>
      </c>
      <c r="G4262" s="34">
        <v>3296333</v>
      </c>
      <c r="H4262" s="35" t="s">
        <v>5539</v>
      </c>
    </row>
    <row r="4263" spans="1:8" ht="27" customHeight="1" x14ac:dyDescent="0.2">
      <c r="A4263" s="31" t="s">
        <v>5534</v>
      </c>
      <c r="B4263" s="32" t="s">
        <v>5535</v>
      </c>
      <c r="C4263" s="32" t="s">
        <v>776</v>
      </c>
      <c r="D4263" s="32" t="s">
        <v>776</v>
      </c>
      <c r="E4263" s="33" t="s">
        <v>777</v>
      </c>
      <c r="F4263" s="34">
        <v>13361350</v>
      </c>
      <c r="G4263" s="34">
        <v>14310573</v>
      </c>
      <c r="H4263" s="35" t="s">
        <v>5540</v>
      </c>
    </row>
    <row r="4264" spans="1:8" ht="27" customHeight="1" x14ac:dyDescent="0.2">
      <c r="A4264" s="31" t="s">
        <v>5541</v>
      </c>
      <c r="B4264" s="32" t="s">
        <v>5542</v>
      </c>
      <c r="C4264" s="32" t="s">
        <v>860</v>
      </c>
      <c r="D4264" s="32" t="s">
        <v>1027</v>
      </c>
      <c r="E4264" s="33" t="s">
        <v>861</v>
      </c>
      <c r="F4264" s="34">
        <v>9137</v>
      </c>
      <c r="G4264" s="34">
        <v>9137</v>
      </c>
      <c r="H4264" s="35" t="s">
        <v>5543</v>
      </c>
    </row>
    <row r="4265" spans="1:8" ht="27" customHeight="1" x14ac:dyDescent="0.2">
      <c r="A4265" s="31" t="s">
        <v>5541</v>
      </c>
      <c r="B4265" s="32" t="s">
        <v>5542</v>
      </c>
      <c r="C4265" s="32" t="s">
        <v>776</v>
      </c>
      <c r="D4265" s="32" t="s">
        <v>914</v>
      </c>
      <c r="E4265" s="33" t="s">
        <v>777</v>
      </c>
      <c r="F4265" s="34">
        <v>3476681</v>
      </c>
      <c r="G4265" s="34">
        <v>4476681</v>
      </c>
      <c r="H4265" s="35" t="s">
        <v>5544</v>
      </c>
    </row>
    <row r="4266" spans="1:8" ht="27" customHeight="1" x14ac:dyDescent="0.2">
      <c r="A4266" s="31" t="s">
        <v>5541</v>
      </c>
      <c r="B4266" s="32" t="s">
        <v>5542</v>
      </c>
      <c r="C4266" s="32" t="s">
        <v>782</v>
      </c>
      <c r="D4266" s="32" t="s">
        <v>5545</v>
      </c>
      <c r="E4266" s="33" t="s">
        <v>784</v>
      </c>
      <c r="F4266" s="34">
        <v>0</v>
      </c>
      <c r="G4266" s="34">
        <v>250000</v>
      </c>
      <c r="H4266" s="35" t="s">
        <v>5546</v>
      </c>
    </row>
    <row r="4267" spans="1:8" ht="27" customHeight="1" x14ac:dyDescent="0.2">
      <c r="A4267" s="31" t="s">
        <v>5547</v>
      </c>
      <c r="B4267" s="32" t="s">
        <v>5548</v>
      </c>
      <c r="C4267" s="32" t="s">
        <v>770</v>
      </c>
      <c r="D4267" s="32" t="s">
        <v>810</v>
      </c>
      <c r="E4267" s="33" t="s">
        <v>772</v>
      </c>
      <c r="F4267" s="34">
        <v>294090</v>
      </c>
      <c r="G4267" s="34">
        <v>285405</v>
      </c>
      <c r="H4267" s="35" t="s">
        <v>5549</v>
      </c>
    </row>
    <row r="4268" spans="1:8" ht="27" customHeight="1" x14ac:dyDescent="0.2">
      <c r="A4268" s="31" t="s">
        <v>5547</v>
      </c>
      <c r="B4268" s="32" t="s">
        <v>5548</v>
      </c>
      <c r="C4268" s="32" t="s">
        <v>796</v>
      </c>
      <c r="D4268" s="32" t="s">
        <v>1095</v>
      </c>
      <c r="E4268" s="33" t="s">
        <v>823</v>
      </c>
      <c r="F4268" s="34">
        <v>179727</v>
      </c>
      <c r="G4268" s="34">
        <v>129727</v>
      </c>
      <c r="H4268" s="35" t="s">
        <v>5550</v>
      </c>
    </row>
    <row r="4269" spans="1:8" ht="27" customHeight="1" x14ac:dyDescent="0.2">
      <c r="A4269" s="31" t="s">
        <v>5547</v>
      </c>
      <c r="B4269" s="32" t="s">
        <v>5548</v>
      </c>
      <c r="C4269" s="32" t="s">
        <v>776</v>
      </c>
      <c r="D4269" s="32" t="s">
        <v>5551</v>
      </c>
      <c r="E4269" s="33" t="s">
        <v>777</v>
      </c>
      <c r="F4269" s="34">
        <v>4041819</v>
      </c>
      <c r="G4269" s="34">
        <v>4041419</v>
      </c>
      <c r="H4269" s="35" t="s">
        <v>5552</v>
      </c>
    </row>
    <row r="4270" spans="1:8" ht="27" customHeight="1" x14ac:dyDescent="0.2">
      <c r="A4270" s="31" t="s">
        <v>5547</v>
      </c>
      <c r="B4270" s="32" t="s">
        <v>5548</v>
      </c>
      <c r="C4270" s="32" t="s">
        <v>779</v>
      </c>
      <c r="D4270" s="32" t="s">
        <v>826</v>
      </c>
      <c r="E4270" s="33" t="s">
        <v>780</v>
      </c>
      <c r="F4270" s="34">
        <v>188730</v>
      </c>
      <c r="G4270" s="34">
        <v>188730</v>
      </c>
      <c r="H4270" s="35" t="s">
        <v>5553</v>
      </c>
    </row>
    <row r="4271" spans="1:8" ht="27" customHeight="1" x14ac:dyDescent="0.2">
      <c r="A4271" s="31" t="s">
        <v>5554</v>
      </c>
      <c r="B4271" s="32" t="s">
        <v>5555</v>
      </c>
      <c r="C4271" s="32" t="s">
        <v>763</v>
      </c>
      <c r="D4271" s="32" t="s">
        <v>816</v>
      </c>
      <c r="E4271" s="33" t="s">
        <v>764</v>
      </c>
      <c r="F4271" s="34">
        <v>100000</v>
      </c>
      <c r="G4271" s="34">
        <v>351000</v>
      </c>
      <c r="H4271" s="35" t="s">
        <v>5556</v>
      </c>
    </row>
    <row r="4272" spans="1:8" ht="27" customHeight="1" x14ac:dyDescent="0.2">
      <c r="A4272" s="31" t="s">
        <v>5554</v>
      </c>
      <c r="B4272" s="32" t="s">
        <v>5555</v>
      </c>
      <c r="C4272" s="32" t="s">
        <v>770</v>
      </c>
      <c r="D4272" s="32" t="s">
        <v>970</v>
      </c>
      <c r="E4272" s="33" t="s">
        <v>772</v>
      </c>
      <c r="F4272" s="34">
        <v>220000</v>
      </c>
      <c r="G4272" s="34">
        <v>222200</v>
      </c>
      <c r="H4272" s="35" t="s">
        <v>859</v>
      </c>
    </row>
    <row r="4273" spans="1:8" ht="27" customHeight="1" x14ac:dyDescent="0.2">
      <c r="A4273" s="31" t="s">
        <v>5554</v>
      </c>
      <c r="B4273" s="32" t="s">
        <v>5555</v>
      </c>
      <c r="C4273" s="32" t="s">
        <v>796</v>
      </c>
      <c r="D4273" s="32" t="s">
        <v>811</v>
      </c>
      <c r="E4273" s="33" t="s">
        <v>823</v>
      </c>
      <c r="F4273" s="34">
        <v>200000</v>
      </c>
      <c r="G4273" s="34">
        <v>202000</v>
      </c>
      <c r="H4273" s="35" t="s">
        <v>859</v>
      </c>
    </row>
    <row r="4274" spans="1:8" ht="27" customHeight="1" x14ac:dyDescent="0.2">
      <c r="A4274" s="31" t="s">
        <v>5554</v>
      </c>
      <c r="B4274" s="32" t="s">
        <v>5555</v>
      </c>
      <c r="C4274" s="32" t="s">
        <v>776</v>
      </c>
      <c r="D4274" s="32" t="s">
        <v>812</v>
      </c>
      <c r="E4274" s="33" t="s">
        <v>777</v>
      </c>
      <c r="F4274" s="34">
        <v>12064176</v>
      </c>
      <c r="G4274" s="34">
        <v>15342460</v>
      </c>
      <c r="H4274" s="35" t="s">
        <v>5557</v>
      </c>
    </row>
    <row r="4275" spans="1:8" ht="27" customHeight="1" x14ac:dyDescent="0.2">
      <c r="A4275" s="31" t="s">
        <v>5558</v>
      </c>
      <c r="B4275" s="32" t="s">
        <v>5559</v>
      </c>
      <c r="C4275" s="32" t="s">
        <v>763</v>
      </c>
      <c r="D4275" s="32" t="s">
        <v>5560</v>
      </c>
      <c r="E4275" s="33" t="s">
        <v>764</v>
      </c>
      <c r="F4275" s="34">
        <v>1762561</v>
      </c>
      <c r="G4275" s="34">
        <v>1764323</v>
      </c>
      <c r="H4275" s="35" t="s">
        <v>5561</v>
      </c>
    </row>
    <row r="4276" spans="1:8" ht="27" customHeight="1" x14ac:dyDescent="0.2">
      <c r="A4276" s="31" t="s">
        <v>5558</v>
      </c>
      <c r="B4276" s="32" t="s">
        <v>5559</v>
      </c>
      <c r="C4276" s="32" t="s">
        <v>770</v>
      </c>
      <c r="D4276" s="32" t="s">
        <v>770</v>
      </c>
      <c r="E4276" s="33" t="s">
        <v>772</v>
      </c>
      <c r="F4276" s="34">
        <v>136272</v>
      </c>
      <c r="G4276" s="34">
        <v>99110</v>
      </c>
      <c r="H4276" s="35" t="s">
        <v>5562</v>
      </c>
    </row>
    <row r="4277" spans="1:8" ht="27" customHeight="1" x14ac:dyDescent="0.2">
      <c r="A4277" s="31" t="s">
        <v>5558</v>
      </c>
      <c r="B4277" s="32" t="s">
        <v>5559</v>
      </c>
      <c r="C4277" s="32" t="s">
        <v>886</v>
      </c>
      <c r="D4277" s="32" t="s">
        <v>1013</v>
      </c>
      <c r="E4277" s="33" t="s">
        <v>887</v>
      </c>
      <c r="F4277" s="34">
        <v>551101</v>
      </c>
      <c r="G4277" s="34">
        <v>551652</v>
      </c>
      <c r="H4277" s="35" t="s">
        <v>5563</v>
      </c>
    </row>
    <row r="4278" spans="1:8" ht="27" customHeight="1" x14ac:dyDescent="0.2">
      <c r="A4278" s="31" t="s">
        <v>5558</v>
      </c>
      <c r="B4278" s="32" t="s">
        <v>5559</v>
      </c>
      <c r="C4278" s="32" t="s">
        <v>796</v>
      </c>
      <c r="D4278" s="32" t="s">
        <v>796</v>
      </c>
      <c r="E4278" s="33" t="s">
        <v>772</v>
      </c>
      <c r="F4278" s="34">
        <v>1106023</v>
      </c>
      <c r="G4278" s="34">
        <v>1107129</v>
      </c>
      <c r="H4278" s="35" t="s">
        <v>5564</v>
      </c>
    </row>
    <row r="4279" spans="1:8" ht="27" customHeight="1" x14ac:dyDescent="0.2">
      <c r="A4279" s="31" t="s">
        <v>5558</v>
      </c>
      <c r="B4279" s="32" t="s">
        <v>5559</v>
      </c>
      <c r="C4279" s="32" t="s">
        <v>776</v>
      </c>
      <c r="D4279" s="32" t="s">
        <v>812</v>
      </c>
      <c r="E4279" s="33" t="s">
        <v>777</v>
      </c>
      <c r="F4279" s="34">
        <v>2283118</v>
      </c>
      <c r="G4279" s="34">
        <v>2018134</v>
      </c>
      <c r="H4279" s="35" t="s">
        <v>5565</v>
      </c>
    </row>
    <row r="4280" spans="1:8" ht="27" customHeight="1" x14ac:dyDescent="0.2">
      <c r="A4280" s="31" t="s">
        <v>5558</v>
      </c>
      <c r="B4280" s="32" t="s">
        <v>5559</v>
      </c>
      <c r="C4280" s="32" t="s">
        <v>779</v>
      </c>
      <c r="D4280" s="32" t="s">
        <v>779</v>
      </c>
      <c r="E4280" s="33" t="s">
        <v>780</v>
      </c>
      <c r="F4280" s="34">
        <v>200801</v>
      </c>
      <c r="G4280" s="34">
        <v>201002</v>
      </c>
      <c r="H4280" s="35" t="s">
        <v>5561</v>
      </c>
    </row>
    <row r="4281" spans="1:8" ht="27" customHeight="1" x14ac:dyDescent="0.2">
      <c r="A4281" s="31" t="s">
        <v>5566</v>
      </c>
      <c r="B4281" s="32" t="s">
        <v>5567</v>
      </c>
      <c r="C4281" s="32" t="s">
        <v>766</v>
      </c>
      <c r="D4281" s="32" t="s">
        <v>818</v>
      </c>
      <c r="E4281" s="33" t="s">
        <v>768</v>
      </c>
      <c r="F4281" s="34">
        <v>1839316</v>
      </c>
      <c r="G4281" s="34">
        <v>1839316</v>
      </c>
      <c r="H4281" s="35" t="s">
        <v>5568</v>
      </c>
    </row>
    <row r="4282" spans="1:8" ht="27" customHeight="1" x14ac:dyDescent="0.2">
      <c r="A4282" s="31" t="s">
        <v>5566</v>
      </c>
      <c r="B4282" s="32" t="s">
        <v>5567</v>
      </c>
      <c r="C4282" s="32" t="s">
        <v>770</v>
      </c>
      <c r="D4282" s="32" t="s">
        <v>810</v>
      </c>
      <c r="E4282" s="33" t="s">
        <v>772</v>
      </c>
      <c r="F4282" s="34">
        <v>374000</v>
      </c>
      <c r="G4282" s="34">
        <v>326882</v>
      </c>
      <c r="H4282" s="35" t="s">
        <v>5569</v>
      </c>
    </row>
    <row r="4283" spans="1:8" ht="27" customHeight="1" x14ac:dyDescent="0.2">
      <c r="A4283" s="31" t="s">
        <v>5566</v>
      </c>
      <c r="B4283" s="32" t="s">
        <v>5567</v>
      </c>
      <c r="C4283" s="32" t="s">
        <v>796</v>
      </c>
      <c r="D4283" s="32" t="s">
        <v>811</v>
      </c>
      <c r="E4283" s="33" t="s">
        <v>823</v>
      </c>
      <c r="F4283" s="34">
        <v>343144</v>
      </c>
      <c r="G4283" s="34">
        <v>343144</v>
      </c>
      <c r="H4283" s="35" t="s">
        <v>5570</v>
      </c>
    </row>
    <row r="4284" spans="1:8" ht="27" customHeight="1" x14ac:dyDescent="0.2">
      <c r="A4284" s="31" t="s">
        <v>5566</v>
      </c>
      <c r="B4284" s="32" t="s">
        <v>5567</v>
      </c>
      <c r="C4284" s="32" t="s">
        <v>776</v>
      </c>
      <c r="D4284" s="32" t="s">
        <v>812</v>
      </c>
      <c r="E4284" s="33" t="s">
        <v>777</v>
      </c>
      <c r="F4284" s="34">
        <v>2877161</v>
      </c>
      <c r="G4284" s="34">
        <v>2899399</v>
      </c>
      <c r="H4284" s="35" t="s">
        <v>5571</v>
      </c>
    </row>
    <row r="4285" spans="1:8" ht="27" customHeight="1" x14ac:dyDescent="0.2">
      <c r="A4285" s="31" t="s">
        <v>5572</v>
      </c>
      <c r="B4285" s="32" t="s">
        <v>5573</v>
      </c>
      <c r="C4285" s="32" t="s">
        <v>770</v>
      </c>
      <c r="D4285" s="32" t="s">
        <v>5574</v>
      </c>
      <c r="E4285" s="33" t="s">
        <v>772</v>
      </c>
      <c r="F4285" s="34">
        <v>1023622</v>
      </c>
      <c r="G4285" s="34">
        <v>723622</v>
      </c>
      <c r="H4285" s="35" t="s">
        <v>5575</v>
      </c>
    </row>
    <row r="4286" spans="1:8" ht="27" customHeight="1" x14ac:dyDescent="0.2">
      <c r="A4286" s="31" t="s">
        <v>5572</v>
      </c>
      <c r="B4286" s="32" t="s">
        <v>5573</v>
      </c>
      <c r="C4286" s="32" t="s">
        <v>796</v>
      </c>
      <c r="D4286" s="32" t="s">
        <v>5576</v>
      </c>
      <c r="E4286" s="33" t="s">
        <v>823</v>
      </c>
      <c r="F4286" s="34">
        <v>2024175</v>
      </c>
      <c r="G4286" s="34">
        <v>1274175</v>
      </c>
      <c r="H4286" s="35" t="s">
        <v>5577</v>
      </c>
    </row>
    <row r="4287" spans="1:8" ht="27" customHeight="1" x14ac:dyDescent="0.2">
      <c r="A4287" s="31" t="s">
        <v>5572</v>
      </c>
      <c r="B4287" s="32" t="s">
        <v>5573</v>
      </c>
      <c r="C4287" s="32" t="s">
        <v>776</v>
      </c>
      <c r="D4287" s="32" t="s">
        <v>5578</v>
      </c>
      <c r="E4287" s="33" t="s">
        <v>777</v>
      </c>
      <c r="F4287" s="34">
        <v>6979534</v>
      </c>
      <c r="G4287" s="34">
        <v>4479534</v>
      </c>
      <c r="H4287" s="35" t="s">
        <v>5579</v>
      </c>
    </row>
    <row r="4288" spans="1:8" ht="27" customHeight="1" x14ac:dyDescent="0.2">
      <c r="A4288" s="31" t="s">
        <v>5572</v>
      </c>
      <c r="B4288" s="32" t="s">
        <v>5573</v>
      </c>
      <c r="C4288" s="32" t="s">
        <v>798</v>
      </c>
      <c r="D4288" s="32" t="s">
        <v>5580</v>
      </c>
      <c r="E4288" s="33" t="s">
        <v>800</v>
      </c>
      <c r="F4288" s="34">
        <v>12035152</v>
      </c>
      <c r="G4288" s="34">
        <v>8971694</v>
      </c>
      <c r="H4288" s="35" t="s">
        <v>5581</v>
      </c>
    </row>
    <row r="4289" spans="1:8" ht="27" customHeight="1" x14ac:dyDescent="0.2">
      <c r="A4289" s="31" t="s">
        <v>5572</v>
      </c>
      <c r="B4289" s="32" t="s">
        <v>5573</v>
      </c>
      <c r="C4289" s="32" t="s">
        <v>779</v>
      </c>
      <c r="D4289" s="32" t="s">
        <v>1156</v>
      </c>
      <c r="E4289" s="33" t="s">
        <v>780</v>
      </c>
      <c r="F4289" s="34">
        <v>74357</v>
      </c>
      <c r="G4289" s="34">
        <v>49357</v>
      </c>
      <c r="H4289" s="35" t="s">
        <v>5582</v>
      </c>
    </row>
    <row r="4290" spans="1:8" ht="27" customHeight="1" x14ac:dyDescent="0.2">
      <c r="A4290" s="31" t="s">
        <v>5572</v>
      </c>
      <c r="B4290" s="32" t="s">
        <v>5573</v>
      </c>
      <c r="C4290" s="32" t="s">
        <v>782</v>
      </c>
      <c r="D4290" s="32" t="s">
        <v>3673</v>
      </c>
      <c r="E4290" s="33" t="s">
        <v>784</v>
      </c>
      <c r="F4290" s="34">
        <v>317145</v>
      </c>
      <c r="G4290" s="34">
        <v>117145</v>
      </c>
      <c r="H4290" s="35" t="s">
        <v>5583</v>
      </c>
    </row>
    <row r="4291" spans="1:8" ht="27" customHeight="1" x14ac:dyDescent="0.2">
      <c r="A4291" s="31" t="s">
        <v>5584</v>
      </c>
      <c r="B4291" s="32" t="s">
        <v>5585</v>
      </c>
      <c r="C4291" s="32" t="s">
        <v>766</v>
      </c>
      <c r="D4291" s="32" t="s">
        <v>5586</v>
      </c>
      <c r="E4291" s="33" t="s">
        <v>768</v>
      </c>
      <c r="F4291" s="34">
        <v>14828</v>
      </c>
      <c r="G4291" s="34">
        <v>14828</v>
      </c>
      <c r="H4291" s="35" t="s">
        <v>5587</v>
      </c>
    </row>
    <row r="4292" spans="1:8" ht="27" customHeight="1" x14ac:dyDescent="0.2">
      <c r="A4292" s="31" t="s">
        <v>5584</v>
      </c>
      <c r="B4292" s="32" t="s">
        <v>5585</v>
      </c>
      <c r="C4292" s="32" t="s">
        <v>770</v>
      </c>
      <c r="D4292" s="32" t="s">
        <v>1937</v>
      </c>
      <c r="E4292" s="33" t="s">
        <v>772</v>
      </c>
      <c r="F4292" s="34">
        <v>3009469</v>
      </c>
      <c r="G4292" s="34">
        <v>3009469</v>
      </c>
      <c r="H4292" s="35" t="s">
        <v>5588</v>
      </c>
    </row>
    <row r="4293" spans="1:8" ht="27" customHeight="1" x14ac:dyDescent="0.2">
      <c r="A4293" s="31" t="s">
        <v>5584</v>
      </c>
      <c r="B4293" s="32" t="s">
        <v>5585</v>
      </c>
      <c r="C4293" s="32" t="s">
        <v>844</v>
      </c>
      <c r="D4293" s="32" t="s">
        <v>844</v>
      </c>
      <c r="E4293" s="33" t="s">
        <v>846</v>
      </c>
      <c r="F4293" s="34">
        <v>210554</v>
      </c>
      <c r="G4293" s="34">
        <v>210554</v>
      </c>
      <c r="H4293" s="35" t="s">
        <v>5589</v>
      </c>
    </row>
    <row r="4294" spans="1:8" ht="27" customHeight="1" x14ac:dyDescent="0.2">
      <c r="A4294" s="31" t="s">
        <v>5584</v>
      </c>
      <c r="B4294" s="32" t="s">
        <v>5585</v>
      </c>
      <c r="C4294" s="32" t="s">
        <v>773</v>
      </c>
      <c r="D4294" s="32" t="s">
        <v>773</v>
      </c>
      <c r="E4294" s="33" t="s">
        <v>775</v>
      </c>
      <c r="F4294" s="34">
        <v>218870</v>
      </c>
      <c r="G4294" s="34">
        <v>218870</v>
      </c>
      <c r="H4294" s="35" t="s">
        <v>5589</v>
      </c>
    </row>
    <row r="4295" spans="1:8" ht="27" customHeight="1" x14ac:dyDescent="0.2">
      <c r="A4295" s="31" t="s">
        <v>5584</v>
      </c>
      <c r="B4295" s="32" t="s">
        <v>5585</v>
      </c>
      <c r="C4295" s="32" t="s">
        <v>886</v>
      </c>
      <c r="D4295" s="32" t="s">
        <v>886</v>
      </c>
      <c r="E4295" s="33" t="s">
        <v>887</v>
      </c>
      <c r="F4295" s="34">
        <v>59160</v>
      </c>
      <c r="G4295" s="34">
        <v>59160</v>
      </c>
      <c r="H4295" s="35" t="s">
        <v>5587</v>
      </c>
    </row>
    <row r="4296" spans="1:8" ht="27" customHeight="1" x14ac:dyDescent="0.2">
      <c r="A4296" s="31" t="s">
        <v>5584</v>
      </c>
      <c r="B4296" s="32" t="s">
        <v>5585</v>
      </c>
      <c r="C4296" s="32" t="s">
        <v>860</v>
      </c>
      <c r="D4296" s="32" t="s">
        <v>860</v>
      </c>
      <c r="E4296" s="33" t="s">
        <v>861</v>
      </c>
      <c r="F4296" s="34">
        <v>137539</v>
      </c>
      <c r="G4296" s="34">
        <v>137539</v>
      </c>
      <c r="H4296" s="35" t="s">
        <v>5589</v>
      </c>
    </row>
    <row r="4297" spans="1:8" ht="27" customHeight="1" x14ac:dyDescent="0.2">
      <c r="A4297" s="31" t="s">
        <v>5584</v>
      </c>
      <c r="B4297" s="32" t="s">
        <v>5585</v>
      </c>
      <c r="C4297" s="32" t="s">
        <v>796</v>
      </c>
      <c r="D4297" s="32" t="s">
        <v>796</v>
      </c>
      <c r="E4297" s="33" t="s">
        <v>772</v>
      </c>
      <c r="F4297" s="34">
        <v>1663128</v>
      </c>
      <c r="G4297" s="34">
        <v>1663128</v>
      </c>
      <c r="H4297" s="35" t="s">
        <v>5590</v>
      </c>
    </row>
    <row r="4298" spans="1:8" ht="27" customHeight="1" x14ac:dyDescent="0.2">
      <c r="A4298" s="31" t="s">
        <v>5584</v>
      </c>
      <c r="B4298" s="32" t="s">
        <v>5585</v>
      </c>
      <c r="C4298" s="32" t="s">
        <v>776</v>
      </c>
      <c r="D4298" s="32" t="s">
        <v>776</v>
      </c>
      <c r="E4298" s="33" t="s">
        <v>777</v>
      </c>
      <c r="F4298" s="34">
        <v>2813709</v>
      </c>
      <c r="G4298" s="34">
        <v>2813709</v>
      </c>
      <c r="H4298" s="35" t="s">
        <v>5591</v>
      </c>
    </row>
    <row r="4299" spans="1:8" ht="27" customHeight="1" x14ac:dyDescent="0.2">
      <c r="A4299" s="31" t="s">
        <v>5584</v>
      </c>
      <c r="B4299" s="32" t="s">
        <v>5585</v>
      </c>
      <c r="C4299" s="32" t="s">
        <v>798</v>
      </c>
      <c r="D4299" s="32" t="s">
        <v>799</v>
      </c>
      <c r="E4299" s="33" t="s">
        <v>800</v>
      </c>
      <c r="F4299" s="34">
        <v>139513</v>
      </c>
      <c r="G4299" s="34">
        <v>139513</v>
      </c>
      <c r="H4299" s="35" t="s">
        <v>5592</v>
      </c>
    </row>
    <row r="4300" spans="1:8" ht="27" customHeight="1" x14ac:dyDescent="0.2">
      <c r="A4300" s="31" t="s">
        <v>5584</v>
      </c>
      <c r="B4300" s="32" t="s">
        <v>5585</v>
      </c>
      <c r="C4300" s="32" t="s">
        <v>779</v>
      </c>
      <c r="D4300" s="32" t="s">
        <v>779</v>
      </c>
      <c r="E4300" s="33" t="s">
        <v>780</v>
      </c>
      <c r="F4300" s="34">
        <v>150809</v>
      </c>
      <c r="G4300" s="34">
        <v>150809</v>
      </c>
      <c r="H4300" s="35" t="s">
        <v>5587</v>
      </c>
    </row>
    <row r="4301" spans="1:8" ht="27" customHeight="1" x14ac:dyDescent="0.2">
      <c r="A4301" s="31" t="s">
        <v>5593</v>
      </c>
      <c r="B4301" s="32" t="s">
        <v>5594</v>
      </c>
      <c r="C4301" s="32" t="s">
        <v>770</v>
      </c>
      <c r="D4301" s="32" t="s">
        <v>810</v>
      </c>
      <c r="E4301" s="33" t="s">
        <v>772</v>
      </c>
      <c r="F4301" s="34">
        <v>1500000</v>
      </c>
      <c r="G4301" s="34">
        <v>1500000</v>
      </c>
      <c r="H4301" s="35" t="s">
        <v>5595</v>
      </c>
    </row>
    <row r="4302" spans="1:8" ht="27" customHeight="1" x14ac:dyDescent="0.2">
      <c r="A4302" s="31" t="s">
        <v>5593</v>
      </c>
      <c r="B4302" s="32" t="s">
        <v>5594</v>
      </c>
      <c r="C4302" s="32" t="s">
        <v>796</v>
      </c>
      <c r="D4302" s="32" t="s">
        <v>954</v>
      </c>
      <c r="E4302" s="33" t="s">
        <v>823</v>
      </c>
      <c r="F4302" s="34">
        <v>2500000</v>
      </c>
      <c r="G4302" s="34">
        <v>2500000</v>
      </c>
      <c r="H4302" s="35" t="s">
        <v>5595</v>
      </c>
    </row>
    <row r="4303" spans="1:8" ht="27" customHeight="1" x14ac:dyDescent="0.2">
      <c r="A4303" s="31" t="s">
        <v>5593</v>
      </c>
      <c r="B4303" s="32" t="s">
        <v>5594</v>
      </c>
      <c r="C4303" s="32" t="s">
        <v>776</v>
      </c>
      <c r="D4303" s="32" t="s">
        <v>2074</v>
      </c>
      <c r="E4303" s="33" t="s">
        <v>777</v>
      </c>
      <c r="F4303" s="34">
        <v>7484666</v>
      </c>
      <c r="G4303" s="34">
        <v>8500000</v>
      </c>
      <c r="H4303" s="35" t="s">
        <v>5596</v>
      </c>
    </row>
    <row r="4304" spans="1:8" ht="27" customHeight="1" x14ac:dyDescent="0.2">
      <c r="A4304" s="31" t="s">
        <v>5593</v>
      </c>
      <c r="B4304" s="32" t="s">
        <v>5594</v>
      </c>
      <c r="C4304" s="32" t="s">
        <v>779</v>
      </c>
      <c r="D4304" s="32" t="s">
        <v>927</v>
      </c>
      <c r="E4304" s="33" t="s">
        <v>780</v>
      </c>
      <c r="F4304" s="34">
        <v>166614</v>
      </c>
      <c r="G4304" s="34">
        <v>166614</v>
      </c>
      <c r="H4304" s="35" t="s">
        <v>5595</v>
      </c>
    </row>
    <row r="4305" spans="1:8" ht="27" customHeight="1" x14ac:dyDescent="0.2">
      <c r="A4305" s="31" t="s">
        <v>5597</v>
      </c>
      <c r="B4305" s="32" t="s">
        <v>5598</v>
      </c>
      <c r="C4305" s="32" t="s">
        <v>763</v>
      </c>
      <c r="D4305" s="32" t="s">
        <v>5599</v>
      </c>
      <c r="E4305" s="33" t="s">
        <v>764</v>
      </c>
      <c r="F4305" s="34">
        <v>3935006</v>
      </c>
      <c r="G4305" s="34">
        <v>6935006</v>
      </c>
      <c r="H4305" s="35" t="s">
        <v>5600</v>
      </c>
    </row>
    <row r="4306" spans="1:8" ht="27" customHeight="1" x14ac:dyDescent="0.2">
      <c r="A4306" s="31" t="s">
        <v>5597</v>
      </c>
      <c r="B4306" s="32" t="s">
        <v>5598</v>
      </c>
      <c r="C4306" s="32" t="s">
        <v>770</v>
      </c>
      <c r="D4306" s="32" t="s">
        <v>810</v>
      </c>
      <c r="E4306" s="33" t="s">
        <v>772</v>
      </c>
      <c r="F4306" s="34">
        <v>875554</v>
      </c>
      <c r="G4306" s="34">
        <v>880000</v>
      </c>
      <c r="H4306" s="35" t="s">
        <v>5601</v>
      </c>
    </row>
    <row r="4307" spans="1:8" ht="27" customHeight="1" x14ac:dyDescent="0.2">
      <c r="A4307" s="31" t="s">
        <v>5597</v>
      </c>
      <c r="B4307" s="32" t="s">
        <v>5598</v>
      </c>
      <c r="C4307" s="32" t="s">
        <v>844</v>
      </c>
      <c r="D4307" s="32" t="s">
        <v>972</v>
      </c>
      <c r="E4307" s="33" t="s">
        <v>846</v>
      </c>
      <c r="F4307" s="34">
        <v>6545032</v>
      </c>
      <c r="G4307" s="34">
        <v>4507875</v>
      </c>
      <c r="H4307" s="35" t="s">
        <v>5602</v>
      </c>
    </row>
    <row r="4308" spans="1:8" ht="27" customHeight="1" x14ac:dyDescent="0.2">
      <c r="A4308" s="31" t="s">
        <v>5597</v>
      </c>
      <c r="B4308" s="32" t="s">
        <v>5598</v>
      </c>
      <c r="C4308" s="32" t="s">
        <v>796</v>
      </c>
      <c r="D4308" s="32" t="s">
        <v>3202</v>
      </c>
      <c r="E4308" s="33" t="s">
        <v>823</v>
      </c>
      <c r="F4308" s="34">
        <v>7162825</v>
      </c>
      <c r="G4308" s="34">
        <v>4358379</v>
      </c>
      <c r="H4308" s="35" t="s">
        <v>5602</v>
      </c>
    </row>
    <row r="4309" spans="1:8" ht="27" customHeight="1" x14ac:dyDescent="0.2">
      <c r="A4309" s="31" t="s">
        <v>5597</v>
      </c>
      <c r="B4309" s="32" t="s">
        <v>5598</v>
      </c>
      <c r="C4309" s="32" t="s">
        <v>776</v>
      </c>
      <c r="D4309" s="32" t="s">
        <v>812</v>
      </c>
      <c r="E4309" s="33" t="s">
        <v>777</v>
      </c>
      <c r="F4309" s="34">
        <v>1573235</v>
      </c>
      <c r="G4309" s="34">
        <v>2873235</v>
      </c>
      <c r="H4309" s="35" t="s">
        <v>5602</v>
      </c>
    </row>
    <row r="4310" spans="1:8" ht="27" customHeight="1" x14ac:dyDescent="0.2">
      <c r="A4310" s="31" t="s">
        <v>5597</v>
      </c>
      <c r="B4310" s="32" t="s">
        <v>5598</v>
      </c>
      <c r="C4310" s="32" t="s">
        <v>779</v>
      </c>
      <c r="D4310" s="32" t="s">
        <v>5603</v>
      </c>
      <c r="E4310" s="33" t="s">
        <v>780</v>
      </c>
      <c r="F4310" s="34">
        <v>256875</v>
      </c>
      <c r="G4310" s="34">
        <v>206875</v>
      </c>
      <c r="H4310" s="35" t="s">
        <v>5604</v>
      </c>
    </row>
    <row r="4311" spans="1:8" ht="27" customHeight="1" x14ac:dyDescent="0.2">
      <c r="A4311" s="31" t="s">
        <v>5605</v>
      </c>
      <c r="B4311" s="32" t="s">
        <v>5606</v>
      </c>
      <c r="C4311" s="32" t="s">
        <v>763</v>
      </c>
      <c r="D4311" s="32" t="s">
        <v>1924</v>
      </c>
      <c r="E4311" s="33" t="s">
        <v>764</v>
      </c>
      <c r="F4311" s="34">
        <v>910894</v>
      </c>
      <c r="G4311" s="34">
        <v>10894</v>
      </c>
      <c r="H4311" s="35" t="s">
        <v>5607</v>
      </c>
    </row>
    <row r="4312" spans="1:8" ht="27" customHeight="1" x14ac:dyDescent="0.2">
      <c r="A4312" s="31" t="s">
        <v>5605</v>
      </c>
      <c r="B4312" s="32" t="s">
        <v>5606</v>
      </c>
      <c r="C4312" s="32" t="s">
        <v>766</v>
      </c>
      <c r="D4312" s="32" t="s">
        <v>767</v>
      </c>
      <c r="E4312" s="33" t="s">
        <v>768</v>
      </c>
      <c r="F4312" s="34">
        <v>171158</v>
      </c>
      <c r="G4312" s="34">
        <v>146158</v>
      </c>
      <c r="H4312" s="35" t="s">
        <v>5608</v>
      </c>
    </row>
    <row r="4313" spans="1:8" ht="27" customHeight="1" x14ac:dyDescent="0.2">
      <c r="A4313" s="31" t="s">
        <v>5605</v>
      </c>
      <c r="B4313" s="32" t="s">
        <v>5606</v>
      </c>
      <c r="C4313" s="32" t="s">
        <v>770</v>
      </c>
      <c r="D4313" s="32" t="s">
        <v>2116</v>
      </c>
      <c r="E4313" s="33" t="s">
        <v>772</v>
      </c>
      <c r="F4313" s="34">
        <v>438276</v>
      </c>
      <c r="G4313" s="34">
        <v>408276</v>
      </c>
      <c r="H4313" s="35" t="s">
        <v>5609</v>
      </c>
    </row>
    <row r="4314" spans="1:8" ht="27" customHeight="1" x14ac:dyDescent="0.2">
      <c r="A4314" s="31" t="s">
        <v>5605</v>
      </c>
      <c r="B4314" s="32" t="s">
        <v>5606</v>
      </c>
      <c r="C4314" s="32" t="s">
        <v>796</v>
      </c>
      <c r="D4314" s="32" t="s">
        <v>796</v>
      </c>
      <c r="E4314" s="33" t="s">
        <v>823</v>
      </c>
      <c r="F4314" s="34">
        <v>982151</v>
      </c>
      <c r="G4314" s="34">
        <v>632151</v>
      </c>
      <c r="H4314" s="35" t="s">
        <v>5610</v>
      </c>
    </row>
    <row r="4315" spans="1:8" ht="27" customHeight="1" x14ac:dyDescent="0.2">
      <c r="A4315" s="31" t="s">
        <v>5605</v>
      </c>
      <c r="B4315" s="32" t="s">
        <v>5606</v>
      </c>
      <c r="C4315" s="32" t="s">
        <v>776</v>
      </c>
      <c r="D4315" s="32" t="s">
        <v>776</v>
      </c>
      <c r="E4315" s="33" t="s">
        <v>777</v>
      </c>
      <c r="F4315" s="34">
        <v>253221</v>
      </c>
      <c r="G4315" s="34">
        <v>675000</v>
      </c>
      <c r="H4315" s="35" t="s">
        <v>5611</v>
      </c>
    </row>
    <row r="4316" spans="1:8" ht="27" customHeight="1" x14ac:dyDescent="0.2">
      <c r="A4316" s="31" t="s">
        <v>5605</v>
      </c>
      <c r="B4316" s="32" t="s">
        <v>5606</v>
      </c>
      <c r="C4316" s="32" t="s">
        <v>779</v>
      </c>
      <c r="D4316" s="32" t="s">
        <v>3932</v>
      </c>
      <c r="E4316" s="33" t="s">
        <v>780</v>
      </c>
      <c r="F4316" s="34">
        <v>23178</v>
      </c>
      <c r="G4316" s="34">
        <v>19178</v>
      </c>
      <c r="H4316" s="35" t="s">
        <v>5612</v>
      </c>
    </row>
    <row r="4317" spans="1:8" ht="27" customHeight="1" x14ac:dyDescent="0.2">
      <c r="A4317" s="31" t="s">
        <v>5613</v>
      </c>
      <c r="B4317" s="32" t="s">
        <v>5614</v>
      </c>
      <c r="C4317" s="32" t="s">
        <v>763</v>
      </c>
      <c r="D4317" s="32" t="s">
        <v>763</v>
      </c>
      <c r="E4317" s="33" t="s">
        <v>764</v>
      </c>
      <c r="F4317" s="34">
        <v>4991717</v>
      </c>
      <c r="G4317" s="34">
        <v>4991717</v>
      </c>
      <c r="H4317" s="35" t="s">
        <v>5615</v>
      </c>
    </row>
    <row r="4318" spans="1:8" ht="27" customHeight="1" x14ac:dyDescent="0.2">
      <c r="A4318" s="31" t="s">
        <v>5613</v>
      </c>
      <c r="B4318" s="32" t="s">
        <v>5614</v>
      </c>
      <c r="C4318" s="32" t="s">
        <v>770</v>
      </c>
      <c r="D4318" s="32" t="s">
        <v>1136</v>
      </c>
      <c r="E4318" s="33" t="s">
        <v>772</v>
      </c>
      <c r="F4318" s="34">
        <v>1172203</v>
      </c>
      <c r="G4318" s="34">
        <v>1172203</v>
      </c>
      <c r="H4318" s="35" t="s">
        <v>3291</v>
      </c>
    </row>
    <row r="4319" spans="1:8" ht="27" customHeight="1" x14ac:dyDescent="0.2">
      <c r="A4319" s="31" t="s">
        <v>5613</v>
      </c>
      <c r="B4319" s="32" t="s">
        <v>5614</v>
      </c>
      <c r="C4319" s="32" t="s">
        <v>773</v>
      </c>
      <c r="D4319" s="32" t="s">
        <v>773</v>
      </c>
      <c r="E4319" s="33" t="s">
        <v>775</v>
      </c>
      <c r="F4319" s="34">
        <v>153047</v>
      </c>
      <c r="G4319" s="34">
        <v>153047</v>
      </c>
      <c r="H4319" s="35" t="s">
        <v>5616</v>
      </c>
    </row>
    <row r="4320" spans="1:8" ht="27" customHeight="1" x14ac:dyDescent="0.2">
      <c r="A4320" s="31" t="s">
        <v>5613</v>
      </c>
      <c r="B4320" s="32" t="s">
        <v>5614</v>
      </c>
      <c r="C4320" s="32" t="s">
        <v>796</v>
      </c>
      <c r="D4320" s="32" t="s">
        <v>822</v>
      </c>
      <c r="E4320" s="33" t="s">
        <v>823</v>
      </c>
      <c r="F4320" s="34">
        <v>4135316</v>
      </c>
      <c r="G4320" s="34">
        <v>4135316</v>
      </c>
      <c r="H4320" s="35" t="s">
        <v>2931</v>
      </c>
    </row>
    <row r="4321" spans="1:8" ht="27" customHeight="1" x14ac:dyDescent="0.2">
      <c r="A4321" s="31" t="s">
        <v>5613</v>
      </c>
      <c r="B4321" s="32" t="s">
        <v>5614</v>
      </c>
      <c r="C4321" s="32" t="s">
        <v>776</v>
      </c>
      <c r="D4321" s="32" t="s">
        <v>776</v>
      </c>
      <c r="E4321" s="33" t="s">
        <v>777</v>
      </c>
      <c r="F4321" s="34">
        <v>17453257</v>
      </c>
      <c r="G4321" s="34">
        <v>17453257</v>
      </c>
      <c r="H4321" s="35" t="s">
        <v>5617</v>
      </c>
    </row>
    <row r="4322" spans="1:8" ht="27" customHeight="1" x14ac:dyDescent="0.2">
      <c r="A4322" s="31" t="s">
        <v>5613</v>
      </c>
      <c r="B4322" s="32" t="s">
        <v>5614</v>
      </c>
      <c r="C4322" s="32" t="s">
        <v>779</v>
      </c>
      <c r="D4322" s="32" t="s">
        <v>802</v>
      </c>
      <c r="E4322" s="33" t="s">
        <v>780</v>
      </c>
      <c r="F4322" s="34">
        <v>1031155</v>
      </c>
      <c r="G4322" s="34">
        <v>1031155</v>
      </c>
      <c r="H4322" s="35" t="s">
        <v>5618</v>
      </c>
    </row>
    <row r="4323" spans="1:8" ht="27" customHeight="1" x14ac:dyDescent="0.2">
      <c r="A4323" s="31" t="s">
        <v>5619</v>
      </c>
      <c r="B4323" s="32" t="s">
        <v>5620</v>
      </c>
      <c r="C4323" s="32" t="s">
        <v>770</v>
      </c>
      <c r="D4323" s="32" t="s">
        <v>770</v>
      </c>
      <c r="E4323" s="33" t="s">
        <v>772</v>
      </c>
      <c r="F4323" s="34">
        <v>428012</v>
      </c>
      <c r="G4323" s="34">
        <v>314643</v>
      </c>
      <c r="H4323" s="35" t="s">
        <v>5621</v>
      </c>
    </row>
    <row r="4324" spans="1:8" ht="27" customHeight="1" x14ac:dyDescent="0.2">
      <c r="A4324" s="31" t="s">
        <v>5619</v>
      </c>
      <c r="B4324" s="32" t="s">
        <v>5620</v>
      </c>
      <c r="C4324" s="32" t="s">
        <v>773</v>
      </c>
      <c r="D4324" s="32" t="s">
        <v>3938</v>
      </c>
      <c r="E4324" s="33" t="s">
        <v>775</v>
      </c>
      <c r="F4324" s="34">
        <v>120000</v>
      </c>
      <c r="G4324" s="34">
        <v>120000</v>
      </c>
      <c r="H4324" s="35" t="s">
        <v>852</v>
      </c>
    </row>
    <row r="4325" spans="1:8" ht="27" customHeight="1" x14ac:dyDescent="0.2">
      <c r="A4325" s="31" t="s">
        <v>5619</v>
      </c>
      <c r="B4325" s="32" t="s">
        <v>5620</v>
      </c>
      <c r="C4325" s="32" t="s">
        <v>796</v>
      </c>
      <c r="D4325" s="32" t="s">
        <v>796</v>
      </c>
      <c r="E4325" s="33" t="s">
        <v>823</v>
      </c>
      <c r="F4325" s="34">
        <v>62691</v>
      </c>
      <c r="G4325" s="34">
        <v>62691</v>
      </c>
      <c r="H4325" s="35" t="s">
        <v>5622</v>
      </c>
    </row>
    <row r="4326" spans="1:8" ht="27" customHeight="1" x14ac:dyDescent="0.2">
      <c r="A4326" s="31" t="s">
        <v>5619</v>
      </c>
      <c r="B4326" s="32" t="s">
        <v>5620</v>
      </c>
      <c r="C4326" s="32" t="s">
        <v>776</v>
      </c>
      <c r="D4326" s="32" t="s">
        <v>776</v>
      </c>
      <c r="E4326" s="33" t="s">
        <v>777</v>
      </c>
      <c r="F4326" s="34">
        <v>2655322</v>
      </c>
      <c r="G4326" s="34">
        <v>3117642</v>
      </c>
      <c r="H4326" s="35" t="s">
        <v>5623</v>
      </c>
    </row>
    <row r="4327" spans="1:8" ht="27" customHeight="1" x14ac:dyDescent="0.2">
      <c r="A4327" s="31" t="s">
        <v>5624</v>
      </c>
      <c r="B4327" s="32" t="s">
        <v>5625</v>
      </c>
      <c r="C4327" s="32" t="s">
        <v>770</v>
      </c>
      <c r="D4327" s="32" t="s">
        <v>1720</v>
      </c>
      <c r="E4327" s="33" t="s">
        <v>772</v>
      </c>
      <c r="F4327" s="34">
        <v>612435</v>
      </c>
      <c r="G4327" s="34">
        <v>60000</v>
      </c>
      <c r="H4327" s="35" t="s">
        <v>3540</v>
      </c>
    </row>
    <row r="4328" spans="1:8" ht="27" customHeight="1" x14ac:dyDescent="0.2">
      <c r="A4328" s="31" t="s">
        <v>5624</v>
      </c>
      <c r="B4328" s="32" t="s">
        <v>5625</v>
      </c>
      <c r="C4328" s="32" t="s">
        <v>796</v>
      </c>
      <c r="D4328" s="32" t="s">
        <v>954</v>
      </c>
      <c r="E4328" s="33" t="s">
        <v>772</v>
      </c>
      <c r="F4328" s="34">
        <v>1605000</v>
      </c>
      <c r="G4328" s="34">
        <v>1605000</v>
      </c>
      <c r="H4328" s="35" t="s">
        <v>5626</v>
      </c>
    </row>
    <row r="4329" spans="1:8" ht="27" customHeight="1" x14ac:dyDescent="0.2">
      <c r="A4329" s="31" t="s">
        <v>5624</v>
      </c>
      <c r="B4329" s="32" t="s">
        <v>5625</v>
      </c>
      <c r="C4329" s="32" t="s">
        <v>776</v>
      </c>
      <c r="D4329" s="32" t="s">
        <v>914</v>
      </c>
      <c r="E4329" s="33" t="s">
        <v>777</v>
      </c>
      <c r="F4329" s="34">
        <v>3900000</v>
      </c>
      <c r="G4329" s="34">
        <v>3900000</v>
      </c>
      <c r="H4329" s="35" t="s">
        <v>5627</v>
      </c>
    </row>
    <row r="4330" spans="1:8" ht="27" customHeight="1" x14ac:dyDescent="0.2">
      <c r="A4330" s="31" t="s">
        <v>5624</v>
      </c>
      <c r="B4330" s="32" t="s">
        <v>5625</v>
      </c>
      <c r="C4330" s="32" t="s">
        <v>779</v>
      </c>
      <c r="D4330" s="32" t="s">
        <v>927</v>
      </c>
      <c r="E4330" s="33" t="s">
        <v>780</v>
      </c>
      <c r="F4330" s="34">
        <v>56535</v>
      </c>
      <c r="G4330" s="34">
        <v>56535</v>
      </c>
      <c r="H4330" s="35" t="s">
        <v>829</v>
      </c>
    </row>
    <row r="4331" spans="1:8" ht="27" customHeight="1" x14ac:dyDescent="0.2">
      <c r="A4331" s="31" t="s">
        <v>5628</v>
      </c>
      <c r="B4331" s="32" t="s">
        <v>5629</v>
      </c>
      <c r="C4331" s="32" t="s">
        <v>763</v>
      </c>
      <c r="D4331" s="32" t="s">
        <v>816</v>
      </c>
      <c r="E4331" s="33" t="s">
        <v>764</v>
      </c>
      <c r="F4331" s="34">
        <v>1302144</v>
      </c>
      <c r="G4331" s="34">
        <v>1302600</v>
      </c>
      <c r="H4331" s="35" t="s">
        <v>859</v>
      </c>
    </row>
    <row r="4332" spans="1:8" ht="27" customHeight="1" x14ac:dyDescent="0.2">
      <c r="A4332" s="31" t="s">
        <v>5628</v>
      </c>
      <c r="B4332" s="32" t="s">
        <v>5629</v>
      </c>
      <c r="C4332" s="32" t="s">
        <v>770</v>
      </c>
      <c r="D4332" s="32" t="s">
        <v>1011</v>
      </c>
      <c r="E4332" s="33" t="s">
        <v>772</v>
      </c>
      <c r="F4332" s="34">
        <v>178630</v>
      </c>
      <c r="G4332" s="34">
        <v>128700</v>
      </c>
      <c r="H4332" s="35" t="s">
        <v>5630</v>
      </c>
    </row>
    <row r="4333" spans="1:8" ht="27" customHeight="1" x14ac:dyDescent="0.2">
      <c r="A4333" s="31" t="s">
        <v>5628</v>
      </c>
      <c r="B4333" s="32" t="s">
        <v>5629</v>
      </c>
      <c r="C4333" s="32" t="s">
        <v>886</v>
      </c>
      <c r="D4333" s="32" t="s">
        <v>1013</v>
      </c>
      <c r="E4333" s="33" t="s">
        <v>887</v>
      </c>
      <c r="F4333" s="34">
        <v>36349</v>
      </c>
      <c r="G4333" s="34">
        <v>36400</v>
      </c>
      <c r="H4333" s="35" t="s">
        <v>859</v>
      </c>
    </row>
    <row r="4334" spans="1:8" ht="27" customHeight="1" x14ac:dyDescent="0.2">
      <c r="A4334" s="31" t="s">
        <v>5628</v>
      </c>
      <c r="B4334" s="32" t="s">
        <v>5629</v>
      </c>
      <c r="C4334" s="32" t="s">
        <v>860</v>
      </c>
      <c r="D4334" s="32" t="s">
        <v>911</v>
      </c>
      <c r="E4334" s="33" t="s">
        <v>861</v>
      </c>
      <c r="F4334" s="34">
        <v>585842</v>
      </c>
      <c r="G4334" s="34">
        <v>586100</v>
      </c>
      <c r="H4334" s="35" t="s">
        <v>859</v>
      </c>
    </row>
    <row r="4335" spans="1:8" ht="27" customHeight="1" x14ac:dyDescent="0.2">
      <c r="A4335" s="31" t="s">
        <v>5628</v>
      </c>
      <c r="B4335" s="32" t="s">
        <v>5629</v>
      </c>
      <c r="C4335" s="32" t="s">
        <v>796</v>
      </c>
      <c r="D4335" s="32" t="s">
        <v>835</v>
      </c>
      <c r="E4335" s="33" t="s">
        <v>772</v>
      </c>
      <c r="F4335" s="34">
        <v>2432342</v>
      </c>
      <c r="G4335" s="34">
        <v>1718400</v>
      </c>
      <c r="H4335" s="35" t="s">
        <v>5631</v>
      </c>
    </row>
    <row r="4336" spans="1:8" ht="27" customHeight="1" x14ac:dyDescent="0.2">
      <c r="A4336" s="31" t="s">
        <v>5628</v>
      </c>
      <c r="B4336" s="32" t="s">
        <v>5629</v>
      </c>
      <c r="C4336" s="32" t="s">
        <v>776</v>
      </c>
      <c r="D4336" s="32" t="s">
        <v>5632</v>
      </c>
      <c r="E4336" s="33" t="s">
        <v>777</v>
      </c>
      <c r="F4336" s="34">
        <v>4534164</v>
      </c>
      <c r="G4336" s="34">
        <v>5000800</v>
      </c>
      <c r="H4336" s="35" t="s">
        <v>5633</v>
      </c>
    </row>
    <row r="4337" spans="1:8" ht="27" customHeight="1" x14ac:dyDescent="0.2">
      <c r="A4337" s="31" t="s">
        <v>5628</v>
      </c>
      <c r="B4337" s="32" t="s">
        <v>5629</v>
      </c>
      <c r="C4337" s="32" t="s">
        <v>779</v>
      </c>
      <c r="D4337" s="32" t="s">
        <v>826</v>
      </c>
      <c r="E4337" s="33" t="s">
        <v>780</v>
      </c>
      <c r="F4337" s="34">
        <v>153122</v>
      </c>
      <c r="G4337" s="34">
        <v>153200</v>
      </c>
      <c r="H4337" s="35" t="s">
        <v>859</v>
      </c>
    </row>
    <row r="4338" spans="1:8" ht="27" customHeight="1" x14ac:dyDescent="0.2">
      <c r="A4338" s="31" t="s">
        <v>5634</v>
      </c>
      <c r="B4338" s="32" t="s">
        <v>5635</v>
      </c>
      <c r="C4338" s="32" t="s">
        <v>763</v>
      </c>
      <c r="D4338" s="32" t="s">
        <v>763</v>
      </c>
      <c r="E4338" s="33" t="s">
        <v>764</v>
      </c>
      <c r="F4338" s="34">
        <v>25055</v>
      </c>
      <c r="G4338" s="34">
        <v>25055</v>
      </c>
      <c r="H4338" s="35" t="s">
        <v>1935</v>
      </c>
    </row>
    <row r="4339" spans="1:8" ht="27" customHeight="1" x14ac:dyDescent="0.2">
      <c r="A4339" s="31" t="s">
        <v>5634</v>
      </c>
      <c r="B4339" s="32" t="s">
        <v>5635</v>
      </c>
      <c r="C4339" s="32" t="s">
        <v>831</v>
      </c>
      <c r="D4339" s="32" t="s">
        <v>5636</v>
      </c>
      <c r="E4339" s="33"/>
      <c r="F4339" s="34">
        <v>3346839</v>
      </c>
      <c r="G4339" s="34">
        <v>3569967</v>
      </c>
      <c r="H4339" s="35" t="s">
        <v>5636</v>
      </c>
    </row>
    <row r="4340" spans="1:8" ht="27" customHeight="1" x14ac:dyDescent="0.2">
      <c r="A4340" s="31" t="s">
        <v>5634</v>
      </c>
      <c r="B4340" s="32" t="s">
        <v>5635</v>
      </c>
      <c r="C4340" s="32" t="s">
        <v>831</v>
      </c>
      <c r="D4340" s="32" t="s">
        <v>2545</v>
      </c>
      <c r="E4340" s="33"/>
      <c r="F4340" s="34">
        <v>1640950</v>
      </c>
      <c r="G4340" s="34">
        <v>1600000</v>
      </c>
      <c r="H4340" s="35" t="s">
        <v>2545</v>
      </c>
    </row>
    <row r="4341" spans="1:8" ht="27" customHeight="1" x14ac:dyDescent="0.2">
      <c r="A4341" s="31" t="s">
        <v>5634</v>
      </c>
      <c r="B4341" s="32" t="s">
        <v>5635</v>
      </c>
      <c r="C4341" s="32" t="s">
        <v>796</v>
      </c>
      <c r="D4341" s="32" t="s">
        <v>5637</v>
      </c>
      <c r="E4341" s="33" t="s">
        <v>823</v>
      </c>
      <c r="F4341" s="34">
        <v>1500000</v>
      </c>
      <c r="G4341" s="34">
        <v>1900000</v>
      </c>
      <c r="H4341" s="35" t="s">
        <v>5638</v>
      </c>
    </row>
    <row r="4342" spans="1:8" ht="27" customHeight="1" x14ac:dyDescent="0.2">
      <c r="A4342" s="31" t="s">
        <v>5634</v>
      </c>
      <c r="B4342" s="32" t="s">
        <v>5635</v>
      </c>
      <c r="C4342" s="32" t="s">
        <v>776</v>
      </c>
      <c r="D4342" s="32" t="s">
        <v>5639</v>
      </c>
      <c r="E4342" s="33" t="s">
        <v>777</v>
      </c>
      <c r="F4342" s="34">
        <v>6954533</v>
      </c>
      <c r="G4342" s="34">
        <v>7000000</v>
      </c>
      <c r="H4342" s="35" t="s">
        <v>5640</v>
      </c>
    </row>
    <row r="4343" spans="1:8" ht="27" customHeight="1" x14ac:dyDescent="0.2">
      <c r="A4343" s="31" t="s">
        <v>5634</v>
      </c>
      <c r="B4343" s="32" t="s">
        <v>5635</v>
      </c>
      <c r="C4343" s="32" t="s">
        <v>798</v>
      </c>
      <c r="D4343" s="32" t="s">
        <v>5641</v>
      </c>
      <c r="E4343" s="33" t="s">
        <v>800</v>
      </c>
      <c r="F4343" s="34">
        <v>2100000</v>
      </c>
      <c r="G4343" s="34">
        <v>1886850</v>
      </c>
      <c r="H4343" s="35" t="s">
        <v>5641</v>
      </c>
    </row>
    <row r="4344" spans="1:8" ht="27" customHeight="1" x14ac:dyDescent="0.2">
      <c r="A4344" s="31" t="s">
        <v>5642</v>
      </c>
      <c r="B4344" s="32" t="s">
        <v>5643</v>
      </c>
      <c r="C4344" s="32" t="s">
        <v>766</v>
      </c>
      <c r="D4344" s="32" t="s">
        <v>767</v>
      </c>
      <c r="E4344" s="33" t="s">
        <v>768</v>
      </c>
      <c r="F4344" s="34">
        <v>0</v>
      </c>
      <c r="G4344" s="34">
        <v>75000</v>
      </c>
      <c r="H4344" s="35" t="s">
        <v>5644</v>
      </c>
    </row>
    <row r="4345" spans="1:8" ht="27" customHeight="1" x14ac:dyDescent="0.2">
      <c r="A4345" s="31" t="s">
        <v>5642</v>
      </c>
      <c r="B4345" s="32" t="s">
        <v>5643</v>
      </c>
      <c r="C4345" s="32" t="s">
        <v>796</v>
      </c>
      <c r="D4345" s="32" t="s">
        <v>862</v>
      </c>
      <c r="E4345" s="33" t="s">
        <v>823</v>
      </c>
      <c r="F4345" s="34">
        <v>3458718</v>
      </c>
      <c r="G4345" s="34">
        <v>3458718</v>
      </c>
      <c r="H4345" s="35" t="s">
        <v>5645</v>
      </c>
    </row>
    <row r="4346" spans="1:8" ht="27" customHeight="1" x14ac:dyDescent="0.2">
      <c r="A4346" s="31" t="s">
        <v>5642</v>
      </c>
      <c r="B4346" s="32" t="s">
        <v>5643</v>
      </c>
      <c r="C4346" s="32" t="s">
        <v>776</v>
      </c>
      <c r="D4346" s="32" t="s">
        <v>776</v>
      </c>
      <c r="E4346" s="33" t="s">
        <v>777</v>
      </c>
      <c r="F4346" s="34">
        <v>1771950</v>
      </c>
      <c r="G4346" s="34">
        <v>1771950</v>
      </c>
      <c r="H4346" s="35" t="s">
        <v>5646</v>
      </c>
    </row>
    <row r="4347" spans="1:8" ht="27" customHeight="1" x14ac:dyDescent="0.2">
      <c r="A4347" s="31" t="s">
        <v>5647</v>
      </c>
      <c r="B4347" s="32" t="s">
        <v>5648</v>
      </c>
      <c r="C4347" s="32" t="s">
        <v>770</v>
      </c>
      <c r="D4347" s="32" t="s">
        <v>1136</v>
      </c>
      <c r="E4347" s="33" t="s">
        <v>772</v>
      </c>
      <c r="F4347" s="34">
        <v>993821</v>
      </c>
      <c r="G4347" s="34">
        <v>1001275</v>
      </c>
      <c r="H4347" s="35" t="s">
        <v>5649</v>
      </c>
    </row>
    <row r="4348" spans="1:8" ht="27" customHeight="1" x14ac:dyDescent="0.2">
      <c r="A4348" s="31" t="s">
        <v>5647</v>
      </c>
      <c r="B4348" s="32" t="s">
        <v>5648</v>
      </c>
      <c r="C4348" s="32" t="s">
        <v>796</v>
      </c>
      <c r="D4348" s="32" t="s">
        <v>835</v>
      </c>
      <c r="E4348" s="33" t="s">
        <v>823</v>
      </c>
      <c r="F4348" s="34">
        <v>1882338</v>
      </c>
      <c r="G4348" s="34">
        <v>1646455</v>
      </c>
      <c r="H4348" s="35" t="s">
        <v>5650</v>
      </c>
    </row>
    <row r="4349" spans="1:8" ht="27" customHeight="1" x14ac:dyDescent="0.2">
      <c r="A4349" s="31" t="s">
        <v>5651</v>
      </c>
      <c r="B4349" s="32" t="s">
        <v>5652</v>
      </c>
      <c r="C4349" s="32" t="s">
        <v>770</v>
      </c>
      <c r="D4349" s="32" t="s">
        <v>1136</v>
      </c>
      <c r="E4349" s="33" t="s">
        <v>772</v>
      </c>
      <c r="F4349" s="34">
        <v>319642</v>
      </c>
      <c r="G4349" s="34">
        <v>359643</v>
      </c>
      <c r="H4349" s="35" t="s">
        <v>5653</v>
      </c>
    </row>
    <row r="4350" spans="1:8" ht="27" customHeight="1" x14ac:dyDescent="0.2">
      <c r="A4350" s="31" t="s">
        <v>5651</v>
      </c>
      <c r="B4350" s="32" t="s">
        <v>5652</v>
      </c>
      <c r="C4350" s="32" t="s">
        <v>796</v>
      </c>
      <c r="D4350" s="32" t="s">
        <v>835</v>
      </c>
      <c r="E4350" s="33" t="s">
        <v>823</v>
      </c>
      <c r="F4350" s="34">
        <v>275535</v>
      </c>
      <c r="G4350" s="34">
        <v>225535</v>
      </c>
      <c r="H4350" s="35" t="s">
        <v>5654</v>
      </c>
    </row>
    <row r="4351" spans="1:8" ht="27" customHeight="1" x14ac:dyDescent="0.2">
      <c r="A4351" s="31" t="s">
        <v>5651</v>
      </c>
      <c r="B4351" s="32" t="s">
        <v>5652</v>
      </c>
      <c r="C4351" s="32" t="s">
        <v>776</v>
      </c>
      <c r="D4351" s="32" t="s">
        <v>1755</v>
      </c>
      <c r="E4351" s="33" t="s">
        <v>777</v>
      </c>
      <c r="F4351" s="34">
        <v>359932</v>
      </c>
      <c r="G4351" s="34">
        <v>366435</v>
      </c>
      <c r="H4351" s="35" t="s">
        <v>5655</v>
      </c>
    </row>
    <row r="4352" spans="1:8" ht="27" customHeight="1" x14ac:dyDescent="0.2">
      <c r="A4352" s="31" t="s">
        <v>5656</v>
      </c>
      <c r="B4352" s="32" t="s">
        <v>618</v>
      </c>
      <c r="C4352" s="32" t="s">
        <v>844</v>
      </c>
      <c r="D4352" s="32" t="s">
        <v>3353</v>
      </c>
      <c r="E4352" s="33" t="s">
        <v>846</v>
      </c>
      <c r="F4352" s="34">
        <v>5050732</v>
      </c>
      <c r="G4352" s="34">
        <v>4450732</v>
      </c>
      <c r="H4352" s="35" t="s">
        <v>5657</v>
      </c>
    </row>
    <row r="4353" spans="1:8" ht="27" customHeight="1" x14ac:dyDescent="0.2">
      <c r="A4353" s="31" t="s">
        <v>5656</v>
      </c>
      <c r="B4353" s="32" t="s">
        <v>618</v>
      </c>
      <c r="C4353" s="32" t="s">
        <v>831</v>
      </c>
      <c r="D4353" s="32" t="s">
        <v>908</v>
      </c>
      <c r="E4353" s="33" t="s">
        <v>5658</v>
      </c>
      <c r="F4353" s="34">
        <v>1469033</v>
      </c>
      <c r="G4353" s="34">
        <v>1469033</v>
      </c>
      <c r="H4353" s="35" t="s">
        <v>5659</v>
      </c>
    </row>
    <row r="4354" spans="1:8" ht="27" customHeight="1" x14ac:dyDescent="0.2">
      <c r="A4354" s="31" t="s">
        <v>5656</v>
      </c>
      <c r="B4354" s="32" t="s">
        <v>618</v>
      </c>
      <c r="C4354" s="32" t="s">
        <v>831</v>
      </c>
      <c r="D4354" s="32" t="s">
        <v>832</v>
      </c>
      <c r="E4354" s="33" t="s">
        <v>5660</v>
      </c>
      <c r="F4354" s="34">
        <v>443400</v>
      </c>
      <c r="G4354" s="34">
        <v>444073</v>
      </c>
      <c r="H4354" s="35" t="s">
        <v>5661</v>
      </c>
    </row>
    <row r="4355" spans="1:8" ht="27" customHeight="1" x14ac:dyDescent="0.2">
      <c r="A4355" s="31" t="s">
        <v>5656</v>
      </c>
      <c r="B4355" s="32" t="s">
        <v>618</v>
      </c>
      <c r="C4355" s="32" t="s">
        <v>796</v>
      </c>
      <c r="D4355" s="32" t="s">
        <v>796</v>
      </c>
      <c r="E4355" s="33" t="s">
        <v>823</v>
      </c>
      <c r="F4355" s="34">
        <v>2102657</v>
      </c>
      <c r="G4355" s="34">
        <v>2105849</v>
      </c>
      <c r="H4355" s="35" t="s">
        <v>5662</v>
      </c>
    </row>
    <row r="4356" spans="1:8" ht="27" customHeight="1" x14ac:dyDescent="0.2">
      <c r="A4356" s="31" t="s">
        <v>5656</v>
      </c>
      <c r="B4356" s="32" t="s">
        <v>618</v>
      </c>
      <c r="C4356" s="32" t="s">
        <v>776</v>
      </c>
      <c r="D4356" s="32" t="s">
        <v>812</v>
      </c>
      <c r="E4356" s="33" t="s">
        <v>777</v>
      </c>
      <c r="F4356" s="34">
        <v>4916391</v>
      </c>
      <c r="G4356" s="34">
        <v>4425523</v>
      </c>
      <c r="H4356" s="35" t="s">
        <v>4291</v>
      </c>
    </row>
    <row r="4357" spans="1:8" ht="27" customHeight="1" x14ac:dyDescent="0.2">
      <c r="A4357" s="31" t="s">
        <v>5663</v>
      </c>
      <c r="B4357" s="32" t="s">
        <v>5664</v>
      </c>
      <c r="C4357" s="32" t="s">
        <v>763</v>
      </c>
      <c r="D4357" s="32" t="s">
        <v>816</v>
      </c>
      <c r="E4357" s="33" t="s">
        <v>764</v>
      </c>
      <c r="F4357" s="34">
        <v>899670</v>
      </c>
      <c r="G4357" s="34">
        <v>899670</v>
      </c>
      <c r="H4357" s="35" t="s">
        <v>5665</v>
      </c>
    </row>
    <row r="4358" spans="1:8" ht="27" customHeight="1" x14ac:dyDescent="0.2">
      <c r="A4358" s="31" t="s">
        <v>5663</v>
      </c>
      <c r="B4358" s="32" t="s">
        <v>5664</v>
      </c>
      <c r="C4358" s="32" t="s">
        <v>770</v>
      </c>
      <c r="D4358" s="32" t="s">
        <v>5666</v>
      </c>
      <c r="E4358" s="33" t="s">
        <v>772</v>
      </c>
      <c r="F4358" s="34">
        <v>132836</v>
      </c>
      <c r="G4358" s="34">
        <v>132836</v>
      </c>
      <c r="H4358" s="35" t="s">
        <v>5667</v>
      </c>
    </row>
    <row r="4359" spans="1:8" ht="27" customHeight="1" x14ac:dyDescent="0.2">
      <c r="A4359" s="31" t="s">
        <v>5663</v>
      </c>
      <c r="B4359" s="32" t="s">
        <v>5664</v>
      </c>
      <c r="C4359" s="32" t="s">
        <v>860</v>
      </c>
      <c r="D4359" s="32" t="s">
        <v>1027</v>
      </c>
      <c r="E4359" s="33" t="s">
        <v>861</v>
      </c>
      <c r="F4359" s="34">
        <v>93051</v>
      </c>
      <c r="G4359" s="34">
        <v>23051</v>
      </c>
      <c r="H4359" s="35" t="s">
        <v>5668</v>
      </c>
    </row>
    <row r="4360" spans="1:8" ht="27" customHeight="1" x14ac:dyDescent="0.2">
      <c r="A4360" s="31" t="s">
        <v>5663</v>
      </c>
      <c r="B4360" s="32" t="s">
        <v>5664</v>
      </c>
      <c r="C4360" s="32" t="s">
        <v>796</v>
      </c>
      <c r="D4360" s="32" t="s">
        <v>796</v>
      </c>
      <c r="E4360" s="33" t="s">
        <v>772</v>
      </c>
      <c r="F4360" s="34">
        <v>882179</v>
      </c>
      <c r="G4360" s="34">
        <v>113279</v>
      </c>
      <c r="H4360" s="35" t="s">
        <v>5669</v>
      </c>
    </row>
    <row r="4361" spans="1:8" ht="27" customHeight="1" x14ac:dyDescent="0.2">
      <c r="A4361" s="31" t="s">
        <v>5663</v>
      </c>
      <c r="B4361" s="32" t="s">
        <v>5664</v>
      </c>
      <c r="C4361" s="32" t="s">
        <v>776</v>
      </c>
      <c r="D4361" s="32" t="s">
        <v>914</v>
      </c>
      <c r="E4361" s="33" t="s">
        <v>777</v>
      </c>
      <c r="F4361" s="34">
        <v>4885610</v>
      </c>
      <c r="G4361" s="34">
        <v>4482792</v>
      </c>
      <c r="H4361" s="35" t="s">
        <v>5670</v>
      </c>
    </row>
    <row r="4362" spans="1:8" ht="27" customHeight="1" x14ac:dyDescent="0.2">
      <c r="A4362" s="31" t="s">
        <v>5671</v>
      </c>
      <c r="B4362" s="32" t="s">
        <v>5672</v>
      </c>
      <c r="C4362" s="32" t="s">
        <v>763</v>
      </c>
      <c r="D4362" s="32" t="s">
        <v>1335</v>
      </c>
      <c r="E4362" s="33" t="s">
        <v>764</v>
      </c>
      <c r="F4362" s="34">
        <v>16668531</v>
      </c>
      <c r="G4362" s="34">
        <v>17251174</v>
      </c>
      <c r="H4362" s="35" t="s">
        <v>5673</v>
      </c>
    </row>
    <row r="4363" spans="1:8" ht="27" customHeight="1" x14ac:dyDescent="0.2">
      <c r="A4363" s="31" t="s">
        <v>5671</v>
      </c>
      <c r="B4363" s="32" t="s">
        <v>5672</v>
      </c>
      <c r="C4363" s="32" t="s">
        <v>770</v>
      </c>
      <c r="D4363" s="32" t="s">
        <v>5674</v>
      </c>
      <c r="E4363" s="33" t="s">
        <v>772</v>
      </c>
      <c r="F4363" s="34">
        <v>2253376</v>
      </c>
      <c r="G4363" s="34">
        <v>1928064</v>
      </c>
      <c r="H4363" s="35" t="s">
        <v>5675</v>
      </c>
    </row>
    <row r="4364" spans="1:8" ht="27" customHeight="1" x14ac:dyDescent="0.2">
      <c r="A4364" s="31" t="s">
        <v>5671</v>
      </c>
      <c r="B4364" s="32" t="s">
        <v>5672</v>
      </c>
      <c r="C4364" s="32" t="s">
        <v>776</v>
      </c>
      <c r="D4364" s="32" t="s">
        <v>914</v>
      </c>
      <c r="E4364" s="33" t="s">
        <v>777</v>
      </c>
      <c r="F4364" s="34">
        <v>51062610</v>
      </c>
      <c r="G4364" s="34">
        <v>57360861</v>
      </c>
      <c r="H4364" s="35" t="s">
        <v>5676</v>
      </c>
    </row>
    <row r="4365" spans="1:8" ht="27" customHeight="1" x14ac:dyDescent="0.2">
      <c r="A4365" s="31" t="s">
        <v>5677</v>
      </c>
      <c r="B4365" s="32" t="s">
        <v>5678</v>
      </c>
      <c r="C4365" s="32" t="s">
        <v>763</v>
      </c>
      <c r="D4365" s="32" t="s">
        <v>1924</v>
      </c>
      <c r="E4365" s="33" t="s">
        <v>764</v>
      </c>
      <c r="F4365" s="34">
        <v>14393514</v>
      </c>
      <c r="G4365" s="34">
        <v>15393514</v>
      </c>
      <c r="H4365" s="35" t="s">
        <v>859</v>
      </c>
    </row>
    <row r="4366" spans="1:8" ht="27" customHeight="1" x14ac:dyDescent="0.2">
      <c r="A4366" s="31" t="s">
        <v>5677</v>
      </c>
      <c r="B4366" s="32" t="s">
        <v>5678</v>
      </c>
      <c r="C4366" s="32" t="s">
        <v>770</v>
      </c>
      <c r="D4366" s="32" t="s">
        <v>770</v>
      </c>
      <c r="E4366" s="33" t="s">
        <v>772</v>
      </c>
      <c r="F4366" s="34">
        <v>3581522</v>
      </c>
      <c r="G4366" s="34">
        <v>3981522</v>
      </c>
      <c r="H4366" s="35" t="s">
        <v>5679</v>
      </c>
    </row>
    <row r="4367" spans="1:8" ht="27" customHeight="1" x14ac:dyDescent="0.2">
      <c r="A4367" s="31" t="s">
        <v>5677</v>
      </c>
      <c r="B4367" s="32" t="s">
        <v>5678</v>
      </c>
      <c r="C4367" s="32" t="s">
        <v>796</v>
      </c>
      <c r="D4367" s="32" t="s">
        <v>862</v>
      </c>
      <c r="E4367" s="33" t="s">
        <v>772</v>
      </c>
      <c r="F4367" s="34">
        <v>11971241</v>
      </c>
      <c r="G4367" s="34">
        <v>12090953</v>
      </c>
      <c r="H4367" s="35" t="s">
        <v>859</v>
      </c>
    </row>
    <row r="4368" spans="1:8" ht="27" customHeight="1" x14ac:dyDescent="0.2">
      <c r="A4368" s="31" t="s">
        <v>5677</v>
      </c>
      <c r="B4368" s="32" t="s">
        <v>5678</v>
      </c>
      <c r="C4368" s="32" t="s">
        <v>776</v>
      </c>
      <c r="D4368" s="32" t="s">
        <v>776</v>
      </c>
      <c r="E4368" s="33" t="s">
        <v>777</v>
      </c>
      <c r="F4368" s="34">
        <v>7172136</v>
      </c>
      <c r="G4368" s="34">
        <v>6972136</v>
      </c>
      <c r="H4368" s="35" t="s">
        <v>5680</v>
      </c>
    </row>
    <row r="4369" spans="1:8" ht="27" customHeight="1" x14ac:dyDescent="0.2">
      <c r="A4369" s="31" t="s">
        <v>5681</v>
      </c>
      <c r="B4369" s="32" t="s">
        <v>5682</v>
      </c>
      <c r="C4369" s="32" t="s">
        <v>763</v>
      </c>
      <c r="D4369" s="32" t="s">
        <v>816</v>
      </c>
      <c r="E4369" s="33" t="s">
        <v>764</v>
      </c>
      <c r="F4369" s="34">
        <v>2068150</v>
      </c>
      <c r="G4369" s="34">
        <v>2068999</v>
      </c>
      <c r="H4369" s="35" t="s">
        <v>5683</v>
      </c>
    </row>
    <row r="4370" spans="1:8" ht="27" customHeight="1" x14ac:dyDescent="0.2">
      <c r="A4370" s="31" t="s">
        <v>5681</v>
      </c>
      <c r="B4370" s="32" t="s">
        <v>5682</v>
      </c>
      <c r="C4370" s="32" t="s">
        <v>770</v>
      </c>
      <c r="D4370" s="32" t="s">
        <v>5684</v>
      </c>
      <c r="E4370" s="33" t="s">
        <v>772</v>
      </c>
      <c r="F4370" s="34">
        <v>329687</v>
      </c>
      <c r="G4370" s="34">
        <v>329819</v>
      </c>
      <c r="H4370" s="35" t="s">
        <v>5685</v>
      </c>
    </row>
    <row r="4371" spans="1:8" ht="27" customHeight="1" x14ac:dyDescent="0.2">
      <c r="A4371" s="31" t="s">
        <v>5681</v>
      </c>
      <c r="B4371" s="32" t="s">
        <v>5682</v>
      </c>
      <c r="C4371" s="32" t="s">
        <v>860</v>
      </c>
      <c r="D4371" s="32" t="s">
        <v>816</v>
      </c>
      <c r="E4371" s="33" t="s">
        <v>861</v>
      </c>
      <c r="F4371" s="34">
        <v>5076063</v>
      </c>
      <c r="G4371" s="34">
        <v>5077113</v>
      </c>
      <c r="H4371" s="35" t="s">
        <v>5683</v>
      </c>
    </row>
    <row r="4372" spans="1:8" ht="27" customHeight="1" x14ac:dyDescent="0.2">
      <c r="A4372" s="31" t="s">
        <v>5681</v>
      </c>
      <c r="B4372" s="32" t="s">
        <v>5682</v>
      </c>
      <c r="C4372" s="32" t="s">
        <v>796</v>
      </c>
      <c r="D4372" s="32" t="s">
        <v>5686</v>
      </c>
      <c r="E4372" s="33" t="s">
        <v>772</v>
      </c>
      <c r="F4372" s="34">
        <v>631763</v>
      </c>
      <c r="G4372" s="34">
        <v>632016</v>
      </c>
      <c r="H4372" s="35" t="s">
        <v>5687</v>
      </c>
    </row>
    <row r="4373" spans="1:8" ht="27" customHeight="1" x14ac:dyDescent="0.2">
      <c r="A4373" s="31" t="s">
        <v>5681</v>
      </c>
      <c r="B4373" s="32" t="s">
        <v>5682</v>
      </c>
      <c r="C4373" s="32" t="s">
        <v>779</v>
      </c>
      <c r="D4373" s="32" t="s">
        <v>876</v>
      </c>
      <c r="E4373" s="33" t="s">
        <v>780</v>
      </c>
      <c r="F4373" s="34">
        <v>75668</v>
      </c>
      <c r="G4373" s="34">
        <v>75768</v>
      </c>
      <c r="H4373" s="35" t="s">
        <v>5688</v>
      </c>
    </row>
    <row r="4374" spans="1:8" ht="27" customHeight="1" x14ac:dyDescent="0.2">
      <c r="A4374" s="31" t="s">
        <v>5681</v>
      </c>
      <c r="B4374" s="32" t="s">
        <v>5682</v>
      </c>
      <c r="C4374" s="32" t="s">
        <v>782</v>
      </c>
      <c r="D4374" s="32" t="s">
        <v>813</v>
      </c>
      <c r="E4374" s="33" t="s">
        <v>784</v>
      </c>
      <c r="F4374" s="34">
        <v>672615</v>
      </c>
      <c r="G4374" s="34">
        <v>672895</v>
      </c>
      <c r="H4374" s="35" t="s">
        <v>5689</v>
      </c>
    </row>
    <row r="4375" spans="1:8" ht="27" customHeight="1" x14ac:dyDescent="0.2">
      <c r="A4375" s="31" t="s">
        <v>5690</v>
      </c>
      <c r="B4375" s="32" t="s">
        <v>419</v>
      </c>
      <c r="C4375" s="32" t="s">
        <v>763</v>
      </c>
      <c r="D4375" s="32" t="s">
        <v>5691</v>
      </c>
      <c r="E4375" s="33" t="s">
        <v>764</v>
      </c>
      <c r="F4375" s="34">
        <v>930380</v>
      </c>
      <c r="G4375" s="34">
        <v>930380</v>
      </c>
      <c r="H4375" s="35" t="s">
        <v>5692</v>
      </c>
    </row>
    <row r="4376" spans="1:8" ht="27" customHeight="1" x14ac:dyDescent="0.2">
      <c r="A4376" s="31" t="s">
        <v>5690</v>
      </c>
      <c r="B4376" s="32" t="s">
        <v>419</v>
      </c>
      <c r="C4376" s="32" t="s">
        <v>763</v>
      </c>
      <c r="D4376" s="32" t="s">
        <v>5693</v>
      </c>
      <c r="E4376" s="33" t="s">
        <v>764</v>
      </c>
      <c r="F4376" s="34">
        <v>216761</v>
      </c>
      <c r="G4376" s="34">
        <v>216761</v>
      </c>
      <c r="H4376" s="35" t="s">
        <v>5694</v>
      </c>
    </row>
    <row r="4377" spans="1:8" ht="27" customHeight="1" x14ac:dyDescent="0.2">
      <c r="A4377" s="31" t="s">
        <v>5690</v>
      </c>
      <c r="B4377" s="32" t="s">
        <v>419</v>
      </c>
      <c r="C4377" s="32" t="s">
        <v>763</v>
      </c>
      <c r="D4377" s="32" t="s">
        <v>2718</v>
      </c>
      <c r="E4377" s="33" t="s">
        <v>764</v>
      </c>
      <c r="F4377" s="34">
        <v>370622</v>
      </c>
      <c r="G4377" s="34">
        <v>370622</v>
      </c>
      <c r="H4377" s="35" t="s">
        <v>1783</v>
      </c>
    </row>
    <row r="4378" spans="1:8" ht="27" customHeight="1" x14ac:dyDescent="0.2">
      <c r="A4378" s="31" t="s">
        <v>5690</v>
      </c>
      <c r="B4378" s="32" t="s">
        <v>419</v>
      </c>
      <c r="C4378" s="32" t="s">
        <v>766</v>
      </c>
      <c r="D4378" s="32" t="s">
        <v>859</v>
      </c>
      <c r="E4378" s="33" t="s">
        <v>768</v>
      </c>
      <c r="F4378" s="34">
        <v>0</v>
      </c>
      <c r="G4378" s="34">
        <v>0</v>
      </c>
      <c r="H4378" s="35" t="s">
        <v>859</v>
      </c>
    </row>
    <row r="4379" spans="1:8" ht="27" customHeight="1" x14ac:dyDescent="0.2">
      <c r="A4379" s="31" t="s">
        <v>5690</v>
      </c>
      <c r="B4379" s="32" t="s">
        <v>419</v>
      </c>
      <c r="C4379" s="32" t="s">
        <v>770</v>
      </c>
      <c r="D4379" s="32" t="s">
        <v>810</v>
      </c>
      <c r="E4379" s="33" t="s">
        <v>772</v>
      </c>
      <c r="F4379" s="34">
        <v>513042</v>
      </c>
      <c r="G4379" s="34">
        <v>513042</v>
      </c>
      <c r="H4379" s="35" t="s">
        <v>5695</v>
      </c>
    </row>
    <row r="4380" spans="1:8" ht="27" customHeight="1" x14ac:dyDescent="0.2">
      <c r="A4380" s="31" t="s">
        <v>5690</v>
      </c>
      <c r="B4380" s="32" t="s">
        <v>419</v>
      </c>
      <c r="C4380" s="32" t="s">
        <v>844</v>
      </c>
      <c r="D4380" s="32" t="s">
        <v>972</v>
      </c>
      <c r="E4380" s="33" t="s">
        <v>846</v>
      </c>
      <c r="F4380" s="34">
        <v>240000</v>
      </c>
      <c r="G4380" s="34">
        <v>240000</v>
      </c>
      <c r="H4380" s="35" t="s">
        <v>4545</v>
      </c>
    </row>
    <row r="4381" spans="1:8" ht="27" customHeight="1" x14ac:dyDescent="0.2">
      <c r="A4381" s="31" t="s">
        <v>5690</v>
      </c>
      <c r="B4381" s="32" t="s">
        <v>419</v>
      </c>
      <c r="C4381" s="32" t="s">
        <v>773</v>
      </c>
      <c r="D4381" s="32" t="s">
        <v>2020</v>
      </c>
      <c r="E4381" s="33" t="s">
        <v>775</v>
      </c>
      <c r="F4381" s="34">
        <v>244562</v>
      </c>
      <c r="G4381" s="34">
        <v>244562</v>
      </c>
      <c r="H4381" s="35" t="s">
        <v>1783</v>
      </c>
    </row>
    <row r="4382" spans="1:8" ht="27" customHeight="1" x14ac:dyDescent="0.2">
      <c r="A4382" s="31" t="s">
        <v>5690</v>
      </c>
      <c r="B4382" s="32" t="s">
        <v>419</v>
      </c>
      <c r="C4382" s="32" t="s">
        <v>860</v>
      </c>
      <c r="D4382" s="32" t="s">
        <v>911</v>
      </c>
      <c r="E4382" s="33" t="s">
        <v>861</v>
      </c>
      <c r="F4382" s="34">
        <v>294723</v>
      </c>
      <c r="G4382" s="34">
        <v>294723</v>
      </c>
      <c r="H4382" s="35" t="s">
        <v>5696</v>
      </c>
    </row>
    <row r="4383" spans="1:8" ht="27" customHeight="1" x14ac:dyDescent="0.2">
      <c r="A4383" s="31" t="s">
        <v>5690</v>
      </c>
      <c r="B4383" s="32" t="s">
        <v>419</v>
      </c>
      <c r="C4383" s="32" t="s">
        <v>796</v>
      </c>
      <c r="D4383" s="32" t="s">
        <v>811</v>
      </c>
      <c r="E4383" s="33" t="s">
        <v>823</v>
      </c>
      <c r="F4383" s="34">
        <v>2632229</v>
      </c>
      <c r="G4383" s="34">
        <v>2632229</v>
      </c>
      <c r="H4383" s="35" t="s">
        <v>5697</v>
      </c>
    </row>
    <row r="4384" spans="1:8" ht="27" customHeight="1" x14ac:dyDescent="0.2">
      <c r="A4384" s="31" t="s">
        <v>5690</v>
      </c>
      <c r="B4384" s="32" t="s">
        <v>419</v>
      </c>
      <c r="C4384" s="32" t="s">
        <v>776</v>
      </c>
      <c r="D4384" s="32" t="s">
        <v>812</v>
      </c>
      <c r="E4384" s="33" t="s">
        <v>777</v>
      </c>
      <c r="F4384" s="34">
        <v>86140</v>
      </c>
      <c r="G4384" s="34">
        <v>86140</v>
      </c>
      <c r="H4384" s="35" t="s">
        <v>5510</v>
      </c>
    </row>
    <row r="4385" spans="1:8" ht="27" customHeight="1" x14ac:dyDescent="0.2">
      <c r="A4385" s="31" t="s">
        <v>5690</v>
      </c>
      <c r="B4385" s="32" t="s">
        <v>419</v>
      </c>
      <c r="C4385" s="32" t="s">
        <v>779</v>
      </c>
      <c r="D4385" s="32" t="s">
        <v>876</v>
      </c>
      <c r="E4385" s="33" t="s">
        <v>780</v>
      </c>
      <c r="F4385" s="34">
        <v>440900</v>
      </c>
      <c r="G4385" s="34">
        <v>440900</v>
      </c>
      <c r="H4385" s="35" t="s">
        <v>5698</v>
      </c>
    </row>
    <row r="4386" spans="1:8" ht="27" customHeight="1" x14ac:dyDescent="0.2">
      <c r="A4386" s="31" t="s">
        <v>5699</v>
      </c>
      <c r="B4386" s="32" t="s">
        <v>5700</v>
      </c>
      <c r="C4386" s="32" t="s">
        <v>763</v>
      </c>
      <c r="D4386" s="32" t="s">
        <v>5701</v>
      </c>
      <c r="E4386" s="33" t="s">
        <v>764</v>
      </c>
      <c r="F4386" s="34">
        <v>347487</v>
      </c>
      <c r="G4386" s="34">
        <v>347487</v>
      </c>
      <c r="H4386" s="35" t="s">
        <v>5702</v>
      </c>
    </row>
    <row r="4387" spans="1:8" ht="27" customHeight="1" x14ac:dyDescent="0.2">
      <c r="A4387" s="31" t="s">
        <v>5699</v>
      </c>
      <c r="B4387" s="32" t="s">
        <v>5700</v>
      </c>
      <c r="C4387" s="32" t="s">
        <v>770</v>
      </c>
      <c r="D4387" s="32" t="s">
        <v>5703</v>
      </c>
      <c r="E4387" s="33" t="s">
        <v>772</v>
      </c>
      <c r="F4387" s="34">
        <v>360288</v>
      </c>
      <c r="G4387" s="34">
        <v>360288</v>
      </c>
      <c r="H4387" s="35" t="s">
        <v>5704</v>
      </c>
    </row>
    <row r="4388" spans="1:8" ht="27" customHeight="1" x14ac:dyDescent="0.2">
      <c r="A4388" s="31" t="s">
        <v>5699</v>
      </c>
      <c r="B4388" s="32" t="s">
        <v>5700</v>
      </c>
      <c r="C4388" s="32" t="s">
        <v>796</v>
      </c>
      <c r="D4388" s="32" t="s">
        <v>2689</v>
      </c>
      <c r="E4388" s="33" t="s">
        <v>823</v>
      </c>
      <c r="F4388" s="34">
        <v>124577</v>
      </c>
      <c r="G4388" s="34">
        <v>249577</v>
      </c>
      <c r="H4388" s="35" t="s">
        <v>5705</v>
      </c>
    </row>
    <row r="4389" spans="1:8" ht="27" customHeight="1" x14ac:dyDescent="0.2">
      <c r="A4389" s="31" t="s">
        <v>5699</v>
      </c>
      <c r="B4389" s="32" t="s">
        <v>5700</v>
      </c>
      <c r="C4389" s="32" t="s">
        <v>776</v>
      </c>
      <c r="D4389" s="32" t="s">
        <v>812</v>
      </c>
      <c r="E4389" s="33" t="s">
        <v>777</v>
      </c>
      <c r="F4389" s="34">
        <v>872552</v>
      </c>
      <c r="G4389" s="34">
        <v>872552</v>
      </c>
      <c r="H4389" s="35" t="s">
        <v>5706</v>
      </c>
    </row>
    <row r="4390" spans="1:8" ht="27" customHeight="1" x14ac:dyDescent="0.2">
      <c r="A4390" s="31" t="s">
        <v>5699</v>
      </c>
      <c r="B4390" s="32" t="s">
        <v>5700</v>
      </c>
      <c r="C4390" s="32" t="s">
        <v>779</v>
      </c>
      <c r="D4390" s="32" t="s">
        <v>927</v>
      </c>
      <c r="E4390" s="33" t="s">
        <v>780</v>
      </c>
      <c r="F4390" s="34">
        <v>218737</v>
      </c>
      <c r="G4390" s="34">
        <v>270096</v>
      </c>
      <c r="H4390" s="35" t="s">
        <v>5707</v>
      </c>
    </row>
    <row r="4391" spans="1:8" ht="27" customHeight="1" x14ac:dyDescent="0.2">
      <c r="A4391" s="31" t="s">
        <v>5708</v>
      </c>
      <c r="B4391" s="32" t="s">
        <v>5709</v>
      </c>
      <c r="C4391" s="32" t="s">
        <v>763</v>
      </c>
      <c r="D4391" s="32" t="s">
        <v>816</v>
      </c>
      <c r="E4391" s="33" t="s">
        <v>764</v>
      </c>
      <c r="F4391" s="34">
        <v>750000</v>
      </c>
      <c r="G4391" s="34">
        <v>750000</v>
      </c>
      <c r="H4391" s="35" t="s">
        <v>1951</v>
      </c>
    </row>
    <row r="4392" spans="1:8" ht="27" customHeight="1" x14ac:dyDescent="0.2">
      <c r="A4392" s="31" t="s">
        <v>5708</v>
      </c>
      <c r="B4392" s="32" t="s">
        <v>5709</v>
      </c>
      <c r="C4392" s="32" t="s">
        <v>763</v>
      </c>
      <c r="D4392" s="32" t="s">
        <v>816</v>
      </c>
      <c r="E4392" s="33" t="s">
        <v>764</v>
      </c>
      <c r="F4392" s="34">
        <v>750000</v>
      </c>
      <c r="G4392" s="34">
        <v>750000</v>
      </c>
      <c r="H4392" s="35" t="s">
        <v>1421</v>
      </c>
    </row>
    <row r="4393" spans="1:8" ht="27" customHeight="1" x14ac:dyDescent="0.2">
      <c r="A4393" s="31" t="s">
        <v>5708</v>
      </c>
      <c r="B4393" s="32" t="s">
        <v>5709</v>
      </c>
      <c r="C4393" s="32" t="s">
        <v>763</v>
      </c>
      <c r="D4393" s="32" t="s">
        <v>816</v>
      </c>
      <c r="E4393" s="33" t="s">
        <v>764</v>
      </c>
      <c r="F4393" s="34">
        <v>750000</v>
      </c>
      <c r="G4393" s="34">
        <v>750000</v>
      </c>
      <c r="H4393" s="35" t="s">
        <v>1421</v>
      </c>
    </row>
    <row r="4394" spans="1:8" ht="27" customHeight="1" x14ac:dyDescent="0.2">
      <c r="A4394" s="31" t="s">
        <v>5708</v>
      </c>
      <c r="B4394" s="32" t="s">
        <v>5709</v>
      </c>
      <c r="C4394" s="32" t="s">
        <v>763</v>
      </c>
      <c r="D4394" s="32" t="s">
        <v>816</v>
      </c>
      <c r="E4394" s="33" t="s">
        <v>764</v>
      </c>
      <c r="F4394" s="34">
        <v>750000</v>
      </c>
      <c r="G4394" s="34">
        <v>750000</v>
      </c>
      <c r="H4394" s="35" t="s">
        <v>1421</v>
      </c>
    </row>
    <row r="4395" spans="1:8" ht="27" customHeight="1" x14ac:dyDescent="0.2">
      <c r="A4395" s="31" t="s">
        <v>5708</v>
      </c>
      <c r="B4395" s="32" t="s">
        <v>5709</v>
      </c>
      <c r="C4395" s="32" t="s">
        <v>763</v>
      </c>
      <c r="D4395" s="32" t="s">
        <v>816</v>
      </c>
      <c r="E4395" s="33" t="s">
        <v>764</v>
      </c>
      <c r="F4395" s="34">
        <v>750000</v>
      </c>
      <c r="G4395" s="34">
        <v>750000</v>
      </c>
      <c r="H4395" s="35" t="s">
        <v>1421</v>
      </c>
    </row>
    <row r="4396" spans="1:8" ht="27" customHeight="1" x14ac:dyDescent="0.2">
      <c r="A4396" s="31" t="s">
        <v>5708</v>
      </c>
      <c r="B4396" s="32" t="s">
        <v>5709</v>
      </c>
      <c r="C4396" s="32" t="s">
        <v>763</v>
      </c>
      <c r="D4396" s="32" t="s">
        <v>816</v>
      </c>
      <c r="E4396" s="33" t="s">
        <v>764</v>
      </c>
      <c r="F4396" s="34">
        <v>671111</v>
      </c>
      <c r="G4396" s="34">
        <v>671111</v>
      </c>
      <c r="H4396" s="35" t="s">
        <v>1421</v>
      </c>
    </row>
    <row r="4397" spans="1:8" ht="27" customHeight="1" x14ac:dyDescent="0.2">
      <c r="A4397" s="31" t="s">
        <v>5708</v>
      </c>
      <c r="B4397" s="32" t="s">
        <v>5709</v>
      </c>
      <c r="C4397" s="32" t="s">
        <v>763</v>
      </c>
      <c r="D4397" s="32" t="s">
        <v>816</v>
      </c>
      <c r="E4397" s="33" t="s">
        <v>764</v>
      </c>
      <c r="F4397" s="34">
        <v>750000</v>
      </c>
      <c r="G4397" s="34">
        <v>750000</v>
      </c>
      <c r="H4397" s="35" t="s">
        <v>1421</v>
      </c>
    </row>
    <row r="4398" spans="1:8" ht="27" customHeight="1" x14ac:dyDescent="0.2">
      <c r="A4398" s="31" t="s">
        <v>5708</v>
      </c>
      <c r="B4398" s="32" t="s">
        <v>5709</v>
      </c>
      <c r="C4398" s="32" t="s">
        <v>763</v>
      </c>
      <c r="D4398" s="32" t="s">
        <v>816</v>
      </c>
      <c r="E4398" s="33" t="s">
        <v>764</v>
      </c>
      <c r="F4398" s="34">
        <v>671111</v>
      </c>
      <c r="G4398" s="34">
        <v>671111</v>
      </c>
      <c r="H4398" s="35" t="s">
        <v>1421</v>
      </c>
    </row>
    <row r="4399" spans="1:8" ht="27" customHeight="1" x14ac:dyDescent="0.2">
      <c r="A4399" s="31" t="s">
        <v>5708</v>
      </c>
      <c r="B4399" s="32" t="s">
        <v>5709</v>
      </c>
      <c r="C4399" s="32" t="s">
        <v>763</v>
      </c>
      <c r="D4399" s="32" t="s">
        <v>5710</v>
      </c>
      <c r="E4399" s="33" t="s">
        <v>764</v>
      </c>
      <c r="F4399" s="34">
        <v>0</v>
      </c>
      <c r="G4399" s="34">
        <v>2000000</v>
      </c>
      <c r="H4399" s="35" t="s">
        <v>1421</v>
      </c>
    </row>
    <row r="4400" spans="1:8" ht="27" customHeight="1" x14ac:dyDescent="0.2">
      <c r="A4400" s="31" t="s">
        <v>5708</v>
      </c>
      <c r="B4400" s="32" t="s">
        <v>5709</v>
      </c>
      <c r="C4400" s="32" t="s">
        <v>763</v>
      </c>
      <c r="D4400" s="32" t="s">
        <v>967</v>
      </c>
      <c r="E4400" s="33" t="s">
        <v>764</v>
      </c>
      <c r="F4400" s="34">
        <v>677111</v>
      </c>
      <c r="G4400" s="34">
        <v>677111</v>
      </c>
      <c r="H4400" s="35" t="s">
        <v>1421</v>
      </c>
    </row>
    <row r="4401" spans="1:8" ht="27" customHeight="1" x14ac:dyDescent="0.2">
      <c r="A4401" s="31" t="s">
        <v>5708</v>
      </c>
      <c r="B4401" s="32" t="s">
        <v>5709</v>
      </c>
      <c r="C4401" s="32" t="s">
        <v>763</v>
      </c>
      <c r="D4401" s="32" t="s">
        <v>5252</v>
      </c>
      <c r="E4401" s="33" t="s">
        <v>764</v>
      </c>
      <c r="F4401" s="34">
        <v>319623</v>
      </c>
      <c r="G4401" s="34">
        <v>200702</v>
      </c>
      <c r="H4401" s="35" t="s">
        <v>5711</v>
      </c>
    </row>
    <row r="4402" spans="1:8" ht="27" customHeight="1" x14ac:dyDescent="0.2">
      <c r="A4402" s="31" t="s">
        <v>5708</v>
      </c>
      <c r="B4402" s="32" t="s">
        <v>5709</v>
      </c>
      <c r="C4402" s="32" t="s">
        <v>763</v>
      </c>
      <c r="D4402" s="32" t="s">
        <v>816</v>
      </c>
      <c r="E4402" s="33" t="s">
        <v>764</v>
      </c>
      <c r="F4402" s="34">
        <v>750000</v>
      </c>
      <c r="G4402" s="34">
        <v>750000</v>
      </c>
      <c r="H4402" s="35" t="s">
        <v>1421</v>
      </c>
    </row>
    <row r="4403" spans="1:8" ht="27" customHeight="1" x14ac:dyDescent="0.2">
      <c r="A4403" s="31" t="s">
        <v>5708</v>
      </c>
      <c r="B4403" s="32" t="s">
        <v>5709</v>
      </c>
      <c r="C4403" s="32" t="s">
        <v>763</v>
      </c>
      <c r="D4403" s="32" t="s">
        <v>816</v>
      </c>
      <c r="E4403" s="33" t="s">
        <v>764</v>
      </c>
      <c r="F4403" s="34">
        <v>750000</v>
      </c>
      <c r="G4403" s="34">
        <v>750000</v>
      </c>
      <c r="H4403" s="35" t="s">
        <v>1421</v>
      </c>
    </row>
    <row r="4404" spans="1:8" ht="27" customHeight="1" x14ac:dyDescent="0.2">
      <c r="A4404" s="31" t="s">
        <v>5708</v>
      </c>
      <c r="B4404" s="32" t="s">
        <v>5709</v>
      </c>
      <c r="C4404" s="32" t="s">
        <v>763</v>
      </c>
      <c r="D4404" s="32" t="s">
        <v>816</v>
      </c>
      <c r="E4404" s="33" t="s">
        <v>764</v>
      </c>
      <c r="F4404" s="34">
        <v>319623</v>
      </c>
      <c r="G4404" s="34">
        <v>200702</v>
      </c>
      <c r="H4404" s="35" t="s">
        <v>5712</v>
      </c>
    </row>
    <row r="4405" spans="1:8" ht="27" customHeight="1" x14ac:dyDescent="0.2">
      <c r="A4405" s="31" t="s">
        <v>5708</v>
      </c>
      <c r="B4405" s="32" t="s">
        <v>5709</v>
      </c>
      <c r="C4405" s="32" t="s">
        <v>763</v>
      </c>
      <c r="D4405" s="32" t="s">
        <v>816</v>
      </c>
      <c r="E4405" s="33" t="s">
        <v>764</v>
      </c>
      <c r="F4405" s="34">
        <v>319623</v>
      </c>
      <c r="G4405" s="34">
        <v>200702</v>
      </c>
      <c r="H4405" s="35" t="s">
        <v>5713</v>
      </c>
    </row>
    <row r="4406" spans="1:8" ht="27" customHeight="1" x14ac:dyDescent="0.2">
      <c r="A4406" s="31" t="s">
        <v>5708</v>
      </c>
      <c r="B4406" s="32" t="s">
        <v>5709</v>
      </c>
      <c r="C4406" s="32" t="s">
        <v>763</v>
      </c>
      <c r="D4406" s="32" t="s">
        <v>816</v>
      </c>
      <c r="E4406" s="33" t="s">
        <v>764</v>
      </c>
      <c r="F4406" s="34">
        <v>750000</v>
      </c>
      <c r="G4406" s="34">
        <v>750000</v>
      </c>
      <c r="H4406" s="35" t="s">
        <v>765</v>
      </c>
    </row>
    <row r="4407" spans="1:8" ht="27" customHeight="1" x14ac:dyDescent="0.2">
      <c r="A4407" s="31" t="s">
        <v>5708</v>
      </c>
      <c r="B4407" s="32" t="s">
        <v>5709</v>
      </c>
      <c r="C4407" s="32" t="s">
        <v>763</v>
      </c>
      <c r="D4407" s="32" t="s">
        <v>816</v>
      </c>
      <c r="E4407" s="33" t="s">
        <v>764</v>
      </c>
      <c r="F4407" s="34">
        <v>750000</v>
      </c>
      <c r="G4407" s="34">
        <v>750000</v>
      </c>
      <c r="H4407" s="35" t="s">
        <v>765</v>
      </c>
    </row>
    <row r="4408" spans="1:8" ht="27" customHeight="1" x14ac:dyDescent="0.2">
      <c r="A4408" s="31" t="s">
        <v>5708</v>
      </c>
      <c r="B4408" s="32" t="s">
        <v>5709</v>
      </c>
      <c r="C4408" s="32" t="s">
        <v>763</v>
      </c>
      <c r="D4408" s="32" t="s">
        <v>816</v>
      </c>
      <c r="E4408" s="33" t="s">
        <v>764</v>
      </c>
      <c r="F4408" s="34">
        <v>750000</v>
      </c>
      <c r="G4408" s="34">
        <v>750000</v>
      </c>
      <c r="H4408" s="35" t="s">
        <v>5714</v>
      </c>
    </row>
    <row r="4409" spans="1:8" ht="27" customHeight="1" x14ac:dyDescent="0.2">
      <c r="A4409" s="31" t="s">
        <v>5708</v>
      </c>
      <c r="B4409" s="32" t="s">
        <v>5709</v>
      </c>
      <c r="C4409" s="32" t="s">
        <v>763</v>
      </c>
      <c r="D4409" s="32" t="s">
        <v>816</v>
      </c>
      <c r="E4409" s="33" t="s">
        <v>764</v>
      </c>
      <c r="F4409" s="34">
        <v>750000</v>
      </c>
      <c r="G4409" s="34">
        <v>750000</v>
      </c>
      <c r="H4409" s="35" t="s">
        <v>765</v>
      </c>
    </row>
    <row r="4410" spans="1:8" ht="27" customHeight="1" x14ac:dyDescent="0.2">
      <c r="A4410" s="31" t="s">
        <v>5708</v>
      </c>
      <c r="B4410" s="32" t="s">
        <v>5709</v>
      </c>
      <c r="C4410" s="32" t="s">
        <v>763</v>
      </c>
      <c r="D4410" s="32" t="s">
        <v>816</v>
      </c>
      <c r="E4410" s="33" t="s">
        <v>764</v>
      </c>
      <c r="F4410" s="34">
        <v>750000</v>
      </c>
      <c r="G4410" s="34">
        <v>750000</v>
      </c>
      <c r="H4410" s="35" t="s">
        <v>1421</v>
      </c>
    </row>
    <row r="4411" spans="1:8" ht="27" customHeight="1" x14ac:dyDescent="0.2">
      <c r="A4411" s="31" t="s">
        <v>5708</v>
      </c>
      <c r="B4411" s="32" t="s">
        <v>5709</v>
      </c>
      <c r="C4411" s="32" t="s">
        <v>763</v>
      </c>
      <c r="D4411" s="32" t="s">
        <v>816</v>
      </c>
      <c r="E4411" s="33" t="s">
        <v>764</v>
      </c>
      <c r="F4411" s="34">
        <v>319623</v>
      </c>
      <c r="G4411" s="34">
        <v>200702</v>
      </c>
      <c r="H4411" s="35" t="s">
        <v>5715</v>
      </c>
    </row>
    <row r="4412" spans="1:8" ht="27" customHeight="1" x14ac:dyDescent="0.2">
      <c r="A4412" s="31" t="s">
        <v>5708</v>
      </c>
      <c r="B4412" s="32" t="s">
        <v>5709</v>
      </c>
      <c r="C4412" s="32" t="s">
        <v>763</v>
      </c>
      <c r="D4412" s="32" t="s">
        <v>816</v>
      </c>
      <c r="E4412" s="33" t="s">
        <v>764</v>
      </c>
      <c r="F4412" s="34">
        <v>750000</v>
      </c>
      <c r="G4412" s="34">
        <v>750000</v>
      </c>
      <c r="H4412" s="35" t="s">
        <v>1421</v>
      </c>
    </row>
    <row r="4413" spans="1:8" ht="27" customHeight="1" x14ac:dyDescent="0.2">
      <c r="A4413" s="31" t="s">
        <v>5708</v>
      </c>
      <c r="B4413" s="32" t="s">
        <v>5709</v>
      </c>
      <c r="C4413" s="32" t="s">
        <v>766</v>
      </c>
      <c r="D4413" s="32" t="s">
        <v>765</v>
      </c>
      <c r="E4413" s="33" t="s">
        <v>768</v>
      </c>
      <c r="F4413" s="34">
        <v>0</v>
      </c>
      <c r="G4413" s="34">
        <v>0</v>
      </c>
      <c r="H4413" s="35" t="s">
        <v>765</v>
      </c>
    </row>
    <row r="4414" spans="1:8" ht="27" customHeight="1" x14ac:dyDescent="0.2">
      <c r="A4414" s="31" t="s">
        <v>5708</v>
      </c>
      <c r="B4414" s="32" t="s">
        <v>5709</v>
      </c>
      <c r="C4414" s="32" t="s">
        <v>770</v>
      </c>
      <c r="D4414" s="32" t="s">
        <v>1937</v>
      </c>
      <c r="E4414" s="33" t="s">
        <v>772</v>
      </c>
      <c r="F4414" s="34">
        <v>396178</v>
      </c>
      <c r="G4414" s="34">
        <v>396178</v>
      </c>
      <c r="H4414" s="35" t="s">
        <v>1421</v>
      </c>
    </row>
    <row r="4415" spans="1:8" ht="27" customHeight="1" x14ac:dyDescent="0.2">
      <c r="A4415" s="31" t="s">
        <v>5708</v>
      </c>
      <c r="B4415" s="32" t="s">
        <v>5709</v>
      </c>
      <c r="C4415" s="32" t="s">
        <v>884</v>
      </c>
      <c r="D4415" s="32" t="s">
        <v>765</v>
      </c>
      <c r="E4415" s="33" t="s">
        <v>885</v>
      </c>
      <c r="F4415" s="34">
        <v>0</v>
      </c>
      <c r="G4415" s="34">
        <v>0</v>
      </c>
      <c r="H4415" s="35" t="s">
        <v>765</v>
      </c>
    </row>
    <row r="4416" spans="1:8" ht="27" customHeight="1" x14ac:dyDescent="0.2">
      <c r="A4416" s="31" t="s">
        <v>5708</v>
      </c>
      <c r="B4416" s="32" t="s">
        <v>5709</v>
      </c>
      <c r="C4416" s="32" t="s">
        <v>844</v>
      </c>
      <c r="D4416" s="32" t="s">
        <v>844</v>
      </c>
      <c r="E4416" s="33" t="s">
        <v>846</v>
      </c>
      <c r="F4416" s="34">
        <v>25159</v>
      </c>
      <c r="G4416" s="34">
        <v>25159</v>
      </c>
      <c r="H4416" s="35" t="s">
        <v>1421</v>
      </c>
    </row>
    <row r="4417" spans="1:8" ht="27" customHeight="1" x14ac:dyDescent="0.2">
      <c r="A4417" s="31" t="s">
        <v>5708</v>
      </c>
      <c r="B4417" s="32" t="s">
        <v>5709</v>
      </c>
      <c r="C4417" s="32" t="s">
        <v>773</v>
      </c>
      <c r="D4417" s="32" t="s">
        <v>773</v>
      </c>
      <c r="E4417" s="33" t="s">
        <v>775</v>
      </c>
      <c r="F4417" s="34">
        <v>538048</v>
      </c>
      <c r="G4417" s="34">
        <v>538048</v>
      </c>
      <c r="H4417" s="35" t="s">
        <v>1421</v>
      </c>
    </row>
    <row r="4418" spans="1:8" ht="27" customHeight="1" x14ac:dyDescent="0.2">
      <c r="A4418" s="31" t="s">
        <v>5708</v>
      </c>
      <c r="B4418" s="32" t="s">
        <v>5709</v>
      </c>
      <c r="C4418" s="32" t="s">
        <v>831</v>
      </c>
      <c r="D4418" s="32" t="s">
        <v>765</v>
      </c>
      <c r="E4418" s="33" t="s">
        <v>5716</v>
      </c>
      <c r="F4418" s="34">
        <v>0</v>
      </c>
      <c r="G4418" s="34">
        <v>0</v>
      </c>
      <c r="H4418" s="35" t="s">
        <v>765</v>
      </c>
    </row>
    <row r="4419" spans="1:8" ht="27" customHeight="1" x14ac:dyDescent="0.2">
      <c r="A4419" s="31" t="s">
        <v>5708</v>
      </c>
      <c r="B4419" s="32" t="s">
        <v>5709</v>
      </c>
      <c r="C4419" s="32" t="s">
        <v>831</v>
      </c>
      <c r="D4419" s="32" t="s">
        <v>765</v>
      </c>
      <c r="E4419" s="33" t="s">
        <v>5717</v>
      </c>
      <c r="F4419" s="34">
        <v>0</v>
      </c>
      <c r="G4419" s="34">
        <v>0</v>
      </c>
      <c r="H4419" s="35" t="s">
        <v>765</v>
      </c>
    </row>
    <row r="4420" spans="1:8" ht="27" customHeight="1" x14ac:dyDescent="0.2">
      <c r="A4420" s="31" t="s">
        <v>5708</v>
      </c>
      <c r="B4420" s="32" t="s">
        <v>5709</v>
      </c>
      <c r="C4420" s="32" t="s">
        <v>886</v>
      </c>
      <c r="D4420" s="32" t="s">
        <v>765</v>
      </c>
      <c r="E4420" s="33" t="s">
        <v>887</v>
      </c>
      <c r="F4420" s="34">
        <v>0</v>
      </c>
      <c r="G4420" s="34">
        <v>0</v>
      </c>
      <c r="H4420" s="35" t="s">
        <v>765</v>
      </c>
    </row>
    <row r="4421" spans="1:8" ht="27" customHeight="1" x14ac:dyDescent="0.2">
      <c r="A4421" s="31" t="s">
        <v>5708</v>
      </c>
      <c r="B4421" s="32" t="s">
        <v>5709</v>
      </c>
      <c r="C4421" s="32" t="s">
        <v>860</v>
      </c>
      <c r="D4421" s="32" t="s">
        <v>911</v>
      </c>
      <c r="E4421" s="33" t="s">
        <v>861</v>
      </c>
      <c r="F4421" s="34">
        <v>68409</v>
      </c>
      <c r="G4421" s="34">
        <v>68409</v>
      </c>
      <c r="H4421" s="35" t="s">
        <v>1421</v>
      </c>
    </row>
    <row r="4422" spans="1:8" ht="27" customHeight="1" x14ac:dyDescent="0.2">
      <c r="A4422" s="31" t="s">
        <v>5708</v>
      </c>
      <c r="B4422" s="32" t="s">
        <v>5709</v>
      </c>
      <c r="C4422" s="32" t="s">
        <v>796</v>
      </c>
      <c r="D4422" s="32" t="s">
        <v>796</v>
      </c>
      <c r="E4422" s="33" t="s">
        <v>772</v>
      </c>
      <c r="F4422" s="34">
        <v>1061205</v>
      </c>
      <c r="G4422" s="34">
        <v>1570000</v>
      </c>
      <c r="H4422" s="35" t="s">
        <v>1421</v>
      </c>
    </row>
    <row r="4423" spans="1:8" ht="27" customHeight="1" x14ac:dyDescent="0.2">
      <c r="A4423" s="31" t="s">
        <v>5708</v>
      </c>
      <c r="B4423" s="32" t="s">
        <v>5709</v>
      </c>
      <c r="C4423" s="32" t="s">
        <v>776</v>
      </c>
      <c r="D4423" s="32" t="s">
        <v>776</v>
      </c>
      <c r="E4423" s="33" t="s">
        <v>777</v>
      </c>
      <c r="F4423" s="34">
        <v>30020</v>
      </c>
      <c r="G4423" s="34">
        <v>30020</v>
      </c>
      <c r="H4423" s="35" t="s">
        <v>1421</v>
      </c>
    </row>
    <row r="4424" spans="1:8" ht="27" customHeight="1" x14ac:dyDescent="0.2">
      <c r="A4424" s="31" t="s">
        <v>5708</v>
      </c>
      <c r="B4424" s="32" t="s">
        <v>5709</v>
      </c>
      <c r="C4424" s="32" t="s">
        <v>798</v>
      </c>
      <c r="D4424" s="32" t="s">
        <v>765</v>
      </c>
      <c r="E4424" s="33" t="s">
        <v>800</v>
      </c>
      <c r="F4424" s="34">
        <v>0</v>
      </c>
      <c r="G4424" s="34">
        <v>0</v>
      </c>
      <c r="H4424" s="35" t="s">
        <v>765</v>
      </c>
    </row>
    <row r="4425" spans="1:8" ht="27" customHeight="1" x14ac:dyDescent="0.2">
      <c r="A4425" s="31" t="s">
        <v>5708</v>
      </c>
      <c r="B4425" s="32" t="s">
        <v>5709</v>
      </c>
      <c r="C4425" s="32" t="s">
        <v>892</v>
      </c>
      <c r="D4425" s="32" t="s">
        <v>765</v>
      </c>
      <c r="E4425" s="33" t="s">
        <v>893</v>
      </c>
      <c r="F4425" s="34">
        <v>0</v>
      </c>
      <c r="G4425" s="34">
        <v>0</v>
      </c>
      <c r="H4425" s="35" t="s">
        <v>765</v>
      </c>
    </row>
    <row r="4426" spans="1:8" ht="27" customHeight="1" x14ac:dyDescent="0.2">
      <c r="A4426" s="31" t="s">
        <v>5708</v>
      </c>
      <c r="B4426" s="32" t="s">
        <v>5709</v>
      </c>
      <c r="C4426" s="32" t="s">
        <v>779</v>
      </c>
      <c r="D4426" s="32" t="s">
        <v>779</v>
      </c>
      <c r="E4426" s="33" t="s">
        <v>780</v>
      </c>
      <c r="F4426" s="34">
        <v>499612</v>
      </c>
      <c r="G4426" s="34">
        <v>499612</v>
      </c>
      <c r="H4426" s="35" t="s">
        <v>1421</v>
      </c>
    </row>
    <row r="4427" spans="1:8" ht="27" customHeight="1" x14ac:dyDescent="0.2">
      <c r="A4427" s="31" t="s">
        <v>5708</v>
      </c>
      <c r="B4427" s="32" t="s">
        <v>5709</v>
      </c>
      <c r="C4427" s="32" t="s">
        <v>782</v>
      </c>
      <c r="D4427" s="32" t="s">
        <v>783</v>
      </c>
      <c r="E4427" s="33" t="s">
        <v>784</v>
      </c>
      <c r="F4427" s="34">
        <v>817686</v>
      </c>
      <c r="G4427" s="34">
        <v>1090764</v>
      </c>
      <c r="H4427" s="35" t="s">
        <v>1421</v>
      </c>
    </row>
    <row r="4428" spans="1:8" ht="27" customHeight="1" x14ac:dyDescent="0.2">
      <c r="A4428" s="31" t="s">
        <v>5718</v>
      </c>
      <c r="B4428" s="32" t="s">
        <v>5719</v>
      </c>
      <c r="C4428" s="32" t="s">
        <v>763</v>
      </c>
      <c r="D4428" s="32" t="s">
        <v>5720</v>
      </c>
      <c r="E4428" s="33" t="s">
        <v>764</v>
      </c>
      <c r="F4428" s="34">
        <v>586550</v>
      </c>
      <c r="G4428" s="34">
        <v>1267623</v>
      </c>
      <c r="H4428" s="35" t="s">
        <v>5721</v>
      </c>
    </row>
    <row r="4429" spans="1:8" ht="27" customHeight="1" x14ac:dyDescent="0.2">
      <c r="A4429" s="31" t="s">
        <v>5718</v>
      </c>
      <c r="B4429" s="32" t="s">
        <v>5719</v>
      </c>
      <c r="C4429" s="32" t="s">
        <v>766</v>
      </c>
      <c r="D4429" s="32" t="s">
        <v>818</v>
      </c>
      <c r="E4429" s="33" t="s">
        <v>768</v>
      </c>
      <c r="F4429" s="34">
        <v>598600</v>
      </c>
      <c r="G4429" s="34">
        <v>598600</v>
      </c>
      <c r="H4429" s="35" t="s">
        <v>5722</v>
      </c>
    </row>
    <row r="4430" spans="1:8" ht="27" customHeight="1" x14ac:dyDescent="0.2">
      <c r="A4430" s="31" t="s">
        <v>5718</v>
      </c>
      <c r="B4430" s="32" t="s">
        <v>5719</v>
      </c>
      <c r="C4430" s="32" t="s">
        <v>770</v>
      </c>
      <c r="D4430" s="32" t="s">
        <v>1136</v>
      </c>
      <c r="E4430" s="33" t="s">
        <v>772</v>
      </c>
      <c r="F4430" s="34">
        <v>513437</v>
      </c>
      <c r="G4430" s="34">
        <v>513437</v>
      </c>
      <c r="H4430" s="35" t="s">
        <v>5723</v>
      </c>
    </row>
    <row r="4431" spans="1:8" ht="27" customHeight="1" x14ac:dyDescent="0.2">
      <c r="A4431" s="31" t="s">
        <v>5718</v>
      </c>
      <c r="B4431" s="32" t="s">
        <v>5719</v>
      </c>
      <c r="C4431" s="32" t="s">
        <v>796</v>
      </c>
      <c r="D4431" s="32" t="s">
        <v>862</v>
      </c>
      <c r="E4431" s="33" t="s">
        <v>772</v>
      </c>
      <c r="F4431" s="34">
        <v>2773943</v>
      </c>
      <c r="G4431" s="34">
        <v>2773943</v>
      </c>
      <c r="H4431" s="35" t="s">
        <v>5724</v>
      </c>
    </row>
    <row r="4432" spans="1:8" ht="27" customHeight="1" x14ac:dyDescent="0.2">
      <c r="A4432" s="31" t="s">
        <v>5718</v>
      </c>
      <c r="B4432" s="32" t="s">
        <v>5719</v>
      </c>
      <c r="C4432" s="32" t="s">
        <v>779</v>
      </c>
      <c r="D4432" s="32" t="s">
        <v>876</v>
      </c>
      <c r="E4432" s="33" t="s">
        <v>780</v>
      </c>
      <c r="F4432" s="34">
        <v>260331</v>
      </c>
      <c r="G4432" s="34">
        <v>260331</v>
      </c>
      <c r="H4432" s="35" t="s">
        <v>5725</v>
      </c>
    </row>
    <row r="4433" spans="1:8" ht="27" customHeight="1" x14ac:dyDescent="0.2">
      <c r="A4433" s="31" t="s">
        <v>5718</v>
      </c>
      <c r="B4433" s="32" t="s">
        <v>5719</v>
      </c>
      <c r="C4433" s="32" t="s">
        <v>782</v>
      </c>
      <c r="D4433" s="32" t="s">
        <v>1488</v>
      </c>
      <c r="E4433" s="33" t="s">
        <v>784</v>
      </c>
      <c r="F4433" s="34">
        <v>760969</v>
      </c>
      <c r="G4433" s="34">
        <v>760969</v>
      </c>
      <c r="H4433" s="35" t="s">
        <v>5726</v>
      </c>
    </row>
    <row r="4434" spans="1:8" ht="27" customHeight="1" x14ac:dyDescent="0.2">
      <c r="A4434" s="31" t="s">
        <v>5727</v>
      </c>
      <c r="B4434" s="32" t="s">
        <v>5728</v>
      </c>
      <c r="C4434" s="32" t="s">
        <v>763</v>
      </c>
      <c r="D4434" s="32" t="s">
        <v>816</v>
      </c>
      <c r="E4434" s="33" t="s">
        <v>764</v>
      </c>
      <c r="F4434" s="34">
        <v>1000000</v>
      </c>
      <c r="G4434" s="34">
        <v>1750000</v>
      </c>
      <c r="H4434" s="35" t="s">
        <v>765</v>
      </c>
    </row>
    <row r="4435" spans="1:8" ht="27" customHeight="1" x14ac:dyDescent="0.2">
      <c r="A4435" s="31" t="s">
        <v>5727</v>
      </c>
      <c r="B4435" s="32" t="s">
        <v>5728</v>
      </c>
      <c r="C4435" s="32" t="s">
        <v>766</v>
      </c>
      <c r="D4435" s="32" t="s">
        <v>832</v>
      </c>
      <c r="E4435" s="33" t="s">
        <v>768</v>
      </c>
      <c r="F4435" s="34">
        <v>1458756</v>
      </c>
      <c r="G4435" s="34">
        <v>1459756</v>
      </c>
      <c r="H4435" s="35" t="s">
        <v>765</v>
      </c>
    </row>
    <row r="4436" spans="1:8" ht="27" customHeight="1" x14ac:dyDescent="0.2">
      <c r="A4436" s="31" t="s">
        <v>5727</v>
      </c>
      <c r="B4436" s="32" t="s">
        <v>5728</v>
      </c>
      <c r="C4436" s="32" t="s">
        <v>860</v>
      </c>
      <c r="D4436" s="32" t="s">
        <v>911</v>
      </c>
      <c r="E4436" s="33" t="s">
        <v>861</v>
      </c>
      <c r="F4436" s="34">
        <v>1444234</v>
      </c>
      <c r="G4436" s="34">
        <v>1444234</v>
      </c>
      <c r="H4436" s="35" t="s">
        <v>765</v>
      </c>
    </row>
    <row r="4437" spans="1:8" ht="27" customHeight="1" x14ac:dyDescent="0.2">
      <c r="A4437" s="31" t="s">
        <v>5727</v>
      </c>
      <c r="B4437" s="32" t="s">
        <v>5728</v>
      </c>
      <c r="C4437" s="32" t="s">
        <v>796</v>
      </c>
      <c r="D4437" s="32" t="s">
        <v>1463</v>
      </c>
      <c r="E4437" s="33" t="s">
        <v>772</v>
      </c>
      <c r="F4437" s="34">
        <v>2264392</v>
      </c>
      <c r="G4437" s="34">
        <v>1784392</v>
      </c>
      <c r="H4437" s="35" t="s">
        <v>5729</v>
      </c>
    </row>
    <row r="4438" spans="1:8" ht="27" customHeight="1" x14ac:dyDescent="0.2">
      <c r="A4438" s="31" t="s">
        <v>5727</v>
      </c>
      <c r="B4438" s="32" t="s">
        <v>5728</v>
      </c>
      <c r="C4438" s="32" t="s">
        <v>776</v>
      </c>
      <c r="D4438" s="32" t="s">
        <v>914</v>
      </c>
      <c r="E4438" s="33" t="s">
        <v>777</v>
      </c>
      <c r="F4438" s="34">
        <v>260256</v>
      </c>
      <c r="G4438" s="34">
        <v>260256</v>
      </c>
      <c r="H4438" s="35" t="s">
        <v>765</v>
      </c>
    </row>
    <row r="4439" spans="1:8" ht="27" customHeight="1" x14ac:dyDescent="0.2">
      <c r="A4439" s="31" t="s">
        <v>5727</v>
      </c>
      <c r="B4439" s="32" t="s">
        <v>5728</v>
      </c>
      <c r="C4439" s="32" t="s">
        <v>779</v>
      </c>
      <c r="D4439" s="32" t="s">
        <v>876</v>
      </c>
      <c r="E4439" s="33" t="s">
        <v>780</v>
      </c>
      <c r="F4439" s="34">
        <v>542357</v>
      </c>
      <c r="G4439" s="34">
        <v>542357</v>
      </c>
      <c r="H4439" s="35" t="s">
        <v>765</v>
      </c>
    </row>
    <row r="4440" spans="1:8" ht="27" customHeight="1" x14ac:dyDescent="0.2">
      <c r="A4440" s="31" t="s">
        <v>5727</v>
      </c>
      <c r="B4440" s="32" t="s">
        <v>5728</v>
      </c>
      <c r="C4440" s="32" t="s">
        <v>782</v>
      </c>
      <c r="D4440" s="32" t="s">
        <v>980</v>
      </c>
      <c r="E4440" s="33" t="s">
        <v>784</v>
      </c>
      <c r="F4440" s="34">
        <v>854528</v>
      </c>
      <c r="G4440" s="34">
        <v>654528</v>
      </c>
      <c r="H4440" s="35" t="s">
        <v>5730</v>
      </c>
    </row>
    <row r="4441" spans="1:8" ht="27" customHeight="1" x14ac:dyDescent="0.2">
      <c r="A4441" s="31" t="s">
        <v>5731</v>
      </c>
      <c r="B4441" s="32" t="s">
        <v>5732</v>
      </c>
      <c r="C4441" s="32" t="s">
        <v>763</v>
      </c>
      <c r="D4441" s="32" t="s">
        <v>5733</v>
      </c>
      <c r="E4441" s="33" t="s">
        <v>764</v>
      </c>
      <c r="F4441" s="34">
        <v>1000000</v>
      </c>
      <c r="G4441" s="34">
        <v>1000000</v>
      </c>
      <c r="H4441" s="35" t="s">
        <v>5734</v>
      </c>
    </row>
    <row r="4442" spans="1:8" ht="27" customHeight="1" x14ac:dyDescent="0.2">
      <c r="A4442" s="31" t="s">
        <v>5731</v>
      </c>
      <c r="B4442" s="32" t="s">
        <v>5732</v>
      </c>
      <c r="C4442" s="32" t="s">
        <v>770</v>
      </c>
      <c r="D4442" s="32" t="s">
        <v>1011</v>
      </c>
      <c r="E4442" s="33" t="s">
        <v>772</v>
      </c>
      <c r="F4442" s="34">
        <v>2287445</v>
      </c>
      <c r="G4442" s="34">
        <v>2318567</v>
      </c>
      <c r="H4442" s="35" t="s">
        <v>5735</v>
      </c>
    </row>
    <row r="4443" spans="1:8" ht="27" customHeight="1" x14ac:dyDescent="0.2">
      <c r="A4443" s="31" t="s">
        <v>5731</v>
      </c>
      <c r="B4443" s="32" t="s">
        <v>5732</v>
      </c>
      <c r="C4443" s="32" t="s">
        <v>860</v>
      </c>
      <c r="D4443" s="32" t="s">
        <v>860</v>
      </c>
      <c r="E4443" s="33" t="s">
        <v>861</v>
      </c>
      <c r="F4443" s="34">
        <v>686780</v>
      </c>
      <c r="G4443" s="34">
        <v>686780</v>
      </c>
      <c r="H4443" s="35" t="s">
        <v>1547</v>
      </c>
    </row>
    <row r="4444" spans="1:8" ht="27" customHeight="1" x14ac:dyDescent="0.2">
      <c r="A4444" s="31" t="s">
        <v>5731</v>
      </c>
      <c r="B4444" s="32" t="s">
        <v>5732</v>
      </c>
      <c r="C4444" s="32" t="s">
        <v>796</v>
      </c>
      <c r="D4444" s="32" t="s">
        <v>1050</v>
      </c>
      <c r="E4444" s="33" t="s">
        <v>772</v>
      </c>
      <c r="F4444" s="34">
        <v>2896505</v>
      </c>
      <c r="G4444" s="34">
        <v>2896505</v>
      </c>
      <c r="H4444" s="35" t="s">
        <v>5736</v>
      </c>
    </row>
    <row r="4445" spans="1:8" ht="27" customHeight="1" thickBot="1" x14ac:dyDescent="0.25">
      <c r="A4445" s="36" t="s">
        <v>5731</v>
      </c>
      <c r="B4445" s="37" t="s">
        <v>5732</v>
      </c>
      <c r="C4445" s="37" t="s">
        <v>779</v>
      </c>
      <c r="D4445" s="37" t="s">
        <v>802</v>
      </c>
      <c r="E4445" s="38" t="s">
        <v>780</v>
      </c>
      <c r="F4445" s="39">
        <v>1775612</v>
      </c>
      <c r="G4445" s="39">
        <v>1775112</v>
      </c>
      <c r="H4445" s="40" t="s">
        <v>5737</v>
      </c>
    </row>
    <row r="4446" spans="1:8" x14ac:dyDescent="0.2">
      <c r="E4446" s="42"/>
      <c r="F4446" s="42"/>
      <c r="G4446" s="42"/>
      <c r="H4446" s="42"/>
    </row>
    <row r="4447" spans="1:8" x14ac:dyDescent="0.2">
      <c r="E4447" s="42"/>
      <c r="F4447" s="42"/>
      <c r="G4447" s="42"/>
      <c r="H4447" s="42"/>
    </row>
    <row r="4448" spans="1:8" x14ac:dyDescent="0.2">
      <c r="E4448" s="42"/>
      <c r="F4448" s="42"/>
      <c r="G4448" s="42"/>
      <c r="H4448" s="42"/>
    </row>
    <row r="4449" spans="5:8" x14ac:dyDescent="0.2">
      <c r="E4449" s="42"/>
      <c r="F4449" s="42"/>
      <c r="G4449" s="42"/>
      <c r="H4449" s="42"/>
    </row>
    <row r="4450" spans="5:8" x14ac:dyDescent="0.2">
      <c r="E4450" s="42"/>
      <c r="F4450" s="42"/>
      <c r="G4450" s="42"/>
      <c r="H4450" s="42"/>
    </row>
    <row r="4451" spans="5:8" x14ac:dyDescent="0.2">
      <c r="E4451" s="42"/>
      <c r="F4451" s="42"/>
      <c r="G4451" s="42"/>
      <c r="H4451" s="42"/>
    </row>
    <row r="4452" spans="5:8" x14ac:dyDescent="0.2">
      <c r="E4452" s="42"/>
      <c r="F4452" s="42"/>
      <c r="G4452" s="42"/>
      <c r="H4452" s="42"/>
    </row>
    <row r="4453" spans="5:8" x14ac:dyDescent="0.2">
      <c r="E4453" s="42"/>
      <c r="F4453" s="42"/>
      <c r="G4453" s="42"/>
      <c r="H4453" s="42"/>
    </row>
    <row r="4454" spans="5:8" x14ac:dyDescent="0.2">
      <c r="E4454" s="42"/>
      <c r="F4454" s="42"/>
      <c r="G4454" s="42"/>
      <c r="H4454" s="42"/>
    </row>
    <row r="4455" spans="5:8" x14ac:dyDescent="0.2">
      <c r="E4455" s="42"/>
      <c r="F4455" s="42"/>
      <c r="G4455" s="42"/>
      <c r="H4455" s="42"/>
    </row>
    <row r="4456" spans="5:8" x14ac:dyDescent="0.2">
      <c r="E4456" s="42"/>
      <c r="F4456" s="42"/>
      <c r="G4456" s="42"/>
      <c r="H4456" s="42"/>
    </row>
    <row r="4457" spans="5:8" x14ac:dyDescent="0.2">
      <c r="E4457" s="42"/>
      <c r="F4457" s="42"/>
      <c r="G4457" s="42"/>
      <c r="H4457" s="42"/>
    </row>
    <row r="4458" spans="5:8" x14ac:dyDescent="0.2">
      <c r="E4458" s="42"/>
      <c r="F4458" s="42"/>
      <c r="G4458" s="42"/>
      <c r="H4458" s="42"/>
    </row>
    <row r="4459" spans="5:8" x14ac:dyDescent="0.2">
      <c r="E4459" s="42"/>
      <c r="F4459" s="42"/>
      <c r="G4459" s="42"/>
      <c r="H4459" s="42"/>
    </row>
    <row r="4460" spans="5:8" x14ac:dyDescent="0.2">
      <c r="E4460" s="42"/>
      <c r="F4460" s="42"/>
      <c r="G4460" s="42"/>
      <c r="H4460" s="42"/>
    </row>
    <row r="4461" spans="5:8" x14ac:dyDescent="0.2">
      <c r="E4461" s="42"/>
      <c r="F4461" s="42"/>
      <c r="G4461" s="42"/>
      <c r="H4461" s="42"/>
    </row>
    <row r="4462" spans="5:8" x14ac:dyDescent="0.2">
      <c r="E4462" s="42"/>
      <c r="F4462" s="42"/>
      <c r="G4462" s="42"/>
      <c r="H4462" s="42"/>
    </row>
    <row r="4463" spans="5:8" x14ac:dyDescent="0.2">
      <c r="E4463" s="42"/>
      <c r="F4463" s="42"/>
      <c r="G4463" s="42"/>
      <c r="H4463" s="42"/>
    </row>
    <row r="4464" spans="5:8" x14ac:dyDescent="0.2">
      <c r="E4464" s="42"/>
      <c r="F4464" s="42"/>
      <c r="G4464" s="42"/>
      <c r="H4464" s="42"/>
    </row>
    <row r="4465" spans="5:8" x14ac:dyDescent="0.2">
      <c r="E4465" s="42"/>
      <c r="F4465" s="42"/>
      <c r="G4465" s="42"/>
      <c r="H4465" s="42"/>
    </row>
    <row r="4466" spans="5:8" x14ac:dyDescent="0.2">
      <c r="E4466" s="42"/>
      <c r="F4466" s="42"/>
      <c r="G4466" s="42"/>
      <c r="H4466" s="42"/>
    </row>
    <row r="4467" spans="5:8" x14ac:dyDescent="0.2">
      <c r="E4467" s="42"/>
      <c r="F4467" s="42"/>
      <c r="G4467" s="42"/>
      <c r="H4467" s="42"/>
    </row>
    <row r="4468" spans="5:8" x14ac:dyDescent="0.2">
      <c r="E4468" s="42"/>
      <c r="F4468" s="42"/>
      <c r="G4468" s="42"/>
      <c r="H4468" s="42"/>
    </row>
    <row r="4469" spans="5:8" x14ac:dyDescent="0.2">
      <c r="E4469" s="42"/>
      <c r="F4469" s="42"/>
      <c r="G4469" s="42"/>
      <c r="H4469" s="42"/>
    </row>
    <row r="4470" spans="5:8" x14ac:dyDescent="0.2">
      <c r="E4470" s="42"/>
      <c r="F4470" s="42"/>
      <c r="G4470" s="42"/>
      <c r="H4470" s="42"/>
    </row>
    <row r="4471" spans="5:8" x14ac:dyDescent="0.2">
      <c r="E4471" s="42"/>
      <c r="F4471" s="42"/>
      <c r="G4471" s="42"/>
      <c r="H4471" s="42"/>
    </row>
    <row r="4472" spans="5:8" x14ac:dyDescent="0.2">
      <c r="E4472" s="42"/>
      <c r="F4472" s="42"/>
      <c r="G4472" s="42"/>
      <c r="H4472" s="42"/>
    </row>
    <row r="4473" spans="5:8" x14ac:dyDescent="0.2">
      <c r="E4473" s="42"/>
      <c r="F4473" s="42"/>
      <c r="G4473" s="42"/>
      <c r="H4473" s="42"/>
    </row>
    <row r="4474" spans="5:8" x14ac:dyDescent="0.2">
      <c r="E4474" s="42"/>
      <c r="F4474" s="42"/>
      <c r="G4474" s="42"/>
      <c r="H4474" s="42"/>
    </row>
    <row r="4475" spans="5:8" x14ac:dyDescent="0.2">
      <c r="E4475" s="42"/>
      <c r="F4475" s="42"/>
      <c r="G4475" s="42"/>
      <c r="H4475" s="42"/>
    </row>
    <row r="4476" spans="5:8" x14ac:dyDescent="0.2">
      <c r="E4476" s="42"/>
      <c r="F4476" s="42"/>
      <c r="G4476" s="42"/>
      <c r="H4476" s="42"/>
    </row>
    <row r="4477" spans="5:8" x14ac:dyDescent="0.2">
      <c r="E4477" s="42"/>
      <c r="F4477" s="42"/>
      <c r="G4477" s="42"/>
      <c r="H4477" s="42"/>
    </row>
    <row r="4478" spans="5:8" x14ac:dyDescent="0.2">
      <c r="E4478" s="42"/>
      <c r="F4478" s="42"/>
      <c r="G4478" s="42"/>
      <c r="H4478" s="42"/>
    </row>
    <row r="4479" spans="5:8" x14ac:dyDescent="0.2">
      <c r="E4479" s="42"/>
      <c r="F4479" s="42"/>
      <c r="G4479" s="42"/>
      <c r="H4479" s="42"/>
    </row>
    <row r="4480" spans="5:8" x14ac:dyDescent="0.2">
      <c r="E4480" s="42"/>
      <c r="F4480" s="42"/>
      <c r="G4480" s="42"/>
      <c r="H4480" s="42"/>
    </row>
    <row r="4481" spans="5:8" x14ac:dyDescent="0.2">
      <c r="E4481" s="42"/>
      <c r="F4481" s="42"/>
      <c r="G4481" s="42"/>
      <c r="H4481" s="42"/>
    </row>
    <row r="4482" spans="5:8" x14ac:dyDescent="0.2">
      <c r="E4482" s="42"/>
      <c r="F4482" s="42"/>
      <c r="G4482" s="42"/>
      <c r="H4482" s="42"/>
    </row>
    <row r="4483" spans="5:8" x14ac:dyDescent="0.2">
      <c r="E4483" s="42"/>
      <c r="F4483" s="42"/>
      <c r="G4483" s="42"/>
      <c r="H4483" s="42"/>
    </row>
    <row r="4484" spans="5:8" x14ac:dyDescent="0.2">
      <c r="E4484" s="42"/>
      <c r="F4484" s="42"/>
      <c r="G4484" s="42"/>
      <c r="H4484" s="42"/>
    </row>
    <row r="4485" spans="5:8" x14ac:dyDescent="0.2">
      <c r="E4485" s="42"/>
      <c r="F4485" s="42"/>
      <c r="G4485" s="42"/>
      <c r="H4485" s="42"/>
    </row>
    <row r="4486" spans="5:8" x14ac:dyDescent="0.2">
      <c r="E4486" s="42"/>
      <c r="F4486" s="42"/>
      <c r="G4486" s="42"/>
      <c r="H4486" s="42"/>
    </row>
    <row r="4487" spans="5:8" x14ac:dyDescent="0.2">
      <c r="E4487" s="42"/>
      <c r="F4487" s="42"/>
      <c r="G4487" s="42"/>
      <c r="H4487" s="42"/>
    </row>
    <row r="4488" spans="5:8" x14ac:dyDescent="0.2">
      <c r="E4488" s="42"/>
      <c r="F4488" s="42"/>
      <c r="G4488" s="42"/>
      <c r="H4488" s="42"/>
    </row>
    <row r="4489" spans="5:8" x14ac:dyDescent="0.2">
      <c r="E4489" s="42"/>
      <c r="F4489" s="42"/>
      <c r="G4489" s="42"/>
      <c r="H4489" s="42"/>
    </row>
    <row r="4490" spans="5:8" x14ac:dyDescent="0.2">
      <c r="E4490" s="42"/>
      <c r="F4490" s="42"/>
      <c r="G4490" s="42"/>
      <c r="H4490" s="42"/>
    </row>
    <row r="4491" spans="5:8" x14ac:dyDescent="0.2">
      <c r="E4491" s="42"/>
      <c r="F4491" s="42"/>
      <c r="G4491" s="42"/>
      <c r="H4491" s="42"/>
    </row>
    <row r="4492" spans="5:8" x14ac:dyDescent="0.2">
      <c r="E4492" s="42"/>
      <c r="F4492" s="42"/>
      <c r="G4492" s="42"/>
      <c r="H4492" s="42"/>
    </row>
    <row r="4493" spans="5:8" x14ac:dyDescent="0.2">
      <c r="E4493" s="42"/>
      <c r="F4493" s="42"/>
      <c r="G4493" s="42"/>
      <c r="H4493" s="42"/>
    </row>
    <row r="4494" spans="5:8" x14ac:dyDescent="0.2">
      <c r="E4494" s="42"/>
      <c r="F4494" s="42"/>
      <c r="G4494" s="42"/>
      <c r="H4494" s="42"/>
    </row>
    <row r="4495" spans="5:8" x14ac:dyDescent="0.2">
      <c r="E4495" s="42"/>
      <c r="F4495" s="42"/>
      <c r="G4495" s="42"/>
      <c r="H4495" s="42"/>
    </row>
    <row r="4496" spans="5:8" x14ac:dyDescent="0.2">
      <c r="E4496" s="42"/>
      <c r="F4496" s="42"/>
      <c r="G4496" s="42"/>
      <c r="H4496" s="42"/>
    </row>
    <row r="4497" spans="5:8" x14ac:dyDescent="0.2">
      <c r="E4497" s="42"/>
      <c r="F4497" s="42"/>
      <c r="G4497" s="42"/>
      <c r="H4497" s="42"/>
    </row>
    <row r="4498" spans="5:8" x14ac:dyDescent="0.2">
      <c r="E4498" s="42"/>
      <c r="F4498" s="42"/>
      <c r="G4498" s="42"/>
      <c r="H4498" s="42"/>
    </row>
    <row r="4499" spans="5:8" x14ac:dyDescent="0.2">
      <c r="E4499" s="42"/>
      <c r="F4499" s="42"/>
      <c r="G4499" s="42"/>
      <c r="H4499" s="42"/>
    </row>
    <row r="4500" spans="5:8" x14ac:dyDescent="0.2">
      <c r="E4500" s="42"/>
      <c r="F4500" s="42"/>
      <c r="G4500" s="42"/>
      <c r="H4500" s="42"/>
    </row>
    <row r="4501" spans="5:8" x14ac:dyDescent="0.2">
      <c r="E4501" s="42"/>
      <c r="F4501" s="42"/>
      <c r="G4501" s="42"/>
      <c r="H4501" s="42"/>
    </row>
    <row r="4502" spans="5:8" x14ac:dyDescent="0.2">
      <c r="E4502" s="42"/>
      <c r="F4502" s="42"/>
      <c r="G4502" s="42"/>
      <c r="H4502" s="42"/>
    </row>
    <row r="4503" spans="5:8" x14ac:dyDescent="0.2">
      <c r="E4503" s="42"/>
      <c r="F4503" s="42"/>
      <c r="G4503" s="42"/>
      <c r="H4503" s="42"/>
    </row>
    <row r="4504" spans="5:8" x14ac:dyDescent="0.2">
      <c r="E4504" s="42"/>
      <c r="F4504" s="42"/>
      <c r="G4504" s="42"/>
      <c r="H4504" s="42"/>
    </row>
    <row r="4505" spans="5:8" x14ac:dyDescent="0.2">
      <c r="E4505" s="42"/>
      <c r="F4505" s="42"/>
      <c r="G4505" s="42"/>
      <c r="H4505" s="42"/>
    </row>
    <row r="4506" spans="5:8" x14ac:dyDescent="0.2">
      <c r="E4506" s="42"/>
      <c r="F4506" s="42"/>
      <c r="G4506" s="42"/>
      <c r="H4506" s="42"/>
    </row>
    <row r="4507" spans="5:8" x14ac:dyDescent="0.2">
      <c r="E4507" s="42"/>
      <c r="F4507" s="42"/>
      <c r="G4507" s="42"/>
      <c r="H4507" s="42"/>
    </row>
    <row r="4508" spans="5:8" x14ac:dyDescent="0.2">
      <c r="E4508" s="42"/>
      <c r="F4508" s="42"/>
      <c r="G4508" s="42"/>
      <c r="H4508" s="42"/>
    </row>
    <row r="4509" spans="5:8" x14ac:dyDescent="0.2">
      <c r="E4509" s="42"/>
      <c r="F4509" s="42"/>
      <c r="G4509" s="42"/>
      <c r="H4509" s="42"/>
    </row>
    <row r="4510" spans="5:8" x14ac:dyDescent="0.2">
      <c r="E4510" s="42"/>
      <c r="F4510" s="42"/>
      <c r="G4510" s="42"/>
      <c r="H4510" s="42"/>
    </row>
    <row r="4511" spans="5:8" x14ac:dyDescent="0.2">
      <c r="E4511" s="42"/>
      <c r="F4511" s="42"/>
      <c r="G4511" s="42"/>
      <c r="H4511" s="42"/>
    </row>
    <row r="4512" spans="5:8" x14ac:dyDescent="0.2">
      <c r="E4512" s="42"/>
      <c r="F4512" s="42"/>
      <c r="G4512" s="42"/>
      <c r="H4512" s="42"/>
    </row>
    <row r="4513" spans="5:8" x14ac:dyDescent="0.2">
      <c r="E4513" s="42"/>
      <c r="F4513" s="42"/>
      <c r="G4513" s="42"/>
      <c r="H4513" s="42"/>
    </row>
    <row r="4514" spans="5:8" x14ac:dyDescent="0.2">
      <c r="E4514" s="42"/>
      <c r="F4514" s="42"/>
      <c r="G4514" s="42"/>
      <c r="H4514" s="42"/>
    </row>
    <row r="4515" spans="5:8" x14ac:dyDescent="0.2">
      <c r="E4515" s="42"/>
      <c r="F4515" s="42"/>
      <c r="G4515" s="42"/>
      <c r="H4515" s="42"/>
    </row>
    <row r="4516" spans="5:8" x14ac:dyDescent="0.2">
      <c r="E4516" s="42"/>
      <c r="F4516" s="42"/>
      <c r="G4516" s="42"/>
      <c r="H4516" s="42"/>
    </row>
    <row r="4517" spans="5:8" x14ac:dyDescent="0.2">
      <c r="E4517" s="42"/>
      <c r="F4517" s="42"/>
      <c r="G4517" s="42"/>
      <c r="H4517" s="42"/>
    </row>
    <row r="4518" spans="5:8" x14ac:dyDescent="0.2">
      <c r="E4518" s="42"/>
      <c r="F4518" s="42"/>
      <c r="G4518" s="42"/>
      <c r="H4518" s="42"/>
    </row>
    <row r="4519" spans="5:8" x14ac:dyDescent="0.2">
      <c r="E4519" s="42"/>
      <c r="F4519" s="42"/>
      <c r="G4519" s="42"/>
      <c r="H4519" s="42"/>
    </row>
    <row r="4520" spans="5:8" x14ac:dyDescent="0.2">
      <c r="E4520" s="42"/>
      <c r="F4520" s="42"/>
      <c r="G4520" s="42"/>
      <c r="H4520" s="42"/>
    </row>
    <row r="4521" spans="5:8" x14ac:dyDescent="0.2">
      <c r="E4521" s="42"/>
      <c r="F4521" s="42"/>
      <c r="G4521" s="42"/>
      <c r="H4521" s="42"/>
    </row>
    <row r="4522" spans="5:8" x14ac:dyDescent="0.2">
      <c r="E4522" s="42"/>
      <c r="F4522" s="42"/>
      <c r="G4522" s="42"/>
      <c r="H4522" s="42"/>
    </row>
    <row r="4523" spans="5:8" x14ac:dyDescent="0.2">
      <c r="E4523" s="42"/>
      <c r="F4523" s="42"/>
      <c r="G4523" s="42"/>
      <c r="H4523" s="42"/>
    </row>
    <row r="4524" spans="5:8" x14ac:dyDescent="0.2">
      <c r="E4524" s="42"/>
      <c r="F4524" s="42"/>
      <c r="G4524" s="42"/>
      <c r="H4524" s="42"/>
    </row>
    <row r="4525" spans="5:8" x14ac:dyDescent="0.2">
      <c r="E4525" s="42"/>
      <c r="F4525" s="42"/>
      <c r="G4525" s="42"/>
      <c r="H4525" s="42"/>
    </row>
    <row r="4526" spans="5:8" x14ac:dyDescent="0.2">
      <c r="E4526" s="42"/>
      <c r="F4526" s="42"/>
      <c r="G4526" s="42"/>
      <c r="H4526" s="42"/>
    </row>
    <row r="4527" spans="5:8" x14ac:dyDescent="0.2">
      <c r="E4527" s="42"/>
      <c r="F4527" s="42"/>
      <c r="G4527" s="42"/>
      <c r="H4527" s="42"/>
    </row>
    <row r="4528" spans="5:8" x14ac:dyDescent="0.2">
      <c r="E4528" s="42"/>
      <c r="F4528" s="42"/>
      <c r="G4528" s="42"/>
      <c r="H4528" s="42"/>
    </row>
    <row r="4529" spans="5:8" x14ac:dyDescent="0.2">
      <c r="E4529" s="42"/>
      <c r="F4529" s="42"/>
      <c r="G4529" s="42"/>
      <c r="H4529" s="42"/>
    </row>
    <row r="4530" spans="5:8" x14ac:dyDescent="0.2">
      <c r="E4530" s="42"/>
      <c r="F4530" s="42"/>
      <c r="G4530" s="42"/>
      <c r="H4530" s="42"/>
    </row>
    <row r="4531" spans="5:8" x14ac:dyDescent="0.2">
      <c r="E4531" s="42"/>
      <c r="F4531" s="42"/>
      <c r="G4531" s="42"/>
      <c r="H4531" s="42"/>
    </row>
    <row r="4532" spans="5:8" x14ac:dyDescent="0.2">
      <c r="E4532" s="42"/>
      <c r="F4532" s="42"/>
      <c r="G4532" s="42"/>
      <c r="H4532" s="42"/>
    </row>
    <row r="4533" spans="5:8" x14ac:dyDescent="0.2">
      <c r="E4533" s="42"/>
      <c r="F4533" s="42"/>
      <c r="G4533" s="42"/>
      <c r="H4533" s="42"/>
    </row>
    <row r="4534" spans="5:8" x14ac:dyDescent="0.2">
      <c r="E4534" s="42"/>
      <c r="F4534" s="42"/>
      <c r="G4534" s="42"/>
      <c r="H4534" s="42"/>
    </row>
    <row r="4535" spans="5:8" x14ac:dyDescent="0.2">
      <c r="E4535" s="42"/>
      <c r="F4535" s="42"/>
      <c r="G4535" s="42"/>
      <c r="H4535" s="42"/>
    </row>
    <row r="4536" spans="5:8" x14ac:dyDescent="0.2">
      <c r="E4536" s="42"/>
      <c r="F4536" s="42"/>
      <c r="G4536" s="42"/>
      <c r="H4536" s="42"/>
    </row>
    <row r="4537" spans="5:8" x14ac:dyDescent="0.2">
      <c r="E4537" s="42"/>
      <c r="F4537" s="42"/>
      <c r="G4537" s="42"/>
      <c r="H4537" s="42"/>
    </row>
    <row r="4538" spans="5:8" x14ac:dyDescent="0.2">
      <c r="E4538" s="42"/>
      <c r="F4538" s="42"/>
      <c r="G4538" s="42"/>
      <c r="H4538" s="42"/>
    </row>
    <row r="4539" spans="5:8" x14ac:dyDescent="0.2">
      <c r="E4539" s="42"/>
      <c r="F4539" s="42"/>
      <c r="G4539" s="42"/>
      <c r="H4539" s="42"/>
    </row>
    <row r="4540" spans="5:8" x14ac:dyDescent="0.2">
      <c r="E4540" s="42"/>
      <c r="F4540" s="42"/>
      <c r="G4540" s="42"/>
      <c r="H4540" s="42"/>
    </row>
    <row r="4541" spans="5:8" x14ac:dyDescent="0.2">
      <c r="E4541" s="42"/>
      <c r="F4541" s="42"/>
      <c r="G4541" s="42"/>
      <c r="H4541" s="42"/>
    </row>
    <row r="4542" spans="5:8" x14ac:dyDescent="0.2">
      <c r="E4542" s="42"/>
      <c r="F4542" s="42"/>
      <c r="G4542" s="42"/>
      <c r="H4542" s="42"/>
    </row>
    <row r="4543" spans="5:8" x14ac:dyDescent="0.2">
      <c r="E4543" s="42"/>
      <c r="F4543" s="42"/>
      <c r="G4543" s="42"/>
      <c r="H4543" s="42"/>
    </row>
    <row r="4544" spans="5:8" x14ac:dyDescent="0.2">
      <c r="E4544" s="42"/>
      <c r="F4544" s="42"/>
      <c r="G4544" s="42"/>
      <c r="H4544" s="42"/>
    </row>
    <row r="4545" spans="5:8" x14ac:dyDescent="0.2">
      <c r="E4545" s="42"/>
      <c r="F4545" s="42"/>
      <c r="G4545" s="42"/>
      <c r="H4545" s="42"/>
    </row>
    <row r="4546" spans="5:8" x14ac:dyDescent="0.2">
      <c r="E4546" s="42"/>
      <c r="F4546" s="42"/>
      <c r="G4546" s="42"/>
      <c r="H4546" s="42"/>
    </row>
    <row r="4547" spans="5:8" x14ac:dyDescent="0.2">
      <c r="E4547" s="42"/>
      <c r="F4547" s="42"/>
      <c r="G4547" s="42"/>
      <c r="H4547" s="42"/>
    </row>
    <row r="4548" spans="5:8" x14ac:dyDescent="0.2">
      <c r="E4548" s="42"/>
      <c r="F4548" s="42"/>
      <c r="G4548" s="42"/>
      <c r="H4548" s="42"/>
    </row>
    <row r="4549" spans="5:8" x14ac:dyDescent="0.2">
      <c r="E4549" s="42"/>
      <c r="F4549" s="42"/>
      <c r="G4549" s="42"/>
      <c r="H4549" s="42"/>
    </row>
    <row r="4550" spans="5:8" x14ac:dyDescent="0.2">
      <c r="E4550" s="42"/>
      <c r="F4550" s="42"/>
      <c r="G4550" s="42"/>
      <c r="H4550" s="42"/>
    </row>
    <row r="4551" spans="5:8" x14ac:dyDescent="0.2">
      <c r="E4551" s="42"/>
      <c r="F4551" s="42"/>
      <c r="G4551" s="42"/>
      <c r="H4551" s="42"/>
    </row>
    <row r="4552" spans="5:8" x14ac:dyDescent="0.2">
      <c r="E4552" s="42"/>
      <c r="F4552" s="42"/>
      <c r="G4552" s="42"/>
      <c r="H4552" s="42"/>
    </row>
    <row r="4553" spans="5:8" x14ac:dyDescent="0.2">
      <c r="E4553" s="42"/>
      <c r="F4553" s="42"/>
      <c r="G4553" s="42"/>
      <c r="H4553" s="42"/>
    </row>
    <row r="4554" spans="5:8" x14ac:dyDescent="0.2">
      <c r="E4554" s="42"/>
      <c r="F4554" s="42"/>
      <c r="G4554" s="42"/>
      <c r="H4554" s="42"/>
    </row>
    <row r="4555" spans="5:8" x14ac:dyDescent="0.2">
      <c r="E4555" s="42"/>
      <c r="F4555" s="42"/>
      <c r="G4555" s="42"/>
      <c r="H4555" s="42"/>
    </row>
    <row r="4556" spans="5:8" x14ac:dyDescent="0.2">
      <c r="E4556" s="42"/>
      <c r="F4556" s="42"/>
      <c r="G4556" s="42"/>
      <c r="H4556" s="42"/>
    </row>
    <row r="4557" spans="5:8" x14ac:dyDescent="0.2">
      <c r="E4557" s="42"/>
      <c r="F4557" s="42"/>
      <c r="G4557" s="42"/>
      <c r="H4557" s="42"/>
    </row>
    <row r="4558" spans="5:8" x14ac:dyDescent="0.2">
      <c r="E4558" s="42"/>
      <c r="F4558" s="42"/>
      <c r="G4558" s="42"/>
      <c r="H4558" s="42"/>
    </row>
    <row r="4559" spans="5:8" x14ac:dyDescent="0.2">
      <c r="E4559" s="42"/>
      <c r="F4559" s="42"/>
      <c r="G4559" s="42"/>
      <c r="H4559" s="42"/>
    </row>
    <row r="4560" spans="5:8" x14ac:dyDescent="0.2">
      <c r="E4560" s="42"/>
      <c r="F4560" s="42"/>
      <c r="G4560" s="42"/>
      <c r="H4560" s="42"/>
    </row>
    <row r="4561" spans="5:8" x14ac:dyDescent="0.2">
      <c r="E4561" s="42"/>
      <c r="F4561" s="42"/>
      <c r="G4561" s="42"/>
      <c r="H4561" s="42"/>
    </row>
    <row r="4562" spans="5:8" x14ac:dyDescent="0.2">
      <c r="E4562" s="42"/>
      <c r="F4562" s="42"/>
      <c r="G4562" s="42"/>
      <c r="H4562" s="42"/>
    </row>
    <row r="4563" spans="5:8" x14ac:dyDescent="0.2">
      <c r="E4563" s="42"/>
      <c r="F4563" s="42"/>
      <c r="G4563" s="42"/>
      <c r="H4563" s="42"/>
    </row>
    <row r="4564" spans="5:8" x14ac:dyDescent="0.2">
      <c r="E4564" s="42"/>
      <c r="F4564" s="42"/>
      <c r="G4564" s="42"/>
      <c r="H4564" s="42"/>
    </row>
    <row r="4565" spans="5:8" x14ac:dyDescent="0.2">
      <c r="E4565" s="42"/>
      <c r="F4565" s="42"/>
      <c r="G4565" s="42"/>
      <c r="H4565" s="42"/>
    </row>
    <row r="4566" spans="5:8" x14ac:dyDescent="0.2">
      <c r="E4566" s="42"/>
      <c r="F4566" s="42"/>
      <c r="G4566" s="42"/>
      <c r="H4566" s="42"/>
    </row>
    <row r="4567" spans="5:8" x14ac:dyDescent="0.2">
      <c r="E4567" s="42"/>
      <c r="F4567" s="42"/>
      <c r="G4567" s="42"/>
      <c r="H4567" s="42"/>
    </row>
    <row r="4568" spans="5:8" x14ac:dyDescent="0.2">
      <c r="E4568" s="42"/>
      <c r="F4568" s="42"/>
      <c r="G4568" s="42"/>
      <c r="H4568" s="42"/>
    </row>
    <row r="4569" spans="5:8" x14ac:dyDescent="0.2">
      <c r="E4569" s="42"/>
      <c r="F4569" s="42"/>
      <c r="G4569" s="42"/>
      <c r="H4569" s="42"/>
    </row>
    <row r="4570" spans="5:8" x14ac:dyDescent="0.2">
      <c r="E4570" s="42"/>
      <c r="F4570" s="42"/>
      <c r="G4570" s="42"/>
      <c r="H4570" s="42"/>
    </row>
    <row r="4571" spans="5:8" x14ac:dyDescent="0.2">
      <c r="E4571" s="42"/>
      <c r="F4571" s="42"/>
      <c r="G4571" s="42"/>
      <c r="H4571" s="42"/>
    </row>
    <row r="4572" spans="5:8" x14ac:dyDescent="0.2">
      <c r="E4572" s="42"/>
      <c r="F4572" s="42"/>
      <c r="G4572" s="42"/>
      <c r="H4572" s="42"/>
    </row>
    <row r="4573" spans="5:8" x14ac:dyDescent="0.2">
      <c r="E4573" s="42"/>
      <c r="F4573" s="42"/>
      <c r="G4573" s="42"/>
      <c r="H4573" s="42"/>
    </row>
    <row r="4574" spans="5:8" x14ac:dyDescent="0.2">
      <c r="E4574" s="42"/>
      <c r="F4574" s="42"/>
      <c r="G4574" s="42"/>
      <c r="H4574" s="42"/>
    </row>
    <row r="4575" spans="5:8" x14ac:dyDescent="0.2">
      <c r="E4575" s="42"/>
      <c r="F4575" s="42"/>
      <c r="G4575" s="42"/>
      <c r="H4575" s="42"/>
    </row>
    <row r="4576" spans="5:8" x14ac:dyDescent="0.2">
      <c r="E4576" s="42"/>
      <c r="F4576" s="42"/>
      <c r="G4576" s="42"/>
      <c r="H4576" s="42"/>
    </row>
    <row r="4577" spans="5:8" x14ac:dyDescent="0.2">
      <c r="E4577" s="42"/>
      <c r="F4577" s="42"/>
      <c r="G4577" s="42"/>
      <c r="H4577" s="42"/>
    </row>
    <row r="4578" spans="5:8" x14ac:dyDescent="0.2">
      <c r="E4578" s="42"/>
      <c r="F4578" s="42"/>
      <c r="G4578" s="42"/>
      <c r="H4578" s="42"/>
    </row>
    <row r="4579" spans="5:8" x14ac:dyDescent="0.2">
      <c r="E4579" s="42"/>
      <c r="F4579" s="42"/>
      <c r="G4579" s="42"/>
      <c r="H4579" s="42"/>
    </row>
    <row r="4580" spans="5:8" x14ac:dyDescent="0.2">
      <c r="E4580" s="42"/>
      <c r="F4580" s="42"/>
      <c r="G4580" s="42"/>
      <c r="H4580" s="42"/>
    </row>
    <row r="4581" spans="5:8" x14ac:dyDescent="0.2">
      <c r="E4581" s="42"/>
      <c r="F4581" s="42"/>
      <c r="G4581" s="42"/>
      <c r="H4581" s="42"/>
    </row>
    <row r="4582" spans="5:8" x14ac:dyDescent="0.2">
      <c r="E4582" s="42"/>
      <c r="F4582" s="42"/>
      <c r="G4582" s="42"/>
      <c r="H4582" s="42"/>
    </row>
    <row r="4583" spans="5:8" x14ac:dyDescent="0.2">
      <c r="E4583" s="42"/>
      <c r="F4583" s="42"/>
      <c r="G4583" s="42"/>
      <c r="H4583" s="42"/>
    </row>
    <row r="4584" spans="5:8" x14ac:dyDescent="0.2">
      <c r="E4584" s="42"/>
      <c r="F4584" s="42"/>
      <c r="G4584" s="42"/>
      <c r="H4584" s="42"/>
    </row>
    <row r="4585" spans="5:8" x14ac:dyDescent="0.2">
      <c r="E4585" s="42"/>
      <c r="F4585" s="42"/>
      <c r="G4585" s="42"/>
      <c r="H4585" s="42"/>
    </row>
    <row r="4586" spans="5:8" x14ac:dyDescent="0.2">
      <c r="E4586" s="42"/>
      <c r="F4586" s="42"/>
      <c r="G4586" s="42"/>
      <c r="H4586" s="42"/>
    </row>
    <row r="4587" spans="5:8" x14ac:dyDescent="0.2">
      <c r="E4587" s="42"/>
      <c r="F4587" s="42"/>
      <c r="G4587" s="42"/>
      <c r="H4587" s="42"/>
    </row>
    <row r="4588" spans="5:8" x14ac:dyDescent="0.2">
      <c r="E4588" s="42"/>
      <c r="F4588" s="42"/>
      <c r="G4588" s="42"/>
      <c r="H4588" s="42"/>
    </row>
    <row r="4589" spans="5:8" x14ac:dyDescent="0.2">
      <c r="E4589" s="42"/>
      <c r="F4589" s="42"/>
      <c r="G4589" s="42"/>
      <c r="H4589" s="42"/>
    </row>
    <row r="4590" spans="5:8" x14ac:dyDescent="0.2">
      <c r="E4590" s="42"/>
      <c r="F4590" s="42"/>
      <c r="G4590" s="42"/>
      <c r="H4590" s="42"/>
    </row>
    <row r="4591" spans="5:8" x14ac:dyDescent="0.2">
      <c r="E4591" s="42"/>
      <c r="F4591" s="42"/>
      <c r="G4591" s="42"/>
      <c r="H4591" s="42"/>
    </row>
    <row r="4592" spans="5:8" x14ac:dyDescent="0.2">
      <c r="E4592" s="42"/>
      <c r="F4592" s="42"/>
      <c r="G4592" s="42"/>
      <c r="H4592" s="42"/>
    </row>
    <row r="4593" spans="5:8" x14ac:dyDescent="0.2">
      <c r="E4593" s="42"/>
      <c r="F4593" s="42"/>
      <c r="G4593" s="42"/>
      <c r="H4593" s="42"/>
    </row>
    <row r="4594" spans="5:8" x14ac:dyDescent="0.2">
      <c r="E4594" s="42"/>
      <c r="F4594" s="42"/>
      <c r="G4594" s="42"/>
      <c r="H4594" s="42"/>
    </row>
    <row r="4595" spans="5:8" x14ac:dyDescent="0.2">
      <c r="E4595" s="42"/>
      <c r="F4595" s="42"/>
      <c r="G4595" s="42"/>
      <c r="H4595" s="42"/>
    </row>
    <row r="4596" spans="5:8" x14ac:dyDescent="0.2">
      <c r="E4596" s="42"/>
      <c r="F4596" s="42"/>
      <c r="G4596" s="42"/>
      <c r="H4596" s="42"/>
    </row>
    <row r="4597" spans="5:8" x14ac:dyDescent="0.2">
      <c r="E4597" s="42"/>
      <c r="F4597" s="42"/>
      <c r="G4597" s="42"/>
      <c r="H4597" s="42"/>
    </row>
    <row r="4598" spans="5:8" x14ac:dyDescent="0.2">
      <c r="E4598" s="42"/>
      <c r="F4598" s="42"/>
      <c r="G4598" s="42"/>
      <c r="H4598" s="42"/>
    </row>
    <row r="4599" spans="5:8" x14ac:dyDescent="0.2">
      <c r="E4599" s="42"/>
      <c r="F4599" s="42"/>
      <c r="G4599" s="42"/>
      <c r="H4599" s="42"/>
    </row>
    <row r="4600" spans="5:8" x14ac:dyDescent="0.2">
      <c r="E4600" s="42"/>
      <c r="F4600" s="42"/>
      <c r="G4600" s="42"/>
      <c r="H4600" s="42"/>
    </row>
    <row r="4601" spans="5:8" x14ac:dyDescent="0.2">
      <c r="E4601" s="42"/>
      <c r="F4601" s="42"/>
      <c r="G4601" s="42"/>
      <c r="H4601" s="42"/>
    </row>
    <row r="4602" spans="5:8" x14ac:dyDescent="0.2">
      <c r="E4602" s="42"/>
      <c r="F4602" s="42"/>
      <c r="G4602" s="42"/>
      <c r="H4602" s="42"/>
    </row>
    <row r="4603" spans="5:8" x14ac:dyDescent="0.2">
      <c r="E4603" s="42"/>
      <c r="F4603" s="42"/>
      <c r="G4603" s="42"/>
      <c r="H4603" s="42"/>
    </row>
    <row r="4604" spans="5:8" x14ac:dyDescent="0.2">
      <c r="E4604" s="42"/>
      <c r="F4604" s="42"/>
      <c r="G4604" s="42"/>
      <c r="H4604" s="42"/>
    </row>
    <row r="4605" spans="5:8" x14ac:dyDescent="0.2">
      <c r="E4605" s="42"/>
      <c r="F4605" s="42"/>
      <c r="G4605" s="42"/>
      <c r="H4605" s="42"/>
    </row>
    <row r="4606" spans="5:8" x14ac:dyDescent="0.2">
      <c r="E4606" s="42"/>
      <c r="F4606" s="42"/>
      <c r="G4606" s="42"/>
      <c r="H4606" s="42"/>
    </row>
    <row r="4607" spans="5:8" x14ac:dyDescent="0.2">
      <c r="E4607" s="42"/>
      <c r="F4607" s="42"/>
      <c r="G4607" s="42"/>
      <c r="H4607" s="42"/>
    </row>
    <row r="4608" spans="5:8" x14ac:dyDescent="0.2">
      <c r="E4608" s="42"/>
      <c r="F4608" s="42"/>
      <c r="G4608" s="42"/>
      <c r="H4608" s="42"/>
    </row>
    <row r="4609" spans="5:8" x14ac:dyDescent="0.2">
      <c r="E4609" s="42"/>
      <c r="F4609" s="42"/>
      <c r="G4609" s="42"/>
      <c r="H4609" s="42"/>
    </row>
    <row r="4610" spans="5:8" x14ac:dyDescent="0.2">
      <c r="E4610" s="42"/>
      <c r="F4610" s="42"/>
      <c r="G4610" s="42"/>
      <c r="H4610" s="42"/>
    </row>
    <row r="4611" spans="5:8" x14ac:dyDescent="0.2">
      <c r="E4611" s="42"/>
      <c r="F4611" s="42"/>
      <c r="G4611" s="42"/>
      <c r="H4611" s="42"/>
    </row>
    <row r="4612" spans="5:8" x14ac:dyDescent="0.2">
      <c r="E4612" s="42"/>
      <c r="F4612" s="42"/>
      <c r="G4612" s="42"/>
      <c r="H4612" s="42"/>
    </row>
    <row r="4613" spans="5:8" x14ac:dyDescent="0.2">
      <c r="E4613" s="42"/>
      <c r="F4613" s="42"/>
      <c r="G4613" s="42"/>
      <c r="H4613" s="42"/>
    </row>
    <row r="4614" spans="5:8" x14ac:dyDescent="0.2">
      <c r="E4614" s="42"/>
      <c r="F4614" s="42"/>
      <c r="G4614" s="42"/>
      <c r="H4614" s="42"/>
    </row>
    <row r="4615" spans="5:8" x14ac:dyDescent="0.2">
      <c r="E4615" s="42"/>
      <c r="F4615" s="42"/>
      <c r="G4615" s="42"/>
      <c r="H4615" s="42"/>
    </row>
    <row r="4616" spans="5:8" x14ac:dyDescent="0.2">
      <c r="E4616" s="42"/>
      <c r="F4616" s="42"/>
      <c r="G4616" s="42"/>
      <c r="H4616" s="42"/>
    </row>
    <row r="4617" spans="5:8" x14ac:dyDescent="0.2">
      <c r="E4617" s="42"/>
      <c r="F4617" s="42"/>
      <c r="G4617" s="42"/>
      <c r="H4617" s="42"/>
    </row>
    <row r="4618" spans="5:8" x14ac:dyDescent="0.2">
      <c r="E4618" s="42"/>
      <c r="F4618" s="42"/>
      <c r="G4618" s="42"/>
      <c r="H4618" s="42"/>
    </row>
    <row r="4619" spans="5:8" x14ac:dyDescent="0.2">
      <c r="E4619" s="42"/>
      <c r="F4619" s="42"/>
      <c r="G4619" s="42"/>
      <c r="H4619" s="42"/>
    </row>
    <row r="4620" spans="5:8" x14ac:dyDescent="0.2">
      <c r="E4620" s="42"/>
      <c r="F4620" s="42"/>
      <c r="G4620" s="42"/>
      <c r="H4620" s="42"/>
    </row>
    <row r="4621" spans="5:8" x14ac:dyDescent="0.2">
      <c r="E4621" s="42"/>
      <c r="F4621" s="42"/>
      <c r="G4621" s="42"/>
      <c r="H4621" s="42"/>
    </row>
    <row r="4622" spans="5:8" x14ac:dyDescent="0.2">
      <c r="E4622" s="42"/>
      <c r="F4622" s="42"/>
      <c r="G4622" s="42"/>
      <c r="H4622" s="42"/>
    </row>
    <row r="4623" spans="5:8" x14ac:dyDescent="0.2">
      <c r="E4623" s="42"/>
      <c r="F4623" s="42"/>
      <c r="G4623" s="42"/>
      <c r="H4623" s="42"/>
    </row>
    <row r="4624" spans="5:8" x14ac:dyDescent="0.2">
      <c r="E4624" s="42"/>
      <c r="F4624" s="42"/>
      <c r="G4624" s="42"/>
      <c r="H4624" s="42"/>
    </row>
    <row r="4625" spans="5:8" x14ac:dyDescent="0.2">
      <c r="E4625" s="42"/>
      <c r="F4625" s="42"/>
      <c r="G4625" s="42"/>
      <c r="H4625" s="42"/>
    </row>
    <row r="4626" spans="5:8" x14ac:dyDescent="0.2">
      <c r="E4626" s="42"/>
      <c r="F4626" s="42"/>
      <c r="G4626" s="42"/>
      <c r="H4626" s="42"/>
    </row>
    <row r="4627" spans="5:8" x14ac:dyDescent="0.2">
      <c r="E4627" s="42"/>
      <c r="F4627" s="42"/>
      <c r="G4627" s="42"/>
      <c r="H4627" s="42"/>
    </row>
    <row r="4628" spans="5:8" x14ac:dyDescent="0.2">
      <c r="E4628" s="42"/>
      <c r="F4628" s="42"/>
      <c r="G4628" s="42"/>
      <c r="H4628" s="42"/>
    </row>
    <row r="4629" spans="5:8" x14ac:dyDescent="0.2">
      <c r="E4629" s="42"/>
      <c r="F4629" s="42"/>
      <c r="G4629" s="42"/>
      <c r="H4629" s="42"/>
    </row>
    <row r="4630" spans="5:8" x14ac:dyDescent="0.2">
      <c r="E4630" s="42"/>
      <c r="F4630" s="42"/>
      <c r="G4630" s="42"/>
      <c r="H4630" s="42"/>
    </row>
    <row r="4631" spans="5:8" x14ac:dyDescent="0.2">
      <c r="E4631" s="42"/>
      <c r="F4631" s="42"/>
      <c r="G4631" s="42"/>
      <c r="H4631" s="42"/>
    </row>
    <row r="4632" spans="5:8" x14ac:dyDescent="0.2">
      <c r="E4632" s="42"/>
      <c r="F4632" s="42"/>
      <c r="G4632" s="42"/>
      <c r="H4632" s="42"/>
    </row>
    <row r="4633" spans="5:8" x14ac:dyDescent="0.2">
      <c r="E4633" s="42"/>
      <c r="F4633" s="42"/>
      <c r="G4633" s="42"/>
      <c r="H4633" s="42"/>
    </row>
    <row r="4634" spans="5:8" x14ac:dyDescent="0.2">
      <c r="E4634" s="42"/>
      <c r="F4634" s="42"/>
      <c r="G4634" s="42"/>
      <c r="H4634" s="42"/>
    </row>
    <row r="4635" spans="5:8" x14ac:dyDescent="0.2">
      <c r="E4635" s="42"/>
      <c r="F4635" s="42"/>
      <c r="G4635" s="42"/>
      <c r="H4635" s="42"/>
    </row>
    <row r="4636" spans="5:8" x14ac:dyDescent="0.2">
      <c r="E4636" s="42"/>
      <c r="F4636" s="42"/>
      <c r="G4636" s="42"/>
      <c r="H4636" s="42"/>
    </row>
    <row r="4637" spans="5:8" x14ac:dyDescent="0.2">
      <c r="E4637" s="42"/>
      <c r="F4637" s="42"/>
      <c r="G4637" s="42"/>
      <c r="H4637" s="42"/>
    </row>
    <row r="4638" spans="5:8" x14ac:dyDescent="0.2">
      <c r="E4638" s="42"/>
      <c r="F4638" s="42"/>
      <c r="G4638" s="42"/>
      <c r="H4638" s="42"/>
    </row>
    <row r="4639" spans="5:8" x14ac:dyDescent="0.2">
      <c r="E4639" s="42"/>
      <c r="F4639" s="42"/>
      <c r="G4639" s="42"/>
      <c r="H4639" s="42"/>
    </row>
    <row r="4640" spans="5:8" x14ac:dyDescent="0.2">
      <c r="E4640" s="42"/>
      <c r="F4640" s="42"/>
      <c r="G4640" s="42"/>
      <c r="H4640" s="42"/>
    </row>
    <row r="4641" spans="5:8" x14ac:dyDescent="0.2">
      <c r="E4641" s="42"/>
      <c r="F4641" s="42"/>
      <c r="G4641" s="42"/>
      <c r="H4641" s="42"/>
    </row>
    <row r="4642" spans="5:8" x14ac:dyDescent="0.2">
      <c r="E4642" s="42"/>
      <c r="F4642" s="42"/>
      <c r="G4642" s="42"/>
      <c r="H4642" s="42"/>
    </row>
    <row r="4643" spans="5:8" x14ac:dyDescent="0.2">
      <c r="E4643" s="42"/>
      <c r="F4643" s="42"/>
      <c r="G4643" s="42"/>
      <c r="H4643" s="42"/>
    </row>
    <row r="4644" spans="5:8" x14ac:dyDescent="0.2">
      <c r="E4644" s="42"/>
      <c r="F4644" s="42"/>
      <c r="G4644" s="42"/>
      <c r="H4644" s="42"/>
    </row>
    <row r="4645" spans="5:8" x14ac:dyDescent="0.2">
      <c r="E4645" s="42"/>
      <c r="F4645" s="42"/>
      <c r="G4645" s="42"/>
      <c r="H4645" s="42"/>
    </row>
    <row r="4646" spans="5:8" x14ac:dyDescent="0.2">
      <c r="E4646" s="42"/>
      <c r="F4646" s="42"/>
      <c r="G4646" s="42"/>
      <c r="H4646" s="42"/>
    </row>
    <row r="4647" spans="5:8" x14ac:dyDescent="0.2">
      <c r="E4647" s="42"/>
      <c r="F4647" s="42"/>
      <c r="G4647" s="42"/>
      <c r="H4647" s="42"/>
    </row>
    <row r="4648" spans="5:8" x14ac:dyDescent="0.2">
      <c r="E4648" s="42"/>
      <c r="F4648" s="42"/>
      <c r="G4648" s="42"/>
      <c r="H4648" s="42"/>
    </row>
    <row r="4649" spans="5:8" x14ac:dyDescent="0.2">
      <c r="E4649" s="42"/>
      <c r="F4649" s="42"/>
      <c r="G4649" s="42"/>
      <c r="H4649" s="42"/>
    </row>
    <row r="4650" spans="5:8" x14ac:dyDescent="0.2">
      <c r="E4650" s="42"/>
      <c r="F4650" s="42"/>
      <c r="G4650" s="42"/>
      <c r="H4650" s="42"/>
    </row>
    <row r="4651" spans="5:8" x14ac:dyDescent="0.2">
      <c r="E4651" s="42"/>
      <c r="F4651" s="42"/>
      <c r="G4651" s="42"/>
      <c r="H4651" s="42"/>
    </row>
    <row r="4652" spans="5:8" x14ac:dyDescent="0.2">
      <c r="E4652" s="42"/>
      <c r="F4652" s="42"/>
      <c r="G4652" s="42"/>
      <c r="H4652" s="42"/>
    </row>
    <row r="4653" spans="5:8" x14ac:dyDescent="0.2">
      <c r="E4653" s="42"/>
      <c r="F4653" s="42"/>
      <c r="G4653" s="42"/>
      <c r="H4653" s="42"/>
    </row>
    <row r="4654" spans="5:8" x14ac:dyDescent="0.2">
      <c r="E4654" s="42"/>
      <c r="F4654" s="42"/>
      <c r="G4654" s="42"/>
      <c r="H4654" s="42"/>
    </row>
    <row r="4655" spans="5:8" x14ac:dyDescent="0.2">
      <c r="E4655" s="42"/>
      <c r="F4655" s="42"/>
      <c r="G4655" s="42"/>
      <c r="H4655" s="42"/>
    </row>
    <row r="4656" spans="5:8" x14ac:dyDescent="0.2">
      <c r="E4656" s="42"/>
      <c r="F4656" s="42"/>
      <c r="G4656" s="42"/>
      <c r="H4656" s="42"/>
    </row>
    <row r="4657" spans="5:8" x14ac:dyDescent="0.2">
      <c r="E4657" s="42"/>
      <c r="F4657" s="42"/>
      <c r="G4657" s="42"/>
      <c r="H4657" s="42"/>
    </row>
    <row r="4658" spans="5:8" x14ac:dyDescent="0.2">
      <c r="E4658" s="42"/>
      <c r="F4658" s="42"/>
      <c r="G4658" s="42"/>
      <c r="H4658" s="42"/>
    </row>
    <row r="4659" spans="5:8" x14ac:dyDescent="0.2">
      <c r="E4659" s="42"/>
      <c r="F4659" s="42"/>
      <c r="G4659" s="42"/>
      <c r="H4659" s="42"/>
    </row>
    <row r="4660" spans="5:8" x14ac:dyDescent="0.2">
      <c r="E4660" s="42"/>
      <c r="F4660" s="42"/>
      <c r="G4660" s="42"/>
      <c r="H4660" s="42"/>
    </row>
    <row r="4661" spans="5:8" x14ac:dyDescent="0.2">
      <c r="E4661" s="42"/>
      <c r="F4661" s="42"/>
      <c r="G4661" s="42"/>
      <c r="H4661" s="42"/>
    </row>
    <row r="4662" spans="5:8" x14ac:dyDescent="0.2">
      <c r="E4662" s="42"/>
      <c r="F4662" s="42"/>
      <c r="G4662" s="42"/>
      <c r="H4662" s="42"/>
    </row>
    <row r="4663" spans="5:8" x14ac:dyDescent="0.2">
      <c r="E4663" s="42"/>
      <c r="F4663" s="42"/>
      <c r="G4663" s="42"/>
      <c r="H4663" s="42"/>
    </row>
    <row r="4664" spans="5:8" x14ac:dyDescent="0.2">
      <c r="E4664" s="42"/>
      <c r="F4664" s="42"/>
      <c r="G4664" s="42"/>
      <c r="H4664" s="42"/>
    </row>
    <row r="4665" spans="5:8" x14ac:dyDescent="0.2">
      <c r="E4665" s="42"/>
      <c r="F4665" s="42"/>
      <c r="G4665" s="42"/>
      <c r="H4665" s="42"/>
    </row>
    <row r="4666" spans="5:8" x14ac:dyDescent="0.2">
      <c r="E4666" s="42"/>
      <c r="F4666" s="42"/>
      <c r="G4666" s="42"/>
      <c r="H4666" s="42"/>
    </row>
    <row r="4667" spans="5:8" x14ac:dyDescent="0.2">
      <c r="E4667" s="42"/>
      <c r="F4667" s="42"/>
      <c r="G4667" s="42"/>
      <c r="H4667" s="42"/>
    </row>
    <row r="4668" spans="5:8" x14ac:dyDescent="0.2">
      <c r="E4668" s="42"/>
      <c r="F4668" s="42"/>
      <c r="G4668" s="42"/>
      <c r="H4668" s="42"/>
    </row>
    <row r="4669" spans="5:8" x14ac:dyDescent="0.2">
      <c r="E4669" s="42"/>
      <c r="F4669" s="42"/>
      <c r="G4669" s="42"/>
      <c r="H4669" s="42"/>
    </row>
    <row r="4670" spans="5:8" x14ac:dyDescent="0.2">
      <c r="E4670" s="42"/>
      <c r="F4670" s="42"/>
      <c r="G4670" s="42"/>
      <c r="H4670" s="42"/>
    </row>
    <row r="4671" spans="5:8" x14ac:dyDescent="0.2">
      <c r="E4671" s="42"/>
      <c r="F4671" s="42"/>
      <c r="G4671" s="42"/>
      <c r="H4671" s="42"/>
    </row>
    <row r="4672" spans="5:8" x14ac:dyDescent="0.2">
      <c r="E4672" s="42"/>
      <c r="F4672" s="42"/>
      <c r="G4672" s="42"/>
      <c r="H4672" s="42"/>
    </row>
    <row r="4673" spans="5:8" x14ac:dyDescent="0.2">
      <c r="E4673" s="42"/>
      <c r="F4673" s="42"/>
      <c r="G4673" s="42"/>
      <c r="H4673" s="42"/>
    </row>
    <row r="4674" spans="5:8" x14ac:dyDescent="0.2">
      <c r="E4674" s="42"/>
      <c r="F4674" s="42"/>
      <c r="G4674" s="42"/>
      <c r="H4674" s="42"/>
    </row>
    <row r="4675" spans="5:8" x14ac:dyDescent="0.2">
      <c r="E4675" s="42"/>
      <c r="F4675" s="42"/>
      <c r="G4675" s="42"/>
      <c r="H4675" s="42"/>
    </row>
    <row r="4676" spans="5:8" x14ac:dyDescent="0.2">
      <c r="E4676" s="42"/>
      <c r="F4676" s="42"/>
      <c r="G4676" s="42"/>
      <c r="H4676" s="42"/>
    </row>
    <row r="4677" spans="5:8" x14ac:dyDescent="0.2">
      <c r="E4677" s="42"/>
      <c r="F4677" s="42"/>
      <c r="G4677" s="42"/>
      <c r="H4677" s="42"/>
    </row>
    <row r="4678" spans="5:8" x14ac:dyDescent="0.2">
      <c r="E4678" s="42"/>
      <c r="F4678" s="42"/>
      <c r="G4678" s="42"/>
      <c r="H4678" s="42"/>
    </row>
    <row r="4679" spans="5:8" x14ac:dyDescent="0.2">
      <c r="E4679" s="42"/>
      <c r="F4679" s="42"/>
      <c r="G4679" s="42"/>
      <c r="H4679" s="42"/>
    </row>
    <row r="4680" spans="5:8" x14ac:dyDescent="0.2">
      <c r="E4680" s="42"/>
      <c r="F4680" s="42"/>
      <c r="G4680" s="42"/>
      <c r="H4680" s="42"/>
    </row>
    <row r="4681" spans="5:8" x14ac:dyDescent="0.2">
      <c r="E4681" s="42"/>
      <c r="F4681" s="42"/>
      <c r="G4681" s="42"/>
      <c r="H4681" s="42"/>
    </row>
    <row r="4682" spans="5:8" x14ac:dyDescent="0.2">
      <c r="E4682" s="42"/>
      <c r="F4682" s="42"/>
      <c r="G4682" s="42"/>
      <c r="H4682" s="42"/>
    </row>
    <row r="4683" spans="5:8" x14ac:dyDescent="0.2">
      <c r="E4683" s="42"/>
      <c r="F4683" s="42"/>
      <c r="G4683" s="42"/>
      <c r="H4683" s="42"/>
    </row>
    <row r="4684" spans="5:8" x14ac:dyDescent="0.2">
      <c r="E4684" s="42"/>
      <c r="F4684" s="42"/>
      <c r="G4684" s="42"/>
      <c r="H4684" s="42"/>
    </row>
    <row r="4685" spans="5:8" x14ac:dyDescent="0.2">
      <c r="E4685" s="42"/>
      <c r="F4685" s="42"/>
      <c r="G4685" s="42"/>
      <c r="H4685" s="42"/>
    </row>
    <row r="4686" spans="5:8" x14ac:dyDescent="0.2">
      <c r="E4686" s="42"/>
      <c r="F4686" s="42"/>
      <c r="G4686" s="42"/>
      <c r="H4686" s="42"/>
    </row>
    <row r="4687" spans="5:8" x14ac:dyDescent="0.2">
      <c r="E4687" s="42"/>
      <c r="F4687" s="42"/>
      <c r="G4687" s="42"/>
      <c r="H4687" s="42"/>
    </row>
    <row r="4688" spans="5:8" x14ac:dyDescent="0.2">
      <c r="E4688" s="42"/>
      <c r="F4688" s="42"/>
      <c r="G4688" s="42"/>
      <c r="H4688" s="42"/>
    </row>
    <row r="4689" spans="5:8" x14ac:dyDescent="0.2">
      <c r="E4689" s="42"/>
      <c r="F4689" s="42"/>
      <c r="G4689" s="42"/>
      <c r="H4689" s="42"/>
    </row>
    <row r="4690" spans="5:8" x14ac:dyDescent="0.2">
      <c r="E4690" s="42"/>
      <c r="F4690" s="42"/>
      <c r="G4690" s="42"/>
      <c r="H4690" s="42"/>
    </row>
    <row r="4691" spans="5:8" x14ac:dyDescent="0.2">
      <c r="E4691" s="42"/>
      <c r="F4691" s="42"/>
      <c r="G4691" s="42"/>
      <c r="H4691" s="42"/>
    </row>
    <row r="4692" spans="5:8" x14ac:dyDescent="0.2">
      <c r="E4692" s="42"/>
      <c r="F4692" s="42"/>
      <c r="G4692" s="42"/>
      <c r="H4692" s="42"/>
    </row>
    <row r="4693" spans="5:8" x14ac:dyDescent="0.2">
      <c r="E4693" s="42"/>
      <c r="F4693" s="42"/>
      <c r="G4693" s="42"/>
      <c r="H4693" s="42"/>
    </row>
    <row r="4694" spans="5:8" x14ac:dyDescent="0.2">
      <c r="E4694" s="42"/>
      <c r="F4694" s="42"/>
      <c r="G4694" s="42"/>
      <c r="H4694" s="42"/>
    </row>
    <row r="4695" spans="5:8" x14ac:dyDescent="0.2">
      <c r="E4695" s="42"/>
      <c r="F4695" s="42"/>
      <c r="G4695" s="42"/>
      <c r="H4695" s="42"/>
    </row>
    <row r="4696" spans="5:8" x14ac:dyDescent="0.2">
      <c r="E4696" s="42"/>
      <c r="F4696" s="42"/>
      <c r="G4696" s="42"/>
      <c r="H4696" s="42"/>
    </row>
    <row r="4697" spans="5:8" x14ac:dyDescent="0.2">
      <c r="E4697" s="42"/>
      <c r="F4697" s="42"/>
      <c r="G4697" s="42"/>
      <c r="H4697" s="42"/>
    </row>
    <row r="4698" spans="5:8" x14ac:dyDescent="0.2">
      <c r="E4698" s="42"/>
      <c r="F4698" s="42"/>
      <c r="G4698" s="42"/>
      <c r="H4698" s="42"/>
    </row>
    <row r="4699" spans="5:8" x14ac:dyDescent="0.2">
      <c r="E4699" s="42"/>
      <c r="F4699" s="42"/>
      <c r="G4699" s="42"/>
      <c r="H4699" s="42"/>
    </row>
    <row r="4700" spans="5:8" x14ac:dyDescent="0.2">
      <c r="E4700" s="42"/>
      <c r="F4700" s="42"/>
      <c r="G4700" s="42"/>
      <c r="H4700" s="42"/>
    </row>
    <row r="4701" spans="5:8" x14ac:dyDescent="0.2">
      <c r="E4701" s="42"/>
      <c r="F4701" s="42"/>
      <c r="G4701" s="42"/>
      <c r="H4701" s="42"/>
    </row>
    <row r="4702" spans="5:8" x14ac:dyDescent="0.2">
      <c r="E4702" s="42"/>
      <c r="F4702" s="42"/>
      <c r="G4702" s="42"/>
      <c r="H4702" s="42"/>
    </row>
    <row r="4703" spans="5:8" x14ac:dyDescent="0.2">
      <c r="E4703" s="42"/>
      <c r="F4703" s="42"/>
      <c r="G4703" s="42"/>
      <c r="H4703" s="42"/>
    </row>
    <row r="4704" spans="5:8" x14ac:dyDescent="0.2">
      <c r="E4704" s="42"/>
      <c r="F4704" s="42"/>
      <c r="G4704" s="42"/>
      <c r="H4704" s="42"/>
    </row>
    <row r="4705" spans="5:8" x14ac:dyDescent="0.2">
      <c r="E4705" s="42"/>
      <c r="F4705" s="42"/>
      <c r="G4705" s="42"/>
      <c r="H4705" s="42"/>
    </row>
    <row r="4706" spans="5:8" x14ac:dyDescent="0.2">
      <c r="E4706" s="42"/>
      <c r="F4706" s="42"/>
      <c r="G4706" s="42"/>
      <c r="H4706" s="42"/>
    </row>
    <row r="4707" spans="5:8" x14ac:dyDescent="0.2">
      <c r="E4707" s="42"/>
      <c r="F4707" s="42"/>
      <c r="G4707" s="42"/>
      <c r="H4707" s="42"/>
    </row>
    <row r="4708" spans="5:8" x14ac:dyDescent="0.2">
      <c r="E4708" s="42"/>
      <c r="F4708" s="42"/>
      <c r="G4708" s="42"/>
      <c r="H4708" s="42"/>
    </row>
    <row r="4709" spans="5:8" x14ac:dyDescent="0.2">
      <c r="E4709" s="42"/>
      <c r="F4709" s="42"/>
      <c r="G4709" s="42"/>
      <c r="H4709" s="42"/>
    </row>
    <row r="4710" spans="5:8" x14ac:dyDescent="0.2">
      <c r="E4710" s="42"/>
      <c r="F4710" s="42"/>
      <c r="G4710" s="42"/>
      <c r="H4710" s="42"/>
    </row>
    <row r="4711" spans="5:8" x14ac:dyDescent="0.2">
      <c r="E4711" s="42"/>
      <c r="F4711" s="42"/>
      <c r="G4711" s="42"/>
      <c r="H4711" s="42"/>
    </row>
    <row r="4712" spans="5:8" x14ac:dyDescent="0.2">
      <c r="E4712" s="42"/>
      <c r="F4712" s="42"/>
      <c r="G4712" s="42"/>
      <c r="H4712" s="42"/>
    </row>
    <row r="4713" spans="5:8" x14ac:dyDescent="0.2">
      <c r="E4713" s="42"/>
      <c r="F4713" s="42"/>
      <c r="G4713" s="42"/>
      <c r="H4713" s="42"/>
    </row>
    <row r="4714" spans="5:8" x14ac:dyDescent="0.2">
      <c r="E4714" s="42"/>
      <c r="F4714" s="42"/>
      <c r="G4714" s="42"/>
      <c r="H4714" s="42"/>
    </row>
    <row r="4715" spans="5:8" x14ac:dyDescent="0.2">
      <c r="E4715" s="42"/>
      <c r="F4715" s="42"/>
      <c r="G4715" s="42"/>
      <c r="H4715" s="42"/>
    </row>
    <row r="4716" spans="5:8" x14ac:dyDescent="0.2">
      <c r="E4716" s="42"/>
      <c r="F4716" s="42"/>
      <c r="G4716" s="42"/>
      <c r="H4716" s="42"/>
    </row>
    <row r="4717" spans="5:8" x14ac:dyDescent="0.2">
      <c r="E4717" s="42"/>
      <c r="F4717" s="42"/>
      <c r="G4717" s="42"/>
      <c r="H4717" s="42"/>
    </row>
    <row r="4718" spans="5:8" x14ac:dyDescent="0.2">
      <c r="E4718" s="42"/>
      <c r="F4718" s="42"/>
      <c r="G4718" s="42"/>
      <c r="H4718" s="42"/>
    </row>
    <row r="4719" spans="5:8" x14ac:dyDescent="0.2">
      <c r="E4719" s="42"/>
      <c r="F4719" s="42"/>
      <c r="G4719" s="42"/>
      <c r="H4719" s="42"/>
    </row>
    <row r="4720" spans="5:8" x14ac:dyDescent="0.2">
      <c r="E4720" s="42"/>
      <c r="F4720" s="42"/>
      <c r="G4720" s="42"/>
      <c r="H4720" s="42"/>
    </row>
    <row r="4721" spans="5:8" x14ac:dyDescent="0.2">
      <c r="E4721" s="42"/>
      <c r="F4721" s="42"/>
      <c r="G4721" s="42"/>
      <c r="H4721" s="42"/>
    </row>
    <row r="4722" spans="5:8" x14ac:dyDescent="0.2">
      <c r="E4722" s="42"/>
      <c r="F4722" s="42"/>
      <c r="G4722" s="42"/>
      <c r="H4722" s="42"/>
    </row>
    <row r="4723" spans="5:8" x14ac:dyDescent="0.2">
      <c r="E4723" s="42"/>
      <c r="F4723" s="42"/>
      <c r="G4723" s="42"/>
      <c r="H4723" s="42"/>
    </row>
    <row r="4724" spans="5:8" x14ac:dyDescent="0.2">
      <c r="E4724" s="42"/>
      <c r="F4724" s="42"/>
      <c r="G4724" s="42"/>
      <c r="H4724" s="42"/>
    </row>
    <row r="4725" spans="5:8" x14ac:dyDescent="0.2">
      <c r="E4725" s="42"/>
      <c r="F4725" s="42"/>
      <c r="G4725" s="42"/>
      <c r="H4725" s="42"/>
    </row>
    <row r="4726" spans="5:8" x14ac:dyDescent="0.2">
      <c r="E4726" s="42"/>
      <c r="F4726" s="42"/>
      <c r="G4726" s="42"/>
      <c r="H4726" s="42"/>
    </row>
    <row r="4727" spans="5:8" x14ac:dyDescent="0.2">
      <c r="E4727" s="42"/>
      <c r="F4727" s="42"/>
      <c r="G4727" s="42"/>
      <c r="H4727" s="42"/>
    </row>
    <row r="4728" spans="5:8" x14ac:dyDescent="0.2">
      <c r="E4728" s="42"/>
      <c r="F4728" s="42"/>
      <c r="G4728" s="42"/>
      <c r="H4728" s="42"/>
    </row>
    <row r="4729" spans="5:8" x14ac:dyDescent="0.2">
      <c r="E4729" s="42"/>
      <c r="F4729" s="42"/>
      <c r="G4729" s="42"/>
      <c r="H4729" s="42"/>
    </row>
    <row r="4730" spans="5:8" x14ac:dyDescent="0.2">
      <c r="E4730" s="42"/>
      <c r="F4730" s="42"/>
      <c r="G4730" s="42"/>
      <c r="H4730" s="42"/>
    </row>
    <row r="4731" spans="5:8" x14ac:dyDescent="0.2">
      <c r="E4731" s="42"/>
      <c r="F4731" s="42"/>
      <c r="G4731" s="42"/>
      <c r="H4731" s="42"/>
    </row>
    <row r="4732" spans="5:8" x14ac:dyDescent="0.2">
      <c r="E4732" s="42"/>
      <c r="F4732" s="42"/>
      <c r="G4732" s="42"/>
      <c r="H4732" s="42"/>
    </row>
    <row r="4733" spans="5:8" x14ac:dyDescent="0.2">
      <c r="E4733" s="42"/>
      <c r="F4733" s="42"/>
      <c r="G4733" s="42"/>
      <c r="H4733" s="42"/>
    </row>
    <row r="4734" spans="5:8" x14ac:dyDescent="0.2">
      <c r="E4734" s="42"/>
      <c r="F4734" s="42"/>
      <c r="G4734" s="42"/>
      <c r="H4734" s="42"/>
    </row>
    <row r="4735" spans="5:8" x14ac:dyDescent="0.2">
      <c r="E4735" s="42"/>
      <c r="F4735" s="42"/>
      <c r="G4735" s="42"/>
      <c r="H4735" s="42"/>
    </row>
    <row r="4736" spans="5:8" x14ac:dyDescent="0.2">
      <c r="E4736" s="42"/>
      <c r="F4736" s="42"/>
      <c r="G4736" s="42"/>
      <c r="H4736" s="42"/>
    </row>
    <row r="4737" spans="5:8" x14ac:dyDescent="0.2">
      <c r="E4737" s="42"/>
      <c r="F4737" s="42"/>
      <c r="G4737" s="42"/>
      <c r="H4737" s="42"/>
    </row>
    <row r="4738" spans="5:8" x14ac:dyDescent="0.2">
      <c r="E4738" s="42"/>
      <c r="F4738" s="42"/>
      <c r="G4738" s="42"/>
      <c r="H4738" s="42"/>
    </row>
    <row r="4739" spans="5:8" x14ac:dyDescent="0.2">
      <c r="E4739" s="42"/>
      <c r="F4739" s="42"/>
      <c r="G4739" s="42"/>
      <c r="H4739" s="42"/>
    </row>
    <row r="4740" spans="5:8" x14ac:dyDescent="0.2">
      <c r="E4740" s="42"/>
      <c r="F4740" s="42"/>
      <c r="G4740" s="42"/>
      <c r="H4740" s="42"/>
    </row>
    <row r="4741" spans="5:8" x14ac:dyDescent="0.2">
      <c r="E4741" s="42"/>
      <c r="F4741" s="42"/>
      <c r="G4741" s="42"/>
      <c r="H4741" s="42"/>
    </row>
    <row r="4742" spans="5:8" x14ac:dyDescent="0.2">
      <c r="E4742" s="42"/>
      <c r="F4742" s="42"/>
      <c r="G4742" s="42"/>
      <c r="H4742" s="42"/>
    </row>
    <row r="4743" spans="5:8" x14ac:dyDescent="0.2">
      <c r="E4743" s="42"/>
      <c r="F4743" s="42"/>
      <c r="G4743" s="42"/>
      <c r="H4743" s="42"/>
    </row>
    <row r="4744" spans="5:8" x14ac:dyDescent="0.2">
      <c r="E4744" s="42"/>
      <c r="F4744" s="42"/>
      <c r="G4744" s="42"/>
      <c r="H4744" s="42"/>
    </row>
    <row r="4745" spans="5:8" x14ac:dyDescent="0.2">
      <c r="E4745" s="42"/>
      <c r="F4745" s="42"/>
      <c r="G4745" s="42"/>
      <c r="H4745" s="42"/>
    </row>
    <row r="4746" spans="5:8" x14ac:dyDescent="0.2">
      <c r="E4746" s="42"/>
      <c r="F4746" s="42"/>
      <c r="G4746" s="42"/>
      <c r="H4746" s="42"/>
    </row>
    <row r="4747" spans="5:8" x14ac:dyDescent="0.2">
      <c r="E4747" s="42"/>
      <c r="F4747" s="42"/>
      <c r="G4747" s="42"/>
      <c r="H4747" s="42"/>
    </row>
    <row r="4748" spans="5:8" x14ac:dyDescent="0.2">
      <c r="E4748" s="42"/>
      <c r="F4748" s="42"/>
      <c r="G4748" s="42"/>
      <c r="H4748" s="42"/>
    </row>
    <row r="4749" spans="5:8" x14ac:dyDescent="0.2">
      <c r="E4749" s="42"/>
      <c r="F4749" s="42"/>
      <c r="G4749" s="42"/>
      <c r="H4749" s="42"/>
    </row>
    <row r="4750" spans="5:8" x14ac:dyDescent="0.2">
      <c r="E4750" s="42"/>
      <c r="F4750" s="42"/>
      <c r="G4750" s="42"/>
      <c r="H4750" s="42"/>
    </row>
    <row r="4751" spans="5:8" x14ac:dyDescent="0.2">
      <c r="E4751" s="42"/>
      <c r="F4751" s="42"/>
      <c r="G4751" s="42"/>
      <c r="H4751" s="42"/>
    </row>
    <row r="4752" spans="5:8" x14ac:dyDescent="0.2">
      <c r="E4752" s="42"/>
      <c r="F4752" s="42"/>
      <c r="G4752" s="42"/>
      <c r="H4752" s="42"/>
    </row>
    <row r="4753" spans="5:8" x14ac:dyDescent="0.2">
      <c r="E4753" s="42"/>
      <c r="F4753" s="42"/>
      <c r="G4753" s="42"/>
      <c r="H4753" s="42"/>
    </row>
    <row r="4754" spans="5:8" x14ac:dyDescent="0.2">
      <c r="E4754" s="42"/>
      <c r="F4754" s="42"/>
      <c r="G4754" s="42"/>
      <c r="H4754" s="42"/>
    </row>
    <row r="4755" spans="5:8" x14ac:dyDescent="0.2">
      <c r="E4755" s="42"/>
      <c r="F4755" s="42"/>
      <c r="G4755" s="42"/>
      <c r="H4755" s="42"/>
    </row>
    <row r="4756" spans="5:8" x14ac:dyDescent="0.2">
      <c r="E4756" s="42"/>
      <c r="F4756" s="42"/>
      <c r="G4756" s="42"/>
      <c r="H4756" s="42"/>
    </row>
    <row r="4757" spans="5:8" x14ac:dyDescent="0.2">
      <c r="E4757" s="42"/>
      <c r="F4757" s="42"/>
      <c r="G4757" s="42"/>
      <c r="H4757" s="42"/>
    </row>
    <row r="4758" spans="5:8" x14ac:dyDescent="0.2">
      <c r="E4758" s="42"/>
      <c r="F4758" s="42"/>
      <c r="G4758" s="42"/>
      <c r="H4758" s="42"/>
    </row>
    <row r="4759" spans="5:8" x14ac:dyDescent="0.2">
      <c r="E4759" s="42"/>
      <c r="F4759" s="42"/>
      <c r="G4759" s="42"/>
      <c r="H4759" s="42"/>
    </row>
    <row r="4760" spans="5:8" x14ac:dyDescent="0.2">
      <c r="E4760" s="42"/>
      <c r="F4760" s="42"/>
      <c r="G4760" s="42"/>
      <c r="H4760" s="42"/>
    </row>
    <row r="4761" spans="5:8" x14ac:dyDescent="0.2">
      <c r="E4761" s="42"/>
      <c r="F4761" s="42"/>
      <c r="G4761" s="42"/>
      <c r="H4761" s="42"/>
    </row>
    <row r="4762" spans="5:8" x14ac:dyDescent="0.2">
      <c r="E4762" s="42"/>
      <c r="F4762" s="42"/>
      <c r="G4762" s="42"/>
      <c r="H4762" s="42"/>
    </row>
    <row r="4763" spans="5:8" x14ac:dyDescent="0.2">
      <c r="E4763" s="42"/>
      <c r="F4763" s="42"/>
      <c r="G4763" s="42"/>
      <c r="H4763" s="42"/>
    </row>
    <row r="4764" spans="5:8" x14ac:dyDescent="0.2">
      <c r="E4764" s="42"/>
      <c r="F4764" s="42"/>
      <c r="G4764" s="42"/>
      <c r="H4764" s="42"/>
    </row>
    <row r="4765" spans="5:8" x14ac:dyDescent="0.2">
      <c r="E4765" s="42"/>
      <c r="F4765" s="42"/>
      <c r="G4765" s="42"/>
      <c r="H4765" s="42"/>
    </row>
    <row r="4766" spans="5:8" x14ac:dyDescent="0.2">
      <c r="E4766" s="42"/>
      <c r="F4766" s="42"/>
      <c r="G4766" s="42"/>
      <c r="H4766" s="42"/>
    </row>
    <row r="4767" spans="5:8" x14ac:dyDescent="0.2">
      <c r="E4767" s="42"/>
      <c r="F4767" s="42"/>
      <c r="G4767" s="42"/>
      <c r="H4767" s="42"/>
    </row>
    <row r="4768" spans="5:8" x14ac:dyDescent="0.2">
      <c r="E4768" s="42"/>
      <c r="F4768" s="42"/>
      <c r="G4768" s="42"/>
      <c r="H4768" s="42"/>
    </row>
    <row r="4769" spans="5:8" x14ac:dyDescent="0.2">
      <c r="E4769" s="42"/>
      <c r="F4769" s="42"/>
      <c r="G4769" s="42"/>
      <c r="H4769" s="42"/>
    </row>
    <row r="4770" spans="5:8" x14ac:dyDescent="0.2">
      <c r="E4770" s="42"/>
      <c r="F4770" s="42"/>
      <c r="G4770" s="42"/>
      <c r="H4770" s="42"/>
    </row>
    <row r="4771" spans="5:8" x14ac:dyDescent="0.2">
      <c r="E4771" s="42"/>
      <c r="F4771" s="42"/>
      <c r="G4771" s="42"/>
      <c r="H4771" s="42"/>
    </row>
    <row r="4772" spans="5:8" x14ac:dyDescent="0.2">
      <c r="E4772" s="42"/>
      <c r="F4772" s="42"/>
      <c r="G4772" s="42"/>
      <c r="H4772" s="42"/>
    </row>
    <row r="4773" spans="5:8" x14ac:dyDescent="0.2">
      <c r="E4773" s="42"/>
      <c r="F4773" s="42"/>
      <c r="G4773" s="42"/>
      <c r="H4773" s="42"/>
    </row>
    <row r="4774" spans="5:8" x14ac:dyDescent="0.2">
      <c r="E4774" s="42"/>
      <c r="F4774" s="42"/>
      <c r="G4774" s="42"/>
      <c r="H4774" s="42"/>
    </row>
    <row r="4775" spans="5:8" x14ac:dyDescent="0.2">
      <c r="E4775" s="42"/>
      <c r="F4775" s="42"/>
      <c r="G4775" s="42"/>
      <c r="H4775" s="42"/>
    </row>
    <row r="4776" spans="5:8" x14ac:dyDescent="0.2">
      <c r="E4776" s="42"/>
      <c r="F4776" s="42"/>
      <c r="G4776" s="42"/>
      <c r="H4776" s="42"/>
    </row>
    <row r="4777" spans="5:8" x14ac:dyDescent="0.2">
      <c r="E4777" s="42"/>
      <c r="F4777" s="42"/>
      <c r="G4777" s="42"/>
      <c r="H4777" s="42"/>
    </row>
    <row r="4778" spans="5:8" x14ac:dyDescent="0.2">
      <c r="E4778" s="42"/>
      <c r="F4778" s="42"/>
      <c r="G4778" s="42"/>
      <c r="H4778" s="42"/>
    </row>
    <row r="4779" spans="5:8" x14ac:dyDescent="0.2">
      <c r="E4779" s="42"/>
      <c r="F4779" s="42"/>
      <c r="G4779" s="42"/>
      <c r="H4779" s="42"/>
    </row>
    <row r="4780" spans="5:8" x14ac:dyDescent="0.2">
      <c r="E4780" s="42"/>
      <c r="F4780" s="42"/>
      <c r="G4780" s="42"/>
      <c r="H4780" s="42"/>
    </row>
    <row r="4781" spans="5:8" x14ac:dyDescent="0.2">
      <c r="E4781" s="42"/>
      <c r="F4781" s="42"/>
      <c r="G4781" s="42"/>
      <c r="H4781" s="42"/>
    </row>
    <row r="4782" spans="5:8" x14ac:dyDescent="0.2">
      <c r="E4782" s="42"/>
      <c r="F4782" s="42"/>
      <c r="G4782" s="42"/>
      <c r="H4782" s="42"/>
    </row>
    <row r="4783" spans="5:8" x14ac:dyDescent="0.2">
      <c r="E4783" s="42"/>
      <c r="F4783" s="42"/>
      <c r="G4783" s="42"/>
      <c r="H4783" s="42"/>
    </row>
    <row r="4784" spans="5:8" x14ac:dyDescent="0.2">
      <c r="E4784" s="42"/>
      <c r="F4784" s="42"/>
      <c r="G4784" s="42"/>
      <c r="H4784" s="42"/>
    </row>
    <row r="4785" spans="5:8" x14ac:dyDescent="0.2">
      <c r="E4785" s="42"/>
      <c r="F4785" s="42"/>
      <c r="G4785" s="42"/>
      <c r="H4785" s="42"/>
    </row>
    <row r="4786" spans="5:8" x14ac:dyDescent="0.2">
      <c r="E4786" s="42"/>
      <c r="F4786" s="42"/>
      <c r="G4786" s="42"/>
      <c r="H4786" s="42"/>
    </row>
    <row r="4787" spans="5:8" x14ac:dyDescent="0.2">
      <c r="E4787" s="42"/>
      <c r="F4787" s="42"/>
      <c r="G4787" s="42"/>
      <c r="H4787" s="42"/>
    </row>
    <row r="4788" spans="5:8" x14ac:dyDescent="0.2">
      <c r="E4788" s="42"/>
      <c r="F4788" s="42"/>
      <c r="G4788" s="42"/>
      <c r="H4788" s="42"/>
    </row>
    <row r="4789" spans="5:8" x14ac:dyDescent="0.2">
      <c r="E4789" s="42"/>
      <c r="F4789" s="42"/>
      <c r="G4789" s="42"/>
      <c r="H4789" s="42"/>
    </row>
    <row r="4790" spans="5:8" x14ac:dyDescent="0.2">
      <c r="E4790" s="42"/>
      <c r="F4790" s="42"/>
      <c r="G4790" s="42"/>
      <c r="H4790" s="42"/>
    </row>
    <row r="4791" spans="5:8" x14ac:dyDescent="0.2">
      <c r="E4791" s="42"/>
      <c r="F4791" s="42"/>
      <c r="G4791" s="42"/>
      <c r="H4791" s="42"/>
    </row>
    <row r="4792" spans="5:8" x14ac:dyDescent="0.2">
      <c r="E4792" s="42"/>
      <c r="F4792" s="42"/>
      <c r="G4792" s="42"/>
      <c r="H4792" s="42"/>
    </row>
    <row r="4793" spans="5:8" x14ac:dyDescent="0.2">
      <c r="E4793" s="42"/>
      <c r="F4793" s="42"/>
      <c r="G4793" s="42"/>
      <c r="H4793" s="42"/>
    </row>
    <row r="4794" spans="5:8" x14ac:dyDescent="0.2">
      <c r="E4794" s="42"/>
      <c r="F4794" s="42"/>
      <c r="G4794" s="42"/>
      <c r="H4794" s="42"/>
    </row>
    <row r="4795" spans="5:8" x14ac:dyDescent="0.2">
      <c r="E4795" s="42"/>
      <c r="F4795" s="42"/>
      <c r="G4795" s="42"/>
      <c r="H4795" s="42"/>
    </row>
    <row r="4796" spans="5:8" x14ac:dyDescent="0.2">
      <c r="E4796" s="42"/>
      <c r="F4796" s="42"/>
      <c r="G4796" s="42"/>
      <c r="H4796" s="42"/>
    </row>
    <row r="4797" spans="5:8" x14ac:dyDescent="0.2">
      <c r="E4797" s="42"/>
      <c r="F4797" s="42"/>
      <c r="G4797" s="42"/>
      <c r="H4797" s="42"/>
    </row>
    <row r="4798" spans="5:8" x14ac:dyDescent="0.2">
      <c r="E4798" s="42"/>
      <c r="F4798" s="42"/>
      <c r="G4798" s="42"/>
      <c r="H4798" s="42"/>
    </row>
    <row r="4799" spans="5:8" x14ac:dyDescent="0.2">
      <c r="E4799" s="42"/>
      <c r="F4799" s="42"/>
      <c r="G4799" s="42"/>
      <c r="H4799" s="42"/>
    </row>
    <row r="4800" spans="5:8" x14ac:dyDescent="0.2">
      <c r="E4800" s="42"/>
      <c r="F4800" s="42"/>
      <c r="G4800" s="42"/>
      <c r="H4800" s="42"/>
    </row>
    <row r="4801" spans="5:8" x14ac:dyDescent="0.2">
      <c r="E4801" s="42"/>
      <c r="F4801" s="42"/>
      <c r="G4801" s="42"/>
      <c r="H4801" s="42"/>
    </row>
    <row r="4802" spans="5:8" x14ac:dyDescent="0.2">
      <c r="E4802" s="42"/>
      <c r="F4802" s="42"/>
      <c r="G4802" s="42"/>
      <c r="H4802" s="42"/>
    </row>
    <row r="4803" spans="5:8" x14ac:dyDescent="0.2">
      <c r="E4803" s="42"/>
      <c r="F4803" s="42"/>
      <c r="G4803" s="42"/>
      <c r="H4803" s="42"/>
    </row>
    <row r="4804" spans="5:8" x14ac:dyDescent="0.2">
      <c r="E4804" s="42"/>
      <c r="F4804" s="42"/>
      <c r="G4804" s="42"/>
      <c r="H4804" s="42"/>
    </row>
    <row r="4805" spans="5:8" x14ac:dyDescent="0.2">
      <c r="E4805" s="42"/>
      <c r="F4805" s="42"/>
      <c r="G4805" s="42"/>
      <c r="H4805" s="42"/>
    </row>
    <row r="4806" spans="5:8" x14ac:dyDescent="0.2">
      <c r="E4806" s="42"/>
      <c r="F4806" s="42"/>
      <c r="G4806" s="42"/>
      <c r="H4806" s="42"/>
    </row>
    <row r="4807" spans="5:8" x14ac:dyDescent="0.2">
      <c r="E4807" s="42"/>
      <c r="F4807" s="42"/>
      <c r="G4807" s="42"/>
      <c r="H4807" s="42"/>
    </row>
    <row r="4808" spans="5:8" x14ac:dyDescent="0.2">
      <c r="E4808" s="42"/>
      <c r="F4808" s="42"/>
      <c r="G4808" s="42"/>
      <c r="H4808" s="42"/>
    </row>
    <row r="4809" spans="5:8" x14ac:dyDescent="0.2">
      <c r="E4809" s="42"/>
      <c r="F4809" s="42"/>
      <c r="G4809" s="42"/>
      <c r="H4809" s="42"/>
    </row>
    <row r="4810" spans="5:8" x14ac:dyDescent="0.2">
      <c r="E4810" s="42"/>
      <c r="F4810" s="42"/>
      <c r="G4810" s="42"/>
      <c r="H4810" s="42"/>
    </row>
    <row r="4811" spans="5:8" x14ac:dyDescent="0.2">
      <c r="E4811" s="42"/>
      <c r="F4811" s="42"/>
      <c r="G4811" s="42"/>
      <c r="H4811" s="42"/>
    </row>
    <row r="4812" spans="5:8" x14ac:dyDescent="0.2">
      <c r="E4812" s="42"/>
      <c r="F4812" s="42"/>
      <c r="G4812" s="42"/>
      <c r="H4812" s="42"/>
    </row>
    <row r="4813" spans="5:8" x14ac:dyDescent="0.2">
      <c r="E4813" s="42"/>
      <c r="F4813" s="42"/>
      <c r="G4813" s="42"/>
      <c r="H4813" s="42"/>
    </row>
    <row r="4814" spans="5:8" x14ac:dyDescent="0.2">
      <c r="E4814" s="42"/>
      <c r="F4814" s="42"/>
      <c r="G4814" s="42"/>
      <c r="H4814" s="42"/>
    </row>
    <row r="4815" spans="5:8" x14ac:dyDescent="0.2">
      <c r="E4815" s="42"/>
      <c r="F4815" s="42"/>
      <c r="G4815" s="42"/>
      <c r="H4815" s="42"/>
    </row>
    <row r="4816" spans="5:8" x14ac:dyDescent="0.2">
      <c r="E4816" s="42"/>
      <c r="F4816" s="42"/>
      <c r="G4816" s="42"/>
      <c r="H4816" s="42"/>
    </row>
    <row r="4817" spans="5:8" x14ac:dyDescent="0.2">
      <c r="E4817" s="42"/>
      <c r="F4817" s="42"/>
      <c r="G4817" s="42"/>
      <c r="H4817" s="42"/>
    </row>
  </sheetData>
  <pageMargins left="0.25" right="0.25" top="0.25" bottom="0.25" header="0" footer="0"/>
  <pageSetup scale="4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5_1_18 Post</vt:lpstr>
      <vt:lpstr>Reserve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McNally</dc:creator>
  <cp:lastModifiedBy>Amanda Lolik</cp:lastModifiedBy>
  <dcterms:created xsi:type="dcterms:W3CDTF">2018-05-01T20:14:27Z</dcterms:created>
  <dcterms:modified xsi:type="dcterms:W3CDTF">2018-05-08T17:23:20Z</dcterms:modified>
</cp:coreProperties>
</file>